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24226"/>
  <mc:AlternateContent xmlns:mc="http://schemas.openxmlformats.org/markup-compatibility/2006">
    <mc:Choice Requires="x15">
      <x15ac:absPath xmlns:x15ac="http://schemas.microsoft.com/office/spreadsheetml/2010/11/ac" url="D:\DATA INTELLIGENCE Dropbox\DI Monitoreo II\000 AGENCIA INFORMACION DI\"/>
    </mc:Choice>
  </mc:AlternateContent>
  <xr:revisionPtr revIDLastSave="0" documentId="13_ncr:1_{EB85B3BB-BF04-4BCF-B613-CD9FF0686431}" xr6:coauthVersionLast="47" xr6:coauthVersionMax="47" xr10:uidLastSave="{00000000-0000-0000-0000-000000000000}"/>
  <bookViews>
    <workbookView xWindow="-108" yWindow="-108" windowWidth="23256" windowHeight="12720" activeTab="1" xr2:uid="{00000000-000D-0000-FFFF-FFFF00000000}"/>
  </bookViews>
  <sheets>
    <sheet name="Hoja4" sheetId="13" r:id="rId1"/>
    <sheet name="Violencia contra la mujer" sheetId="4" r:id="rId2"/>
    <sheet name="Estructura" sheetId="6" r:id="rId3"/>
    <sheet name="Hoja1" sheetId="7" r:id="rId4"/>
    <sheet name="TD" sheetId="5" r:id="rId5"/>
    <sheet name="Hoja2" sheetId="8" r:id="rId6"/>
  </sheets>
  <externalReferences>
    <externalReference r:id="rId7"/>
  </externalReferences>
  <definedNames>
    <definedName name="_xlnm._FilterDatabase" localSheetId="1" hidden="1">'Violencia contra la mujer'!$A$10:$U$739</definedName>
    <definedName name="SegmentaciónDeDatos_contenido">#N/A</definedName>
    <definedName name="SegmentaciónDeDatos_contenido2">#N/A</definedName>
    <definedName name="SegmentaciónDeDatos_escala">#N/A</definedName>
    <definedName name="SegmentaciónDeDatos_escala2">#N/A</definedName>
    <definedName name="SegmentaciónDeDatos_Filtro_Integrado">#N/A</definedName>
    <definedName name="SegmentaciónDeDatos_Muestra">#N/A</definedName>
    <definedName name="SegmentaciónDeDatos_tema">#N/A</definedName>
    <definedName name="SegmentaciónDeDatos_tema2">#N/A</definedName>
    <definedName name="SegmentaciónDeDatos_temporalidad">#N/A</definedName>
    <definedName name="SegmentaciónDeDatos_territorio">#N/A</definedName>
  </definedNames>
  <calcPr calcId="191029"/>
  <pivotCaches>
    <pivotCache cacheId="143" r:id="rId8"/>
    <pivotCache cacheId="144"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9" i="4" l="1"/>
  <c r="V739" i="4"/>
  <c r="X738" i="4"/>
  <c r="V738" i="4"/>
  <c r="X737" i="4"/>
  <c r="V737" i="4"/>
  <c r="X736" i="4"/>
  <c r="V736" i="4"/>
  <c r="X735" i="4"/>
  <c r="V735" i="4"/>
  <c r="X734" i="4"/>
  <c r="V734" i="4"/>
  <c r="X733" i="4"/>
  <c r="V733" i="4"/>
  <c r="X732" i="4"/>
  <c r="V732" i="4"/>
  <c r="X731" i="4"/>
  <c r="V731" i="4"/>
  <c r="X730" i="4"/>
  <c r="V730" i="4"/>
  <c r="X729" i="4"/>
  <c r="V729" i="4"/>
  <c r="X728" i="4"/>
  <c r="V728" i="4"/>
  <c r="X727" i="4"/>
  <c r="V727" i="4"/>
  <c r="X726" i="4"/>
  <c r="V726" i="4"/>
  <c r="X725" i="4"/>
  <c r="V725" i="4"/>
  <c r="X724" i="4"/>
  <c r="V724" i="4"/>
  <c r="X723" i="4"/>
  <c r="V723" i="4"/>
  <c r="X722" i="4"/>
  <c r="V722" i="4"/>
  <c r="X721" i="4"/>
  <c r="V721" i="4"/>
  <c r="X720" i="4"/>
  <c r="V720" i="4"/>
  <c r="V719" i="4"/>
  <c r="V718" i="4"/>
  <c r="V717" i="4"/>
  <c r="V716" i="4"/>
  <c r="V715" i="4"/>
  <c r="V714" i="4"/>
  <c r="V713" i="4"/>
  <c r="V712" i="4"/>
  <c r="V711" i="4"/>
  <c r="V710" i="4"/>
  <c r="V709" i="4"/>
  <c r="V708" i="4"/>
  <c r="V707" i="4"/>
  <c r="V706" i="4"/>
  <c r="V705" i="4"/>
  <c r="V704" i="4"/>
  <c r="V703" i="4"/>
  <c r="V702" i="4"/>
  <c r="V701" i="4"/>
  <c r="V700" i="4"/>
  <c r="V699" i="4"/>
  <c r="V698" i="4"/>
  <c r="V697" i="4"/>
  <c r="V696" i="4"/>
  <c r="V695" i="4"/>
  <c r="V694" i="4"/>
  <c r="V693" i="4"/>
  <c r="V692" i="4"/>
  <c r="V691" i="4"/>
  <c r="V690" i="4"/>
  <c r="V689" i="4"/>
  <c r="V688" i="4"/>
  <c r="V687" i="4"/>
  <c r="V686" i="4"/>
  <c r="V685" i="4"/>
  <c r="V684" i="4"/>
  <c r="V683" i="4"/>
  <c r="V682" i="4"/>
  <c r="V681" i="4"/>
  <c r="V680" i="4"/>
  <c r="V679" i="4"/>
  <c r="V678" i="4"/>
  <c r="V677" i="4"/>
  <c r="V676" i="4"/>
  <c r="V675" i="4"/>
  <c r="V674" i="4"/>
  <c r="V673" i="4"/>
  <c r="V672" i="4"/>
  <c r="V671" i="4"/>
  <c r="V670" i="4"/>
  <c r="V669" i="4"/>
  <c r="V668" i="4"/>
  <c r="V372" i="4"/>
  <c r="V61" i="4"/>
  <c r="V60" i="4"/>
  <c r="V59" i="4"/>
  <c r="V11" i="4"/>
  <c r="AD30" i="4" l="1"/>
  <c r="AD28" i="4"/>
  <c r="AD13" i="4"/>
  <c r="AD14" i="4"/>
  <c r="AD15" i="4"/>
  <c r="AD16" i="4"/>
  <c r="AD17" i="4"/>
  <c r="AD18" i="4"/>
  <c r="AD19" i="4"/>
  <c r="AD20" i="4"/>
  <c r="AD21" i="4"/>
  <c r="AD22" i="4"/>
  <c r="AD23" i="4"/>
  <c r="AD24" i="4"/>
  <c r="AD25" i="4"/>
  <c r="AD26" i="4"/>
  <c r="AD12" i="4"/>
  <c r="AF30" i="4"/>
  <c r="AF28" i="4"/>
  <c r="AF26" i="4"/>
  <c r="AF25" i="4"/>
  <c r="AF24" i="4"/>
  <c r="AF23" i="4"/>
  <c r="AF22" i="4"/>
  <c r="AF21" i="4"/>
  <c r="AF20" i="4"/>
  <c r="AF19" i="4"/>
  <c r="AF18" i="4"/>
  <c r="AF17" i="4"/>
  <c r="AF16" i="4"/>
  <c r="AF15" i="4"/>
  <c r="AF14" i="4"/>
  <c r="AF13" i="4"/>
  <c r="AE30" i="4"/>
  <c r="AE28" i="4"/>
  <c r="AE26" i="4"/>
  <c r="AE25" i="4"/>
  <c r="AE24" i="4"/>
  <c r="AE23" i="4"/>
  <c r="AE22" i="4"/>
  <c r="AE21" i="4"/>
  <c r="AE20" i="4"/>
  <c r="AE19" i="4"/>
  <c r="AE18" i="4"/>
  <c r="AE17" i="4"/>
  <c r="AE16" i="4"/>
  <c r="AE15" i="4"/>
  <c r="AE14" i="4"/>
  <c r="AE13" i="4"/>
  <c r="AF12" i="4"/>
  <c r="AE12" i="4"/>
  <c r="M9" i="4"/>
  <c r="L9" i="4"/>
  <c r="O323" i="4" l="1"/>
  <c r="P323" i="4"/>
  <c r="O324" i="4"/>
  <c r="P324" i="4"/>
  <c r="O325" i="4"/>
  <c r="P325" i="4"/>
  <c r="O326" i="4"/>
  <c r="P326" i="4"/>
  <c r="O327" i="4"/>
  <c r="P327" i="4"/>
  <c r="O328" i="4"/>
  <c r="P328" i="4"/>
  <c r="O329" i="4"/>
  <c r="P329" i="4"/>
  <c r="O330" i="4"/>
  <c r="P330" i="4"/>
  <c r="O331" i="4"/>
  <c r="P331" i="4"/>
  <c r="O332" i="4"/>
  <c r="P332" i="4"/>
  <c r="O333" i="4"/>
  <c r="P333" i="4"/>
  <c r="O334" i="4"/>
  <c r="P334" i="4"/>
  <c r="O335" i="4"/>
  <c r="P335" i="4"/>
  <c r="O336" i="4"/>
  <c r="P336" i="4"/>
  <c r="O337" i="4"/>
  <c r="P337" i="4"/>
  <c r="P322" i="4"/>
  <c r="O322" i="4"/>
  <c r="O636" i="4"/>
  <c r="P636" i="4"/>
  <c r="O637" i="4"/>
  <c r="P637" i="4"/>
  <c r="O638" i="4"/>
  <c r="P638" i="4"/>
  <c r="O639" i="4"/>
  <c r="P639" i="4"/>
  <c r="O640" i="4"/>
  <c r="P640" i="4"/>
  <c r="O641" i="4"/>
  <c r="P641" i="4"/>
  <c r="O642" i="4"/>
  <c r="P642" i="4"/>
  <c r="O643" i="4"/>
  <c r="P643" i="4"/>
  <c r="O644" i="4"/>
  <c r="P644" i="4"/>
  <c r="O645" i="4"/>
  <c r="P645" i="4"/>
  <c r="O646" i="4"/>
  <c r="P646" i="4"/>
  <c r="O647" i="4"/>
  <c r="P647" i="4"/>
  <c r="O648" i="4"/>
  <c r="P648" i="4"/>
  <c r="O649" i="4"/>
  <c r="P649" i="4"/>
  <c r="O650" i="4"/>
  <c r="P650" i="4"/>
  <c r="P635" i="4"/>
  <c r="O635" i="4"/>
  <c r="O620" i="4"/>
  <c r="P620" i="4"/>
  <c r="O621" i="4"/>
  <c r="P621" i="4"/>
  <c r="O622" i="4"/>
  <c r="P622" i="4"/>
  <c r="O623" i="4"/>
  <c r="P623" i="4"/>
  <c r="O624" i="4"/>
  <c r="P624" i="4"/>
  <c r="O625" i="4"/>
  <c r="P625" i="4"/>
  <c r="O626" i="4"/>
  <c r="P626" i="4"/>
  <c r="O627" i="4"/>
  <c r="P627" i="4"/>
  <c r="O628" i="4"/>
  <c r="P628" i="4"/>
  <c r="O629" i="4"/>
  <c r="P629" i="4"/>
  <c r="O630" i="4"/>
  <c r="P630" i="4"/>
  <c r="O631" i="4"/>
  <c r="P631" i="4"/>
  <c r="O632" i="4"/>
  <c r="P632" i="4"/>
  <c r="O633" i="4"/>
  <c r="P633" i="4"/>
  <c r="O634" i="4"/>
  <c r="P634" i="4"/>
  <c r="P619" i="4"/>
  <c r="O619" i="4"/>
  <c r="O604" i="4"/>
  <c r="O605" i="4"/>
  <c r="O606" i="4"/>
  <c r="O607" i="4"/>
  <c r="O608" i="4"/>
  <c r="O609" i="4"/>
  <c r="O610" i="4"/>
  <c r="O611" i="4"/>
  <c r="O612" i="4"/>
  <c r="O613" i="4"/>
  <c r="O614" i="4"/>
  <c r="O615" i="4"/>
  <c r="O616" i="4"/>
  <c r="O617" i="4"/>
  <c r="O618" i="4"/>
  <c r="O603" i="4"/>
  <c r="O506" i="4"/>
  <c r="P506" i="4"/>
  <c r="O507" i="4"/>
  <c r="P507" i="4"/>
  <c r="O508" i="4"/>
  <c r="P508" i="4"/>
  <c r="O509" i="4"/>
  <c r="P509" i="4"/>
  <c r="O510" i="4"/>
  <c r="P510" i="4"/>
  <c r="O511" i="4"/>
  <c r="P511" i="4"/>
  <c r="O512" i="4"/>
  <c r="P512" i="4"/>
  <c r="O513" i="4"/>
  <c r="P513" i="4"/>
  <c r="O514" i="4"/>
  <c r="P514" i="4"/>
  <c r="O515" i="4"/>
  <c r="P515" i="4"/>
  <c r="O516" i="4"/>
  <c r="P516" i="4"/>
  <c r="O517" i="4"/>
  <c r="P517" i="4"/>
  <c r="O518" i="4"/>
  <c r="P518" i="4"/>
  <c r="O519" i="4"/>
  <c r="P519" i="4"/>
  <c r="O520" i="4"/>
  <c r="P520" i="4"/>
  <c r="O521" i="4"/>
  <c r="P521" i="4"/>
  <c r="O522" i="4"/>
  <c r="P522" i="4"/>
  <c r="O523" i="4"/>
  <c r="P523" i="4"/>
  <c r="O524" i="4"/>
  <c r="P524" i="4"/>
  <c r="O525" i="4"/>
  <c r="P525" i="4"/>
  <c r="O526" i="4"/>
  <c r="P526" i="4"/>
  <c r="O527" i="4"/>
  <c r="P527" i="4"/>
  <c r="O528" i="4"/>
  <c r="P528" i="4"/>
  <c r="O529" i="4"/>
  <c r="P529" i="4"/>
  <c r="O530" i="4"/>
  <c r="P530" i="4"/>
  <c r="O531" i="4"/>
  <c r="P531" i="4"/>
  <c r="O532" i="4"/>
  <c r="P532" i="4"/>
  <c r="O533" i="4"/>
  <c r="P533" i="4"/>
  <c r="O534" i="4"/>
  <c r="P534" i="4"/>
  <c r="O535" i="4"/>
  <c r="P535" i="4"/>
  <c r="O536" i="4"/>
  <c r="P536" i="4"/>
  <c r="O537" i="4"/>
  <c r="P537" i="4"/>
  <c r="O538" i="4"/>
  <c r="P538" i="4"/>
  <c r="O539" i="4"/>
  <c r="P539" i="4"/>
  <c r="O540" i="4"/>
  <c r="P540" i="4"/>
  <c r="O541" i="4"/>
  <c r="P541" i="4"/>
  <c r="O542" i="4"/>
  <c r="P542" i="4"/>
  <c r="O543" i="4"/>
  <c r="P543" i="4"/>
  <c r="O544" i="4"/>
  <c r="P544" i="4"/>
  <c r="O545" i="4"/>
  <c r="P545" i="4"/>
  <c r="O546" i="4"/>
  <c r="P546" i="4"/>
  <c r="O547" i="4"/>
  <c r="P547" i="4"/>
  <c r="O548" i="4"/>
  <c r="P548" i="4"/>
  <c r="O549" i="4"/>
  <c r="P549" i="4"/>
  <c r="O550" i="4"/>
  <c r="P550" i="4"/>
  <c r="O551" i="4"/>
  <c r="P551" i="4"/>
  <c r="O552" i="4"/>
  <c r="P552" i="4"/>
  <c r="O553" i="4"/>
  <c r="P553" i="4"/>
  <c r="O554" i="4"/>
  <c r="P554" i="4"/>
  <c r="O555" i="4"/>
  <c r="P555" i="4"/>
  <c r="O556" i="4"/>
  <c r="P556" i="4"/>
  <c r="O557" i="4"/>
  <c r="P557" i="4"/>
  <c r="O558" i="4"/>
  <c r="P558" i="4"/>
  <c r="O559" i="4"/>
  <c r="P559" i="4"/>
  <c r="O560" i="4"/>
  <c r="P560" i="4"/>
  <c r="O561" i="4"/>
  <c r="P561" i="4"/>
  <c r="O562" i="4"/>
  <c r="P562" i="4"/>
  <c r="O563" i="4"/>
  <c r="P563" i="4"/>
  <c r="O564" i="4"/>
  <c r="P564" i="4"/>
  <c r="O565" i="4"/>
  <c r="P565" i="4"/>
  <c r="O566" i="4"/>
  <c r="P566" i="4"/>
  <c r="O567" i="4"/>
  <c r="P567" i="4"/>
  <c r="O568" i="4"/>
  <c r="P568" i="4"/>
  <c r="O569" i="4"/>
  <c r="P569" i="4"/>
  <c r="O570" i="4"/>
  <c r="P570" i="4"/>
  <c r="O571" i="4"/>
  <c r="P571" i="4"/>
  <c r="O572" i="4"/>
  <c r="P572" i="4"/>
  <c r="O573" i="4"/>
  <c r="P573" i="4"/>
  <c r="O574" i="4"/>
  <c r="P574" i="4"/>
  <c r="O575" i="4"/>
  <c r="P575" i="4"/>
  <c r="O576" i="4"/>
  <c r="P576" i="4"/>
  <c r="O577" i="4"/>
  <c r="P577" i="4"/>
  <c r="O578" i="4"/>
  <c r="P578" i="4"/>
  <c r="O579" i="4"/>
  <c r="P579" i="4"/>
  <c r="O580" i="4"/>
  <c r="P580" i="4"/>
  <c r="O581" i="4"/>
  <c r="P581" i="4"/>
  <c r="O582" i="4"/>
  <c r="P582" i="4"/>
  <c r="O583" i="4"/>
  <c r="P583" i="4"/>
  <c r="O584" i="4"/>
  <c r="P584" i="4"/>
  <c r="O585" i="4"/>
  <c r="P585" i="4"/>
  <c r="O586" i="4"/>
  <c r="P586" i="4"/>
  <c r="P505" i="4"/>
  <c r="O505"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423" i="4"/>
  <c r="P408" i="4"/>
  <c r="P409" i="4"/>
  <c r="P410" i="4"/>
  <c r="P411" i="4"/>
  <c r="P412" i="4"/>
  <c r="P413" i="4"/>
  <c r="P414" i="4"/>
  <c r="P415" i="4"/>
  <c r="P416" i="4"/>
  <c r="P417" i="4"/>
  <c r="P418" i="4"/>
  <c r="P419" i="4"/>
  <c r="P420" i="4"/>
  <c r="P421" i="4"/>
  <c r="P422" i="4"/>
  <c r="P407" i="4"/>
  <c r="O408" i="4"/>
  <c r="O409" i="4"/>
  <c r="O410" i="4"/>
  <c r="O411" i="4"/>
  <c r="O412" i="4"/>
  <c r="O413" i="4"/>
  <c r="O414" i="4"/>
  <c r="O415" i="4"/>
  <c r="O416" i="4"/>
  <c r="O417" i="4"/>
  <c r="O418" i="4"/>
  <c r="O419" i="4"/>
  <c r="O420" i="4"/>
  <c r="O421" i="4"/>
  <c r="O422" i="4"/>
  <c r="O407" i="4"/>
  <c r="O392" i="4"/>
  <c r="P392" i="4"/>
  <c r="O393" i="4"/>
  <c r="P393" i="4"/>
  <c r="O394" i="4"/>
  <c r="P394" i="4"/>
  <c r="O395" i="4"/>
  <c r="P395" i="4"/>
  <c r="O396" i="4"/>
  <c r="P396" i="4"/>
  <c r="O397" i="4"/>
  <c r="P397" i="4"/>
  <c r="O398" i="4"/>
  <c r="P398" i="4"/>
  <c r="O399" i="4"/>
  <c r="P399" i="4"/>
  <c r="O400" i="4"/>
  <c r="P400" i="4"/>
  <c r="O401" i="4"/>
  <c r="P401" i="4"/>
  <c r="O402" i="4"/>
  <c r="P402" i="4"/>
  <c r="O403" i="4"/>
  <c r="P403" i="4"/>
  <c r="O404" i="4"/>
  <c r="P404" i="4"/>
  <c r="O405" i="4"/>
  <c r="P405" i="4"/>
  <c r="O406" i="4"/>
  <c r="P406" i="4"/>
  <c r="P391" i="4"/>
  <c r="O391" i="4"/>
  <c r="O377" i="4"/>
  <c r="O378" i="4"/>
  <c r="O379" i="4"/>
  <c r="O380" i="4"/>
  <c r="O381" i="4"/>
  <c r="O382" i="4"/>
  <c r="O383" i="4"/>
  <c r="O384" i="4"/>
  <c r="O385" i="4"/>
  <c r="O386" i="4"/>
  <c r="O387" i="4"/>
  <c r="O388" i="4"/>
  <c r="O389" i="4"/>
  <c r="O390" i="4"/>
  <c r="O376" i="4"/>
  <c r="O375" i="4"/>
  <c r="Q661" i="4"/>
  <c r="Q662" i="4" s="1"/>
  <c r="Q663" i="4" s="1"/>
  <c r="Q664" i="4" s="1"/>
  <c r="Q665" i="4" s="1"/>
  <c r="M661" i="4"/>
  <c r="M662" i="4" s="1"/>
  <c r="M663" i="4" s="1"/>
  <c r="M664" i="4" s="1"/>
  <c r="M665" i="4" s="1"/>
  <c r="L661" i="4"/>
  <c r="L662" i="4" s="1"/>
  <c r="L663" i="4" s="1"/>
  <c r="L664" i="4" s="1"/>
  <c r="L665" i="4" s="1"/>
  <c r="Q656" i="4"/>
  <c r="Q657" i="4" s="1"/>
  <c r="Q658" i="4" s="1"/>
  <c r="M656" i="4"/>
  <c r="M657" i="4" s="1"/>
  <c r="M658" i="4" s="1"/>
  <c r="M604" i="4"/>
  <c r="M605" i="4" s="1"/>
  <c r="M606" i="4" s="1"/>
  <c r="M607" i="4" s="1"/>
  <c r="M608" i="4" s="1"/>
  <c r="M609" i="4" s="1"/>
  <c r="M610" i="4" s="1"/>
  <c r="M611" i="4" s="1"/>
  <c r="M612" i="4" s="1"/>
  <c r="M613" i="4" s="1"/>
  <c r="M614" i="4" s="1"/>
  <c r="M615" i="4" s="1"/>
  <c r="M616" i="4" s="1"/>
  <c r="M617" i="4" s="1"/>
  <c r="M618" i="4" s="1"/>
  <c r="M619" i="4" s="1"/>
  <c r="M620" i="4" s="1"/>
  <c r="M621" i="4" s="1"/>
  <c r="M622" i="4" s="1"/>
  <c r="M623" i="4" s="1"/>
  <c r="M624" i="4" s="1"/>
  <c r="M625" i="4" s="1"/>
  <c r="M626" i="4" s="1"/>
  <c r="M627" i="4" s="1"/>
  <c r="M628" i="4" s="1"/>
  <c r="M629" i="4" s="1"/>
  <c r="M630" i="4" s="1"/>
  <c r="M631" i="4" s="1"/>
  <c r="M632" i="4" s="1"/>
  <c r="M633" i="4" s="1"/>
  <c r="M634" i="4" s="1"/>
  <c r="M635" i="4" s="1"/>
  <c r="M636" i="4" s="1"/>
  <c r="M637" i="4" s="1"/>
  <c r="M638" i="4" s="1"/>
  <c r="M639" i="4" s="1"/>
  <c r="M640" i="4" s="1"/>
  <c r="M641" i="4" s="1"/>
  <c r="M642" i="4" s="1"/>
  <c r="M643" i="4" s="1"/>
  <c r="M644" i="4" s="1"/>
  <c r="M645" i="4" s="1"/>
  <c r="M646" i="4" s="1"/>
  <c r="M647" i="4" s="1"/>
  <c r="M648" i="4" s="1"/>
  <c r="M649" i="4" s="1"/>
  <c r="M650" i="4" s="1"/>
  <c r="M651" i="4" s="1"/>
  <c r="M652" i="4" s="1"/>
  <c r="M653" i="4" s="1"/>
  <c r="M654" i="4" s="1"/>
  <c r="Q600" i="4"/>
  <c r="Q601" i="4" s="1"/>
  <c r="Q602" i="4" s="1"/>
  <c r="Q603" i="4" s="1"/>
  <c r="Q604" i="4" s="1"/>
  <c r="Q605" i="4" s="1"/>
  <c r="Q606" i="4" s="1"/>
  <c r="Q607" i="4" s="1"/>
  <c r="Q608" i="4" s="1"/>
  <c r="Q609" i="4" s="1"/>
  <c r="Q610" i="4" s="1"/>
  <c r="Q611" i="4" s="1"/>
  <c r="Q612" i="4" s="1"/>
  <c r="Q613" i="4" s="1"/>
  <c r="Q614" i="4" s="1"/>
  <c r="Q615" i="4" s="1"/>
  <c r="Q616" i="4" s="1"/>
  <c r="Q617" i="4" s="1"/>
  <c r="Q618" i="4" s="1"/>
  <c r="Q619" i="4" s="1"/>
  <c r="Q620" i="4" s="1"/>
  <c r="Q621" i="4" s="1"/>
  <c r="Q622" i="4" s="1"/>
  <c r="Q623" i="4" s="1"/>
  <c r="Q624" i="4" s="1"/>
  <c r="Q625" i="4" s="1"/>
  <c r="Q626" i="4" s="1"/>
  <c r="Q627" i="4" s="1"/>
  <c r="Q628" i="4" s="1"/>
  <c r="Q629" i="4" s="1"/>
  <c r="Q630" i="4" s="1"/>
  <c r="Q631" i="4" s="1"/>
  <c r="Q632" i="4" s="1"/>
  <c r="Q633" i="4" s="1"/>
  <c r="Q634" i="4" s="1"/>
  <c r="Q635" i="4" s="1"/>
  <c r="Q636" i="4" s="1"/>
  <c r="Q637" i="4" s="1"/>
  <c r="Q638" i="4" s="1"/>
  <c r="Q639" i="4" s="1"/>
  <c r="Q640" i="4" s="1"/>
  <c r="Q641" i="4" s="1"/>
  <c r="Q642" i="4" s="1"/>
  <c r="Q643" i="4" s="1"/>
  <c r="Q644" i="4" s="1"/>
  <c r="Q645" i="4" s="1"/>
  <c r="Q646" i="4" s="1"/>
  <c r="Q647" i="4" s="1"/>
  <c r="Q648" i="4" s="1"/>
  <c r="Q649" i="4" s="1"/>
  <c r="Q650" i="4" s="1"/>
  <c r="Q651" i="4" s="1"/>
  <c r="Q652" i="4" s="1"/>
  <c r="Q653" i="4" s="1"/>
  <c r="Q654" i="4" s="1"/>
  <c r="M600" i="4"/>
  <c r="M601" i="4" s="1"/>
  <c r="M602" i="4" s="1"/>
  <c r="K600" i="4"/>
  <c r="Q592" i="4"/>
  <c r="Q593" i="4" s="1"/>
  <c r="Q594" i="4" s="1"/>
  <c r="Q595" i="4" s="1"/>
  <c r="Q596" i="4" s="1"/>
  <c r="Q597" i="4" s="1"/>
  <c r="Q598" i="4" s="1"/>
  <c r="M592" i="4"/>
  <c r="M593" i="4" s="1"/>
  <c r="M594" i="4" s="1"/>
  <c r="M595" i="4" s="1"/>
  <c r="M596" i="4" s="1"/>
  <c r="M597" i="4" s="1"/>
  <c r="M598" i="4" s="1"/>
  <c r="K592" i="4"/>
  <c r="J392" i="4"/>
  <c r="Q389" i="4"/>
  <c r="Q390" i="4" s="1"/>
  <c r="Q391" i="4" s="1"/>
  <c r="Q392" i="4" s="1"/>
  <c r="Q393" i="4" s="1"/>
  <c r="Q394" i="4" s="1"/>
  <c r="Q395" i="4" s="1"/>
  <c r="Q396" i="4" s="1"/>
  <c r="Q397" i="4" s="1"/>
  <c r="Q398" i="4" s="1"/>
  <c r="Q399" i="4" s="1"/>
  <c r="Q400" i="4" s="1"/>
  <c r="Q401" i="4" s="1"/>
  <c r="Q402" i="4" s="1"/>
  <c r="Q403" i="4" s="1"/>
  <c r="Q404" i="4" s="1"/>
  <c r="Q405" i="4" s="1"/>
  <c r="Q406" i="4" s="1"/>
  <c r="Q407" i="4" s="1"/>
  <c r="Q408" i="4" s="1"/>
  <c r="Q409" i="4" s="1"/>
  <c r="Q410" i="4" s="1"/>
  <c r="Q411" i="4" s="1"/>
  <c r="Q412" i="4" s="1"/>
  <c r="Q413" i="4" s="1"/>
  <c r="Q414" i="4" s="1"/>
  <c r="Q415" i="4" s="1"/>
  <c r="Q416" i="4" s="1"/>
  <c r="Q417" i="4" s="1"/>
  <c r="Q418" i="4" s="1"/>
  <c r="Q419" i="4" s="1"/>
  <c r="Q420" i="4" s="1"/>
  <c r="Q421" i="4" s="1"/>
  <c r="Q422" i="4" s="1"/>
  <c r="Q423" i="4" s="1"/>
  <c r="Q424" i="4" s="1"/>
  <c r="Q425" i="4" s="1"/>
  <c r="Q426" i="4" s="1"/>
  <c r="Q427" i="4" s="1"/>
  <c r="Q428" i="4" s="1"/>
  <c r="Q429" i="4" s="1"/>
  <c r="Q430" i="4" s="1"/>
  <c r="Q431" i="4" s="1"/>
  <c r="Q432" i="4" s="1"/>
  <c r="Q433" i="4" s="1"/>
  <c r="Q434" i="4" s="1"/>
  <c r="Q435" i="4" s="1"/>
  <c r="Q436" i="4" s="1"/>
  <c r="Q437" i="4" s="1"/>
  <c r="Q438" i="4" s="1"/>
  <c r="Q439" i="4" s="1"/>
  <c r="Q440" i="4" s="1"/>
  <c r="Q441" i="4" s="1"/>
  <c r="Q442" i="4" s="1"/>
  <c r="Q443" i="4" s="1"/>
  <c r="Q444" i="4" s="1"/>
  <c r="Q445" i="4" s="1"/>
  <c r="Q446" i="4" s="1"/>
  <c r="Q447" i="4" s="1"/>
  <c r="Q448" i="4" s="1"/>
  <c r="Q449" i="4" s="1"/>
  <c r="Q450" i="4" s="1"/>
  <c r="Q451" i="4" s="1"/>
  <c r="Q452" i="4" s="1"/>
  <c r="Q453" i="4" s="1"/>
  <c r="Q454" i="4" s="1"/>
  <c r="Q455" i="4" s="1"/>
  <c r="Q456" i="4" s="1"/>
  <c r="Q457" i="4" s="1"/>
  <c r="Q458" i="4" s="1"/>
  <c r="Q459" i="4" s="1"/>
  <c r="Q460" i="4" s="1"/>
  <c r="Q461" i="4" s="1"/>
  <c r="Q462" i="4" s="1"/>
  <c r="Q463" i="4" s="1"/>
  <c r="Q464" i="4" s="1"/>
  <c r="Q465" i="4" s="1"/>
  <c r="Q466" i="4" s="1"/>
  <c r="Q467" i="4" s="1"/>
  <c r="Q468" i="4" s="1"/>
  <c r="Q469" i="4" s="1"/>
  <c r="Q470" i="4" s="1"/>
  <c r="Q471" i="4" s="1"/>
  <c r="Q472" i="4" s="1"/>
  <c r="Q473" i="4" s="1"/>
  <c r="Q474" i="4" s="1"/>
  <c r="Q475" i="4" s="1"/>
  <c r="Q476" i="4" s="1"/>
  <c r="Q477" i="4" s="1"/>
  <c r="Q478" i="4" s="1"/>
  <c r="Q479" i="4" s="1"/>
  <c r="Q480" i="4" s="1"/>
  <c r="Q481" i="4" s="1"/>
  <c r="Q482" i="4" s="1"/>
  <c r="Q483" i="4" s="1"/>
  <c r="Q484" i="4" s="1"/>
  <c r="Q485" i="4" s="1"/>
  <c r="Q486" i="4" s="1"/>
  <c r="Q487" i="4" s="1"/>
  <c r="Q488" i="4" s="1"/>
  <c r="Q489" i="4" s="1"/>
  <c r="Q490" i="4" s="1"/>
  <c r="Q491" i="4" s="1"/>
  <c r="Q492" i="4" s="1"/>
  <c r="Q493" i="4" s="1"/>
  <c r="Q494" i="4" s="1"/>
  <c r="Q495" i="4" s="1"/>
  <c r="Q496" i="4" s="1"/>
  <c r="Q497" i="4" s="1"/>
  <c r="Q498" i="4" s="1"/>
  <c r="Q499" i="4" s="1"/>
  <c r="Q500" i="4" s="1"/>
  <c r="Q501" i="4" s="1"/>
  <c r="Q502" i="4" s="1"/>
  <c r="Q503" i="4" s="1"/>
  <c r="Q504" i="4" s="1"/>
  <c r="Q505" i="4" s="1"/>
  <c r="Q506" i="4" s="1"/>
  <c r="Q507" i="4" s="1"/>
  <c r="Q508" i="4" s="1"/>
  <c r="Q509" i="4" s="1"/>
  <c r="Q510" i="4" s="1"/>
  <c r="Q511" i="4" s="1"/>
  <c r="Q512" i="4" s="1"/>
  <c r="Q513" i="4" s="1"/>
  <c r="Q514" i="4" s="1"/>
  <c r="Q515" i="4" s="1"/>
  <c r="Q516" i="4" s="1"/>
  <c r="Q517" i="4" s="1"/>
  <c r="Q518" i="4" s="1"/>
  <c r="Q519" i="4" s="1"/>
  <c r="Q520" i="4" s="1"/>
  <c r="Q521" i="4" s="1"/>
  <c r="Q522" i="4" s="1"/>
  <c r="Q523" i="4" s="1"/>
  <c r="Q524" i="4" s="1"/>
  <c r="Q525" i="4" s="1"/>
  <c r="Q526" i="4" s="1"/>
  <c r="Q527" i="4" s="1"/>
  <c r="Q528" i="4" s="1"/>
  <c r="Q529" i="4" s="1"/>
  <c r="Q530" i="4" s="1"/>
  <c r="Q531" i="4" s="1"/>
  <c r="Q532" i="4" s="1"/>
  <c r="Q533" i="4" s="1"/>
  <c r="Q534" i="4" s="1"/>
  <c r="Q535" i="4" s="1"/>
  <c r="Q536" i="4" s="1"/>
  <c r="Q537" i="4" s="1"/>
  <c r="Q538" i="4" s="1"/>
  <c r="Q539" i="4" s="1"/>
  <c r="Q540" i="4" s="1"/>
  <c r="Q541" i="4" s="1"/>
  <c r="Q542" i="4" s="1"/>
  <c r="Q543" i="4" s="1"/>
  <c r="Q544" i="4" s="1"/>
  <c r="Q545" i="4" s="1"/>
  <c r="Q546" i="4" s="1"/>
  <c r="Q547" i="4" s="1"/>
  <c r="Q548" i="4" s="1"/>
  <c r="Q549" i="4" s="1"/>
  <c r="Q550" i="4" s="1"/>
  <c r="Q551" i="4" s="1"/>
  <c r="Q552" i="4" s="1"/>
  <c r="Q553" i="4" s="1"/>
  <c r="Q554" i="4" s="1"/>
  <c r="Q555" i="4" s="1"/>
  <c r="Q556" i="4" s="1"/>
  <c r="Q557" i="4" s="1"/>
  <c r="Q558" i="4" s="1"/>
  <c r="Q559" i="4" s="1"/>
  <c r="Q560" i="4" s="1"/>
  <c r="Q561" i="4" s="1"/>
  <c r="Q562" i="4" s="1"/>
  <c r="Q563" i="4" s="1"/>
  <c r="Q564" i="4" s="1"/>
  <c r="Q565" i="4" s="1"/>
  <c r="Q566" i="4" s="1"/>
  <c r="Q567" i="4" s="1"/>
  <c r="Q568" i="4" s="1"/>
  <c r="Q569" i="4" s="1"/>
  <c r="Q570" i="4" s="1"/>
  <c r="Q571" i="4" s="1"/>
  <c r="Q572" i="4" s="1"/>
  <c r="Q573" i="4" s="1"/>
  <c r="Q574" i="4" s="1"/>
  <c r="Q575" i="4" s="1"/>
  <c r="Q576" i="4" s="1"/>
  <c r="Q577" i="4" s="1"/>
  <c r="Q578" i="4" s="1"/>
  <c r="Q579" i="4" s="1"/>
  <c r="Q580" i="4" s="1"/>
  <c r="Q581" i="4" s="1"/>
  <c r="Q582" i="4" s="1"/>
  <c r="Q583" i="4" s="1"/>
  <c r="Q584" i="4" s="1"/>
  <c r="Q585" i="4" s="1"/>
  <c r="Q586" i="4" s="1"/>
  <c r="Q587" i="4" s="1"/>
  <c r="Q588" i="4" s="1"/>
  <c r="Q589" i="4" s="1"/>
  <c r="Q590" i="4" s="1"/>
  <c r="K376" i="4"/>
  <c r="J376" i="4"/>
  <c r="M373" i="4"/>
  <c r="M374" i="4" s="1"/>
  <c r="M375" i="4" s="1"/>
  <c r="M376" i="4" s="1"/>
  <c r="M377" i="4" s="1"/>
  <c r="M378" i="4" s="1"/>
  <c r="M379" i="4" s="1"/>
  <c r="M380" i="4" s="1"/>
  <c r="M381" i="4" s="1"/>
  <c r="M382" i="4" s="1"/>
  <c r="M383" i="4" s="1"/>
  <c r="M384" i="4" s="1"/>
  <c r="M385" i="4" s="1"/>
  <c r="M386" i="4" s="1"/>
  <c r="M387" i="4" s="1"/>
  <c r="M388" i="4" s="1"/>
  <c r="M389" i="4" s="1"/>
  <c r="M390" i="4" s="1"/>
  <c r="M391" i="4" s="1"/>
  <c r="M392" i="4" s="1"/>
  <c r="M393" i="4" s="1"/>
  <c r="M394" i="4" s="1"/>
  <c r="M395" i="4" s="1"/>
  <c r="M396" i="4" s="1"/>
  <c r="M397" i="4" s="1"/>
  <c r="M398" i="4" s="1"/>
  <c r="M399" i="4" s="1"/>
  <c r="M400" i="4" s="1"/>
  <c r="M401" i="4" s="1"/>
  <c r="M402" i="4" s="1"/>
  <c r="M403" i="4" s="1"/>
  <c r="M404" i="4" s="1"/>
  <c r="M405" i="4" s="1"/>
  <c r="M406" i="4" s="1"/>
  <c r="M407" i="4" s="1"/>
  <c r="M408" i="4" s="1"/>
  <c r="M409" i="4" s="1"/>
  <c r="M410" i="4" s="1"/>
  <c r="M411" i="4" s="1"/>
  <c r="M412" i="4" s="1"/>
  <c r="M413" i="4" s="1"/>
  <c r="M414" i="4" s="1"/>
  <c r="M415" i="4" s="1"/>
  <c r="M416" i="4" s="1"/>
  <c r="M417" i="4" s="1"/>
  <c r="M418" i="4" s="1"/>
  <c r="M419" i="4" s="1"/>
  <c r="M420" i="4" s="1"/>
  <c r="M421" i="4" s="1"/>
  <c r="M422" i="4" s="1"/>
  <c r="M423" i="4" s="1"/>
  <c r="M424" i="4" s="1"/>
  <c r="M425" i="4" s="1"/>
  <c r="M426" i="4" s="1"/>
  <c r="M427" i="4" s="1"/>
  <c r="M428" i="4" s="1"/>
  <c r="M429" i="4" s="1"/>
  <c r="M430" i="4" s="1"/>
  <c r="M431" i="4" s="1"/>
  <c r="M432" i="4" s="1"/>
  <c r="M433" i="4" s="1"/>
  <c r="M434" i="4" s="1"/>
  <c r="M435" i="4" s="1"/>
  <c r="M436" i="4" s="1"/>
  <c r="M437" i="4" s="1"/>
  <c r="M438" i="4" s="1"/>
  <c r="M439" i="4" s="1"/>
  <c r="M440" i="4" s="1"/>
  <c r="M441" i="4" s="1"/>
  <c r="M442" i="4" s="1"/>
  <c r="M443" i="4" s="1"/>
  <c r="M444" i="4" s="1"/>
  <c r="M445" i="4" s="1"/>
  <c r="M446" i="4" s="1"/>
  <c r="M447" i="4" s="1"/>
  <c r="M448" i="4" s="1"/>
  <c r="M449" i="4" s="1"/>
  <c r="M450" i="4" s="1"/>
  <c r="M451" i="4" s="1"/>
  <c r="M452" i="4" s="1"/>
  <c r="M453" i="4" s="1"/>
  <c r="M454" i="4" s="1"/>
  <c r="M455" i="4" s="1"/>
  <c r="M456" i="4" s="1"/>
  <c r="M457" i="4" s="1"/>
  <c r="M458" i="4" s="1"/>
  <c r="M459" i="4" s="1"/>
  <c r="M460" i="4" s="1"/>
  <c r="M461" i="4" s="1"/>
  <c r="M462" i="4" s="1"/>
  <c r="M463" i="4" s="1"/>
  <c r="M464" i="4" s="1"/>
  <c r="M465" i="4" s="1"/>
  <c r="M466" i="4" s="1"/>
  <c r="M467" i="4" s="1"/>
  <c r="M468" i="4" s="1"/>
  <c r="M469" i="4" s="1"/>
  <c r="M470" i="4" s="1"/>
  <c r="M471" i="4" s="1"/>
  <c r="M472" i="4" s="1"/>
  <c r="M473" i="4" s="1"/>
  <c r="M474" i="4" s="1"/>
  <c r="M475" i="4" s="1"/>
  <c r="M476" i="4" s="1"/>
  <c r="M477" i="4" s="1"/>
  <c r="M478" i="4" s="1"/>
  <c r="M479" i="4" s="1"/>
  <c r="M480" i="4" s="1"/>
  <c r="M481" i="4" s="1"/>
  <c r="M482" i="4" s="1"/>
  <c r="M483" i="4" s="1"/>
  <c r="M484" i="4" s="1"/>
  <c r="M485" i="4" s="1"/>
  <c r="M486" i="4" s="1"/>
  <c r="M487" i="4" s="1"/>
  <c r="M488" i="4" s="1"/>
  <c r="M489" i="4" s="1"/>
  <c r="M490" i="4" s="1"/>
  <c r="M491" i="4" s="1"/>
  <c r="M492" i="4" s="1"/>
  <c r="M493" i="4" s="1"/>
  <c r="M494" i="4" s="1"/>
  <c r="M495" i="4" s="1"/>
  <c r="M496" i="4" s="1"/>
  <c r="M497" i="4" s="1"/>
  <c r="M498" i="4" s="1"/>
  <c r="M499" i="4" s="1"/>
  <c r="M500" i="4" s="1"/>
  <c r="M501" i="4" s="1"/>
  <c r="M502" i="4" s="1"/>
  <c r="M503" i="4" s="1"/>
  <c r="M504" i="4" s="1"/>
  <c r="M505" i="4" s="1"/>
  <c r="M506" i="4" s="1"/>
  <c r="M507" i="4" s="1"/>
  <c r="M508" i="4" s="1"/>
  <c r="M509" i="4" s="1"/>
  <c r="M510" i="4" s="1"/>
  <c r="M511" i="4" s="1"/>
  <c r="M512" i="4" s="1"/>
  <c r="M513" i="4" s="1"/>
  <c r="M514" i="4" s="1"/>
  <c r="M515" i="4" s="1"/>
  <c r="M516" i="4" s="1"/>
  <c r="M517" i="4" s="1"/>
  <c r="M518" i="4" s="1"/>
  <c r="M519" i="4" s="1"/>
  <c r="M520" i="4" s="1"/>
  <c r="M521" i="4" s="1"/>
  <c r="M522" i="4" s="1"/>
  <c r="M523" i="4" s="1"/>
  <c r="M524" i="4" s="1"/>
  <c r="M525" i="4" s="1"/>
  <c r="M526" i="4" s="1"/>
  <c r="M527" i="4" s="1"/>
  <c r="M528" i="4" s="1"/>
  <c r="M529" i="4" s="1"/>
  <c r="M530" i="4" s="1"/>
  <c r="M531" i="4" s="1"/>
  <c r="M532" i="4" s="1"/>
  <c r="M533" i="4" s="1"/>
  <c r="M534" i="4" s="1"/>
  <c r="M535" i="4" s="1"/>
  <c r="M536" i="4" s="1"/>
  <c r="M537" i="4" s="1"/>
  <c r="M538" i="4" s="1"/>
  <c r="M539" i="4" s="1"/>
  <c r="M540" i="4" s="1"/>
  <c r="M541" i="4" s="1"/>
  <c r="M542" i="4" s="1"/>
  <c r="M543" i="4" s="1"/>
  <c r="M544" i="4" s="1"/>
  <c r="M545" i="4" s="1"/>
  <c r="M546" i="4" s="1"/>
  <c r="M547" i="4" s="1"/>
  <c r="M548" i="4" s="1"/>
  <c r="M549" i="4" s="1"/>
  <c r="M550" i="4" s="1"/>
  <c r="M551" i="4" s="1"/>
  <c r="M552" i="4" s="1"/>
  <c r="M553" i="4" s="1"/>
  <c r="M554" i="4" s="1"/>
  <c r="M555" i="4" s="1"/>
  <c r="M556" i="4" s="1"/>
  <c r="M557" i="4" s="1"/>
  <c r="M558" i="4" s="1"/>
  <c r="M559" i="4" s="1"/>
  <c r="M560" i="4" s="1"/>
  <c r="M561" i="4" s="1"/>
  <c r="M562" i="4" s="1"/>
  <c r="M563" i="4" s="1"/>
  <c r="M564" i="4" s="1"/>
  <c r="M565" i="4" s="1"/>
  <c r="M566" i="4" s="1"/>
  <c r="M567" i="4" s="1"/>
  <c r="M568" i="4" s="1"/>
  <c r="M569" i="4" s="1"/>
  <c r="M570" i="4" s="1"/>
  <c r="M571" i="4" s="1"/>
  <c r="M572" i="4" s="1"/>
  <c r="M573" i="4" s="1"/>
  <c r="M574" i="4" s="1"/>
  <c r="M575" i="4" s="1"/>
  <c r="M576" i="4" s="1"/>
  <c r="M577" i="4" s="1"/>
  <c r="M578" i="4" s="1"/>
  <c r="M579" i="4" s="1"/>
  <c r="M580" i="4" s="1"/>
  <c r="M581" i="4" s="1"/>
  <c r="M582" i="4" s="1"/>
  <c r="M583" i="4" s="1"/>
  <c r="M584" i="4" s="1"/>
  <c r="M585" i="4" s="1"/>
  <c r="M586" i="4" s="1"/>
  <c r="M587" i="4" s="1"/>
  <c r="M588" i="4" s="1"/>
  <c r="M589" i="4" s="1"/>
  <c r="M590" i="4" s="1"/>
  <c r="L373" i="4"/>
  <c r="L374" i="4" s="1"/>
  <c r="L375" i="4" s="1"/>
  <c r="L376" i="4" s="1"/>
  <c r="L377" i="4" s="1"/>
  <c r="L378" i="4" s="1"/>
  <c r="L379" i="4" s="1"/>
  <c r="L380" i="4" s="1"/>
  <c r="L381" i="4" s="1"/>
  <c r="L382" i="4" s="1"/>
  <c r="L383" i="4" s="1"/>
  <c r="L384" i="4" s="1"/>
  <c r="L385" i="4" s="1"/>
  <c r="L386" i="4" s="1"/>
  <c r="L387" i="4" s="1"/>
  <c r="L388" i="4" s="1"/>
  <c r="L389" i="4" s="1"/>
  <c r="L390" i="4" s="1"/>
  <c r="L391" i="4" s="1"/>
  <c r="L392" i="4" s="1"/>
  <c r="L393" i="4" s="1"/>
  <c r="L394" i="4" s="1"/>
  <c r="L395" i="4" s="1"/>
  <c r="L396" i="4" s="1"/>
  <c r="L397" i="4" s="1"/>
  <c r="L398" i="4" s="1"/>
  <c r="L399" i="4" s="1"/>
  <c r="L400" i="4" s="1"/>
  <c r="L401" i="4" s="1"/>
  <c r="L402" i="4" s="1"/>
  <c r="L403" i="4" s="1"/>
  <c r="L404" i="4" s="1"/>
  <c r="L405" i="4" s="1"/>
  <c r="L406" i="4" s="1"/>
  <c r="L407" i="4" s="1"/>
  <c r="L408" i="4" s="1"/>
  <c r="L409" i="4" s="1"/>
  <c r="L410" i="4" s="1"/>
  <c r="L411" i="4" s="1"/>
  <c r="L412" i="4" s="1"/>
  <c r="L413" i="4" s="1"/>
  <c r="L414" i="4" s="1"/>
  <c r="L415" i="4" s="1"/>
  <c r="L416" i="4" s="1"/>
  <c r="L417" i="4" s="1"/>
  <c r="L418" i="4" s="1"/>
  <c r="L419" i="4" s="1"/>
  <c r="L420" i="4" s="1"/>
  <c r="L421" i="4" s="1"/>
  <c r="L422" i="4" s="1"/>
  <c r="L423" i="4" s="1"/>
  <c r="L424" i="4" s="1"/>
  <c r="L425" i="4" s="1"/>
  <c r="L426" i="4" s="1"/>
  <c r="L427" i="4" s="1"/>
  <c r="L428" i="4" s="1"/>
  <c r="L429" i="4" s="1"/>
  <c r="L430" i="4" s="1"/>
  <c r="L431" i="4" s="1"/>
  <c r="L432" i="4" s="1"/>
  <c r="L433" i="4" s="1"/>
  <c r="L434" i="4" s="1"/>
  <c r="L435" i="4" s="1"/>
  <c r="L436" i="4" s="1"/>
  <c r="L437" i="4" s="1"/>
  <c r="L438" i="4" s="1"/>
  <c r="L439" i="4" s="1"/>
  <c r="L440" i="4" s="1"/>
  <c r="L441" i="4" s="1"/>
  <c r="L442" i="4" s="1"/>
  <c r="L443" i="4" s="1"/>
  <c r="L444" i="4" s="1"/>
  <c r="L445" i="4" s="1"/>
  <c r="L446" i="4" s="1"/>
  <c r="L447" i="4" s="1"/>
  <c r="L448" i="4" s="1"/>
  <c r="L449" i="4" s="1"/>
  <c r="L450" i="4" s="1"/>
  <c r="L451" i="4" s="1"/>
  <c r="L452" i="4" s="1"/>
  <c r="L453" i="4" s="1"/>
  <c r="L454" i="4" s="1"/>
  <c r="L455" i="4" s="1"/>
  <c r="L456" i="4" s="1"/>
  <c r="L457" i="4" s="1"/>
  <c r="L458" i="4" s="1"/>
  <c r="L459" i="4" s="1"/>
  <c r="L460" i="4" s="1"/>
  <c r="L461" i="4" s="1"/>
  <c r="L462" i="4" s="1"/>
  <c r="L463" i="4" s="1"/>
  <c r="L464" i="4" s="1"/>
  <c r="L465" i="4" s="1"/>
  <c r="L466" i="4" s="1"/>
  <c r="L467" i="4" s="1"/>
  <c r="L468" i="4" s="1"/>
  <c r="L469" i="4" s="1"/>
  <c r="L470" i="4" s="1"/>
  <c r="L471" i="4" s="1"/>
  <c r="L472" i="4" s="1"/>
  <c r="L473" i="4" s="1"/>
  <c r="L474" i="4" s="1"/>
  <c r="L475" i="4" s="1"/>
  <c r="L476" i="4" s="1"/>
  <c r="L477" i="4" s="1"/>
  <c r="L478" i="4" s="1"/>
  <c r="L479" i="4" s="1"/>
  <c r="L480" i="4" s="1"/>
  <c r="L481" i="4" s="1"/>
  <c r="L482" i="4" s="1"/>
  <c r="L483" i="4" s="1"/>
  <c r="L484" i="4" s="1"/>
  <c r="L485" i="4" s="1"/>
  <c r="L486" i="4" s="1"/>
  <c r="L487" i="4" s="1"/>
  <c r="L488" i="4" s="1"/>
  <c r="L489" i="4" s="1"/>
  <c r="L490" i="4" s="1"/>
  <c r="L491" i="4" s="1"/>
  <c r="L492" i="4" s="1"/>
  <c r="L493" i="4" s="1"/>
  <c r="L494" i="4" s="1"/>
  <c r="L495" i="4" s="1"/>
  <c r="L496" i="4" s="1"/>
  <c r="L497" i="4" s="1"/>
  <c r="L498" i="4" s="1"/>
  <c r="L499" i="4" s="1"/>
  <c r="L500" i="4" s="1"/>
  <c r="L501" i="4" s="1"/>
  <c r="L502" i="4" s="1"/>
  <c r="L503" i="4" s="1"/>
  <c r="L504" i="4" s="1"/>
  <c r="L505" i="4" s="1"/>
  <c r="L506" i="4" s="1"/>
  <c r="L507" i="4" s="1"/>
  <c r="L508" i="4" s="1"/>
  <c r="L509" i="4" s="1"/>
  <c r="L510" i="4" s="1"/>
  <c r="L511" i="4" s="1"/>
  <c r="L512" i="4" s="1"/>
  <c r="L513" i="4" s="1"/>
  <c r="L514" i="4" s="1"/>
  <c r="L515" i="4" s="1"/>
  <c r="L516" i="4" s="1"/>
  <c r="L517" i="4" s="1"/>
  <c r="L518" i="4" s="1"/>
  <c r="L519" i="4" s="1"/>
  <c r="L520" i="4" s="1"/>
  <c r="L521" i="4" s="1"/>
  <c r="L522" i="4" s="1"/>
  <c r="L523" i="4" s="1"/>
  <c r="L524" i="4" s="1"/>
  <c r="L525" i="4" s="1"/>
  <c r="L526" i="4" s="1"/>
  <c r="L527" i="4" s="1"/>
  <c r="L528" i="4" s="1"/>
  <c r="L529" i="4" s="1"/>
  <c r="L530" i="4" s="1"/>
  <c r="L531" i="4" s="1"/>
  <c r="L532" i="4" s="1"/>
  <c r="L533" i="4" s="1"/>
  <c r="L534" i="4" s="1"/>
  <c r="L535" i="4" s="1"/>
  <c r="L536" i="4" s="1"/>
  <c r="L537" i="4" s="1"/>
  <c r="L538" i="4" s="1"/>
  <c r="L539" i="4" s="1"/>
  <c r="L540" i="4" s="1"/>
  <c r="L541" i="4" s="1"/>
  <c r="L542" i="4" s="1"/>
  <c r="L543" i="4" s="1"/>
  <c r="L544" i="4" s="1"/>
  <c r="L545" i="4" s="1"/>
  <c r="L546" i="4" s="1"/>
  <c r="L547" i="4" s="1"/>
  <c r="L548" i="4" s="1"/>
  <c r="L549" i="4" s="1"/>
  <c r="L550" i="4" s="1"/>
  <c r="L551" i="4" s="1"/>
  <c r="L552" i="4" s="1"/>
  <c r="L553" i="4" s="1"/>
  <c r="L554" i="4" s="1"/>
  <c r="L555" i="4" s="1"/>
  <c r="L556" i="4" s="1"/>
  <c r="L557" i="4" s="1"/>
  <c r="L558" i="4" s="1"/>
  <c r="L559" i="4" s="1"/>
  <c r="L560" i="4" s="1"/>
  <c r="L561" i="4" s="1"/>
  <c r="L562" i="4" s="1"/>
  <c r="L563" i="4" s="1"/>
  <c r="L564" i="4" s="1"/>
  <c r="L565" i="4" s="1"/>
  <c r="L566" i="4" s="1"/>
  <c r="L567" i="4" s="1"/>
  <c r="L568" i="4" s="1"/>
  <c r="L569" i="4" s="1"/>
  <c r="L570" i="4" s="1"/>
  <c r="L571" i="4" s="1"/>
  <c r="L572" i="4" s="1"/>
  <c r="L573" i="4" s="1"/>
  <c r="L574" i="4" s="1"/>
  <c r="L575" i="4" s="1"/>
  <c r="L576" i="4" s="1"/>
  <c r="L577" i="4" s="1"/>
  <c r="L578" i="4" s="1"/>
  <c r="L579" i="4" s="1"/>
  <c r="L580" i="4" s="1"/>
  <c r="L581" i="4" s="1"/>
  <c r="L582" i="4" s="1"/>
  <c r="L583" i="4" s="1"/>
  <c r="L584" i="4" s="1"/>
  <c r="L585" i="4" s="1"/>
  <c r="L586" i="4" s="1"/>
  <c r="L587" i="4" s="1"/>
  <c r="L588" i="4" s="1"/>
  <c r="L589" i="4" s="1"/>
  <c r="L590" i="4" s="1"/>
  <c r="L591" i="4" s="1"/>
  <c r="L592" i="4" s="1"/>
  <c r="L593" i="4" s="1"/>
  <c r="L594" i="4" s="1"/>
  <c r="L595" i="4" s="1"/>
  <c r="L596" i="4" s="1"/>
  <c r="L597" i="4" s="1"/>
  <c r="L598" i="4" s="1"/>
  <c r="L599" i="4" s="1"/>
  <c r="L600" i="4" s="1"/>
  <c r="L601" i="4" s="1"/>
  <c r="L602" i="4" s="1"/>
  <c r="L603" i="4" s="1"/>
  <c r="L604" i="4" s="1"/>
  <c r="L605" i="4" s="1"/>
  <c r="L606" i="4" s="1"/>
  <c r="L607" i="4" s="1"/>
  <c r="L608" i="4" s="1"/>
  <c r="L609" i="4" s="1"/>
  <c r="L610" i="4" s="1"/>
  <c r="L611" i="4" s="1"/>
  <c r="L612" i="4" s="1"/>
  <c r="L613" i="4" s="1"/>
  <c r="L614" i="4" s="1"/>
  <c r="L615" i="4" s="1"/>
  <c r="L616" i="4" s="1"/>
  <c r="L617" i="4" s="1"/>
  <c r="L618" i="4" s="1"/>
  <c r="L619" i="4" s="1"/>
  <c r="L620" i="4" s="1"/>
  <c r="L621" i="4" s="1"/>
  <c r="L622" i="4" s="1"/>
  <c r="L623" i="4" s="1"/>
  <c r="L624" i="4" s="1"/>
  <c r="L625" i="4" s="1"/>
  <c r="L626" i="4" s="1"/>
  <c r="L627" i="4" s="1"/>
  <c r="L628" i="4" s="1"/>
  <c r="L629" i="4" s="1"/>
  <c r="L630" i="4" s="1"/>
  <c r="L631" i="4" s="1"/>
  <c r="L632" i="4" s="1"/>
  <c r="L633" i="4" s="1"/>
  <c r="L634" i="4" s="1"/>
  <c r="L635" i="4" s="1"/>
  <c r="L636" i="4" s="1"/>
  <c r="L637" i="4" s="1"/>
  <c r="L638" i="4" s="1"/>
  <c r="L639" i="4" s="1"/>
  <c r="L640" i="4" s="1"/>
  <c r="L641" i="4" s="1"/>
  <c r="L642" i="4" s="1"/>
  <c r="L643" i="4" s="1"/>
  <c r="L644" i="4" s="1"/>
  <c r="L645" i="4" s="1"/>
  <c r="L646" i="4" s="1"/>
  <c r="L647" i="4" s="1"/>
  <c r="L648" i="4" s="1"/>
  <c r="L649" i="4" s="1"/>
  <c r="L650" i="4" s="1"/>
  <c r="L651" i="4" s="1"/>
  <c r="L652" i="4" s="1"/>
  <c r="L653" i="4" s="1"/>
  <c r="L654" i="4" s="1"/>
  <c r="L655" i="4" s="1"/>
  <c r="L656" i="4" s="1"/>
  <c r="L657" i="4" s="1"/>
  <c r="L658" i="4" s="1"/>
  <c r="D373" i="4"/>
  <c r="D374" i="4" s="1"/>
  <c r="D375" i="4" s="1"/>
  <c r="D376" i="4" s="1"/>
  <c r="D377" i="4" s="1"/>
  <c r="D378" i="4" s="1"/>
  <c r="D379"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C373" i="4"/>
  <c r="C374" i="4" s="1"/>
  <c r="C375" i="4" s="1"/>
  <c r="C376" i="4" s="1"/>
  <c r="C377" i="4" s="1"/>
  <c r="C378" i="4" s="1"/>
  <c r="C379" i="4" s="1"/>
  <c r="C380" i="4" s="1"/>
  <c r="C381" i="4" s="1"/>
  <c r="C382" i="4" s="1"/>
  <c r="C383" i="4" s="1"/>
  <c r="C384" i="4" s="1"/>
  <c r="C385" i="4" s="1"/>
  <c r="C386" i="4" s="1"/>
  <c r="C387" i="4" s="1"/>
  <c r="C388" i="4" s="1"/>
  <c r="C389" i="4" s="1"/>
  <c r="C390" i="4" s="1"/>
  <c r="C391" i="4" s="1"/>
  <c r="C392" i="4" s="1"/>
  <c r="C393" i="4" s="1"/>
  <c r="C394" i="4" s="1"/>
  <c r="C395" i="4" s="1"/>
  <c r="C396" i="4" s="1"/>
  <c r="C397" i="4" s="1"/>
  <c r="C398" i="4" s="1"/>
  <c r="C399" i="4" s="1"/>
  <c r="C400" i="4" s="1"/>
  <c r="C401" i="4" s="1"/>
  <c r="C402" i="4" s="1"/>
  <c r="C403" i="4" s="1"/>
  <c r="C404" i="4" s="1"/>
  <c r="C405" i="4" s="1"/>
  <c r="C406" i="4" s="1"/>
  <c r="C407" i="4" s="1"/>
  <c r="C408" i="4" s="1"/>
  <c r="C409" i="4" s="1"/>
  <c r="C410" i="4" s="1"/>
  <c r="C411" i="4" s="1"/>
  <c r="C412" i="4" s="1"/>
  <c r="C413" i="4" s="1"/>
  <c r="C414" i="4" s="1"/>
  <c r="C415" i="4" s="1"/>
  <c r="C416" i="4" s="1"/>
  <c r="C417" i="4" s="1"/>
  <c r="C418" i="4" s="1"/>
  <c r="C419" i="4" s="1"/>
  <c r="C420" i="4" s="1"/>
  <c r="C421" i="4" s="1"/>
  <c r="C422" i="4" s="1"/>
  <c r="C423" i="4" s="1"/>
  <c r="C424" i="4" s="1"/>
  <c r="C425" i="4" s="1"/>
  <c r="C426" i="4" s="1"/>
  <c r="C427" i="4" s="1"/>
  <c r="C428" i="4" s="1"/>
  <c r="C429" i="4" s="1"/>
  <c r="C430" i="4" s="1"/>
  <c r="C431" i="4" s="1"/>
  <c r="C432" i="4" s="1"/>
  <c r="C433" i="4" s="1"/>
  <c r="C434" i="4" s="1"/>
  <c r="C435" i="4" s="1"/>
  <c r="C436" i="4" s="1"/>
  <c r="C437" i="4" s="1"/>
  <c r="C438" i="4" s="1"/>
  <c r="C439" i="4" s="1"/>
  <c r="C440" i="4" s="1"/>
  <c r="C441" i="4" s="1"/>
  <c r="C442" i="4" s="1"/>
  <c r="C443" i="4" s="1"/>
  <c r="C444" i="4" s="1"/>
  <c r="C445" i="4" s="1"/>
  <c r="C446" i="4" s="1"/>
  <c r="C447" i="4" s="1"/>
  <c r="C448" i="4" s="1"/>
  <c r="C449" i="4" s="1"/>
  <c r="C450" i="4" s="1"/>
  <c r="C451" i="4" s="1"/>
  <c r="C452" i="4" s="1"/>
  <c r="C453" i="4" s="1"/>
  <c r="C454" i="4" s="1"/>
  <c r="C455" i="4" s="1"/>
  <c r="C456" i="4" s="1"/>
  <c r="C457" i="4" s="1"/>
  <c r="C458" i="4" s="1"/>
  <c r="C459" i="4" s="1"/>
  <c r="C460" i="4" s="1"/>
  <c r="C461" i="4" s="1"/>
  <c r="C462" i="4" s="1"/>
  <c r="C463" i="4" s="1"/>
  <c r="C464" i="4" s="1"/>
  <c r="C465" i="4" s="1"/>
  <c r="C466" i="4" s="1"/>
  <c r="C467" i="4" s="1"/>
  <c r="C468" i="4" s="1"/>
  <c r="C469" i="4" s="1"/>
  <c r="C470" i="4" s="1"/>
  <c r="C471" i="4" s="1"/>
  <c r="C472" i="4" s="1"/>
  <c r="C473" i="4" s="1"/>
  <c r="C474" i="4" s="1"/>
  <c r="C475" i="4" s="1"/>
  <c r="C476" i="4" s="1"/>
  <c r="C477" i="4" s="1"/>
  <c r="C478" i="4" s="1"/>
  <c r="C479" i="4" s="1"/>
  <c r="C480" i="4" s="1"/>
  <c r="C481" i="4" s="1"/>
  <c r="C482" i="4" s="1"/>
  <c r="C483" i="4" s="1"/>
  <c r="C484" i="4" s="1"/>
  <c r="C485" i="4" s="1"/>
  <c r="C486" i="4" s="1"/>
  <c r="C487" i="4" s="1"/>
  <c r="C488" i="4" s="1"/>
  <c r="C489" i="4" s="1"/>
  <c r="C490" i="4" s="1"/>
  <c r="C491" i="4" s="1"/>
  <c r="C492" i="4" s="1"/>
  <c r="C493" i="4" s="1"/>
  <c r="C494" i="4" s="1"/>
  <c r="C495" i="4" s="1"/>
  <c r="C496" i="4" s="1"/>
  <c r="C497" i="4" s="1"/>
  <c r="C498" i="4" s="1"/>
  <c r="C499" i="4" s="1"/>
  <c r="C500" i="4" s="1"/>
  <c r="C501" i="4" s="1"/>
  <c r="C502" i="4" s="1"/>
  <c r="C503" i="4" s="1"/>
  <c r="C504" i="4" s="1"/>
  <c r="C505" i="4" s="1"/>
  <c r="C506" i="4" s="1"/>
  <c r="C507" i="4" s="1"/>
  <c r="C508" i="4" s="1"/>
  <c r="C509" i="4" s="1"/>
  <c r="C510" i="4" s="1"/>
  <c r="C511" i="4" s="1"/>
  <c r="C512" i="4" s="1"/>
  <c r="C513" i="4" s="1"/>
  <c r="C514" i="4" s="1"/>
  <c r="C515" i="4" s="1"/>
  <c r="C516" i="4" s="1"/>
  <c r="C517" i="4" s="1"/>
  <c r="C518" i="4" s="1"/>
  <c r="C519" i="4" s="1"/>
  <c r="C520" i="4" s="1"/>
  <c r="C521" i="4" s="1"/>
  <c r="C522" i="4" s="1"/>
  <c r="C523" i="4" s="1"/>
  <c r="C524" i="4" s="1"/>
  <c r="C525" i="4" s="1"/>
  <c r="C526" i="4" s="1"/>
  <c r="C527" i="4" s="1"/>
  <c r="C528" i="4" s="1"/>
  <c r="C529" i="4" s="1"/>
  <c r="C530" i="4" s="1"/>
  <c r="C531" i="4" s="1"/>
  <c r="C532" i="4" s="1"/>
  <c r="C533" i="4" s="1"/>
  <c r="C534" i="4" s="1"/>
  <c r="C535" i="4" s="1"/>
  <c r="C536" i="4" s="1"/>
  <c r="C537" i="4" s="1"/>
  <c r="C538" i="4" s="1"/>
  <c r="C539" i="4" s="1"/>
  <c r="C540" i="4" s="1"/>
  <c r="C541" i="4" s="1"/>
  <c r="C542" i="4" s="1"/>
  <c r="C543" i="4" s="1"/>
  <c r="C544" i="4" s="1"/>
  <c r="C545" i="4" s="1"/>
  <c r="C546" i="4" s="1"/>
  <c r="C547" i="4" s="1"/>
  <c r="C548" i="4" s="1"/>
  <c r="C549" i="4" s="1"/>
  <c r="C550" i="4" s="1"/>
  <c r="C551" i="4" s="1"/>
  <c r="C552" i="4" s="1"/>
  <c r="C553" i="4" s="1"/>
  <c r="C554" i="4" s="1"/>
  <c r="C555" i="4" s="1"/>
  <c r="C556" i="4" s="1"/>
  <c r="C557" i="4" s="1"/>
  <c r="C558" i="4" s="1"/>
  <c r="C559" i="4" s="1"/>
  <c r="C560" i="4" s="1"/>
  <c r="C561" i="4" s="1"/>
  <c r="C562" i="4" s="1"/>
  <c r="C563" i="4" s="1"/>
  <c r="C564" i="4" s="1"/>
  <c r="C565" i="4" s="1"/>
  <c r="C566" i="4" s="1"/>
  <c r="C567" i="4" s="1"/>
  <c r="C568" i="4" s="1"/>
  <c r="C569" i="4" s="1"/>
  <c r="C570" i="4" s="1"/>
  <c r="C571" i="4" s="1"/>
  <c r="C572" i="4" s="1"/>
  <c r="C573" i="4" s="1"/>
  <c r="C574" i="4" s="1"/>
  <c r="C575" i="4" s="1"/>
  <c r="C576" i="4" s="1"/>
  <c r="C577" i="4" s="1"/>
  <c r="C578" i="4" s="1"/>
  <c r="C579" i="4" s="1"/>
  <c r="C580" i="4" s="1"/>
  <c r="C581" i="4" s="1"/>
  <c r="C582" i="4" s="1"/>
  <c r="C583" i="4" s="1"/>
  <c r="C584" i="4" s="1"/>
  <c r="C585" i="4" s="1"/>
  <c r="C586" i="4" s="1"/>
  <c r="C587" i="4" s="1"/>
  <c r="C588" i="4" s="1"/>
  <c r="C589" i="4" s="1"/>
  <c r="C590" i="4" s="1"/>
  <c r="C591" i="4" s="1"/>
  <c r="C592" i="4" s="1"/>
  <c r="C593" i="4" s="1"/>
  <c r="C594" i="4" s="1"/>
  <c r="C595" i="4" s="1"/>
  <c r="C596" i="4" s="1"/>
  <c r="C597" i="4" s="1"/>
  <c r="C598" i="4" s="1"/>
  <c r="C599" i="4" s="1"/>
  <c r="C600" i="4" s="1"/>
  <c r="C601" i="4" s="1"/>
  <c r="C602" i="4" s="1"/>
  <c r="C603" i="4" s="1"/>
  <c r="C604" i="4" s="1"/>
  <c r="C605" i="4" s="1"/>
  <c r="C606" i="4" s="1"/>
  <c r="C607" i="4" s="1"/>
  <c r="C608" i="4" s="1"/>
  <c r="C609" i="4" s="1"/>
  <c r="C610" i="4" s="1"/>
  <c r="C611" i="4" s="1"/>
  <c r="C612" i="4" s="1"/>
  <c r="C613" i="4" s="1"/>
  <c r="C614" i="4" s="1"/>
  <c r="C615" i="4" s="1"/>
  <c r="C616" i="4" s="1"/>
  <c r="C617" i="4" s="1"/>
  <c r="C618" i="4" s="1"/>
  <c r="C619" i="4" s="1"/>
  <c r="C620" i="4" s="1"/>
  <c r="C621" i="4" s="1"/>
  <c r="C622" i="4" s="1"/>
  <c r="C623" i="4" s="1"/>
  <c r="C624" i="4" s="1"/>
  <c r="C625" i="4" s="1"/>
  <c r="C626" i="4" s="1"/>
  <c r="C627" i="4" s="1"/>
  <c r="C628" i="4" s="1"/>
  <c r="C629" i="4" s="1"/>
  <c r="C630" i="4" s="1"/>
  <c r="C631" i="4" s="1"/>
  <c r="C632" i="4" s="1"/>
  <c r="C633" i="4" s="1"/>
  <c r="C634" i="4" s="1"/>
  <c r="C635" i="4" s="1"/>
  <c r="C636" i="4" s="1"/>
  <c r="C637" i="4" s="1"/>
  <c r="C638" i="4" s="1"/>
  <c r="C639" i="4" s="1"/>
  <c r="C640" i="4" s="1"/>
  <c r="C641" i="4" s="1"/>
  <c r="C642" i="4" s="1"/>
  <c r="C643" i="4" s="1"/>
  <c r="C644" i="4" s="1"/>
  <c r="C645" i="4" s="1"/>
  <c r="C646" i="4" s="1"/>
  <c r="C647" i="4" s="1"/>
  <c r="C648" i="4" s="1"/>
  <c r="C649" i="4" s="1"/>
  <c r="C650" i="4" s="1"/>
  <c r="C651" i="4" s="1"/>
  <c r="C652" i="4" s="1"/>
  <c r="C653" i="4" s="1"/>
  <c r="C654" i="4" s="1"/>
  <c r="C655" i="4" s="1"/>
  <c r="C656" i="4" s="1"/>
  <c r="C657" i="4" s="1"/>
  <c r="C658" i="4" s="1"/>
  <c r="C659" i="4" s="1"/>
  <c r="C660" i="4" s="1"/>
  <c r="C661" i="4" s="1"/>
  <c r="C662" i="4" s="1"/>
  <c r="C663" i="4" s="1"/>
  <c r="C664" i="4" s="1"/>
  <c r="C665" i="4" s="1"/>
  <c r="C666" i="4" s="1"/>
  <c r="C667" i="4" s="1"/>
  <c r="B373" i="4"/>
  <c r="B374" i="4" l="1"/>
  <c r="V373" i="4"/>
  <c r="J393" i="4"/>
  <c r="K601" i="4"/>
  <c r="J377" i="4"/>
  <c r="K593" i="4"/>
  <c r="K377" i="4"/>
  <c r="S54" i="4"/>
  <c r="L364" i="4"/>
  <c r="L365" i="4" s="1"/>
  <c r="L366" i="4" s="1"/>
  <c r="L367" i="4" s="1"/>
  <c r="L368" i="4" s="1"/>
  <c r="L369" i="4" s="1"/>
  <c r="Q355" i="4"/>
  <c r="Q356" i="4" s="1"/>
  <c r="Q357" i="4" s="1"/>
  <c r="Q358" i="4" s="1"/>
  <c r="Q359" i="4" s="1"/>
  <c r="Q360" i="4" s="1"/>
  <c r="Q361" i="4" s="1"/>
  <c r="Q362" i="4" s="1"/>
  <c r="Q363" i="4" s="1"/>
  <c r="Q364" i="4" s="1"/>
  <c r="Q365" i="4" s="1"/>
  <c r="Q366" i="4" s="1"/>
  <c r="Q367" i="4" s="1"/>
  <c r="Q368" i="4" s="1"/>
  <c r="Q369" i="4" s="1"/>
  <c r="Q370" i="4" s="1"/>
  <c r="Q371" i="4" s="1"/>
  <c r="M355" i="4"/>
  <c r="M356" i="4" s="1"/>
  <c r="M357" i="4" s="1"/>
  <c r="M358" i="4" s="1"/>
  <c r="M359" i="4" s="1"/>
  <c r="M360" i="4" s="1"/>
  <c r="M361" i="4" s="1"/>
  <c r="M362" i="4" s="1"/>
  <c r="M363" i="4" s="1"/>
  <c r="M364" i="4" s="1"/>
  <c r="M365" i="4" s="1"/>
  <c r="M366" i="4" s="1"/>
  <c r="M367" i="4" s="1"/>
  <c r="M368" i="4" s="1"/>
  <c r="M369" i="4" s="1"/>
  <c r="Q347" i="4"/>
  <c r="Q348" i="4" s="1"/>
  <c r="Q349" i="4" s="1"/>
  <c r="Q350" i="4" s="1"/>
  <c r="Q351" i="4" s="1"/>
  <c r="Q352" i="4" s="1"/>
  <c r="Q353" i="4" s="1"/>
  <c r="Q339" i="4"/>
  <c r="Q340" i="4" s="1"/>
  <c r="Q341" i="4" s="1"/>
  <c r="Q342" i="4" s="1"/>
  <c r="Q343" i="4" s="1"/>
  <c r="Q344" i="4" s="1"/>
  <c r="Q345" i="4" s="1"/>
  <c r="P321" i="4"/>
  <c r="O321" i="4"/>
  <c r="P320" i="4"/>
  <c r="O320" i="4"/>
  <c r="P319" i="4"/>
  <c r="O319" i="4"/>
  <c r="P318" i="4"/>
  <c r="O318" i="4"/>
  <c r="P317" i="4"/>
  <c r="O317" i="4"/>
  <c r="P316" i="4"/>
  <c r="O316" i="4"/>
  <c r="P315" i="4"/>
  <c r="O315" i="4"/>
  <c r="P314" i="4"/>
  <c r="O314" i="4"/>
  <c r="P313" i="4"/>
  <c r="O313" i="4"/>
  <c r="P312" i="4"/>
  <c r="O312" i="4"/>
  <c r="P311" i="4"/>
  <c r="O311" i="4"/>
  <c r="P310" i="4"/>
  <c r="O310" i="4"/>
  <c r="P309" i="4"/>
  <c r="O309" i="4"/>
  <c r="P308" i="4"/>
  <c r="O308" i="4"/>
  <c r="P307" i="4"/>
  <c r="O307" i="4"/>
  <c r="P306" i="4"/>
  <c r="O306" i="4"/>
  <c r="P305" i="4"/>
  <c r="O305" i="4"/>
  <c r="P304" i="4"/>
  <c r="O304" i="4"/>
  <c r="P303" i="4"/>
  <c r="O303" i="4"/>
  <c r="P302" i="4"/>
  <c r="O302" i="4"/>
  <c r="P301" i="4"/>
  <c r="O301" i="4"/>
  <c r="P300" i="4"/>
  <c r="O300" i="4"/>
  <c r="P299" i="4"/>
  <c r="O299" i="4"/>
  <c r="P298" i="4"/>
  <c r="O298" i="4"/>
  <c r="P297" i="4"/>
  <c r="O297" i="4"/>
  <c r="P296" i="4"/>
  <c r="O296" i="4"/>
  <c r="P295" i="4"/>
  <c r="O295" i="4"/>
  <c r="P294" i="4"/>
  <c r="O294" i="4"/>
  <c r="P293" i="4"/>
  <c r="O293" i="4"/>
  <c r="P292" i="4"/>
  <c r="O292" i="4"/>
  <c r="Q291" i="4"/>
  <c r="Q292" i="4" s="1"/>
  <c r="Q293" i="4" s="1"/>
  <c r="Q294" i="4" s="1"/>
  <c r="Q295" i="4" s="1"/>
  <c r="Q296" i="4" s="1"/>
  <c r="Q297" i="4" s="1"/>
  <c r="Q298" i="4" s="1"/>
  <c r="Q299" i="4" s="1"/>
  <c r="Q300" i="4" s="1"/>
  <c r="Q301" i="4" s="1"/>
  <c r="Q302" i="4" s="1"/>
  <c r="Q303" i="4" s="1"/>
  <c r="Q304" i="4" s="1"/>
  <c r="Q305" i="4" s="1"/>
  <c r="Q306" i="4" s="1"/>
  <c r="Q307" i="4" s="1"/>
  <c r="Q308" i="4" s="1"/>
  <c r="Q309" i="4" s="1"/>
  <c r="Q310" i="4" s="1"/>
  <c r="Q311" i="4" s="1"/>
  <c r="Q312" i="4" s="1"/>
  <c r="Q313" i="4" s="1"/>
  <c r="Q314" i="4" s="1"/>
  <c r="Q315" i="4" s="1"/>
  <c r="Q316" i="4" s="1"/>
  <c r="Q317" i="4" s="1"/>
  <c r="Q318" i="4" s="1"/>
  <c r="Q319" i="4" s="1"/>
  <c r="Q320" i="4" s="1"/>
  <c r="Q321" i="4" s="1"/>
  <c r="Q322" i="4" s="1"/>
  <c r="Q323" i="4" s="1"/>
  <c r="Q324" i="4" s="1"/>
  <c r="Q325" i="4" s="1"/>
  <c r="Q326" i="4" s="1"/>
  <c r="Q327" i="4" s="1"/>
  <c r="Q328" i="4" s="1"/>
  <c r="Q329" i="4" s="1"/>
  <c r="Q330" i="4" s="1"/>
  <c r="Q331" i="4" s="1"/>
  <c r="Q332" i="4" s="1"/>
  <c r="Q333" i="4" s="1"/>
  <c r="Q334" i="4" s="1"/>
  <c r="Q335" i="4" s="1"/>
  <c r="Q336" i="4" s="1"/>
  <c r="Q337" i="4" s="1"/>
  <c r="P291" i="4"/>
  <c r="O291" i="4"/>
  <c r="M291" i="4"/>
  <c r="M292" i="4" s="1"/>
  <c r="M293" i="4" s="1"/>
  <c r="M294" i="4" s="1"/>
  <c r="M295" i="4" s="1"/>
  <c r="M296" i="4" s="1"/>
  <c r="M297" i="4" s="1"/>
  <c r="M298" i="4" s="1"/>
  <c r="M299" i="4" s="1"/>
  <c r="M300" i="4" s="1"/>
  <c r="M301" i="4" s="1"/>
  <c r="M302" i="4" s="1"/>
  <c r="M303" i="4" s="1"/>
  <c r="M304" i="4" s="1"/>
  <c r="M305" i="4" s="1"/>
  <c r="M306" i="4" s="1"/>
  <c r="M307" i="4" s="1"/>
  <c r="M308" i="4" s="1"/>
  <c r="M309" i="4" s="1"/>
  <c r="M310" i="4" s="1"/>
  <c r="M311" i="4" s="1"/>
  <c r="M312" i="4" s="1"/>
  <c r="M313" i="4" s="1"/>
  <c r="M314" i="4" s="1"/>
  <c r="M315" i="4" s="1"/>
  <c r="M316" i="4" s="1"/>
  <c r="M317" i="4" s="1"/>
  <c r="M318" i="4" s="1"/>
  <c r="M319" i="4" s="1"/>
  <c r="M320" i="4" s="1"/>
  <c r="M321" i="4" s="1"/>
  <c r="M322" i="4" s="1"/>
  <c r="M323" i="4" s="1"/>
  <c r="M324" i="4" s="1"/>
  <c r="M325" i="4" s="1"/>
  <c r="M326" i="4" s="1"/>
  <c r="M327" i="4" s="1"/>
  <c r="M328" i="4" s="1"/>
  <c r="M329" i="4" s="1"/>
  <c r="M330" i="4" s="1"/>
  <c r="M331" i="4" s="1"/>
  <c r="M332" i="4" s="1"/>
  <c r="M333" i="4" s="1"/>
  <c r="M334" i="4" s="1"/>
  <c r="M335" i="4" s="1"/>
  <c r="M336" i="4" s="1"/>
  <c r="M337" i="4" s="1"/>
  <c r="M338" i="4" s="1"/>
  <c r="M339" i="4" s="1"/>
  <c r="M340" i="4" s="1"/>
  <c r="M341" i="4" s="1"/>
  <c r="M342" i="4" s="1"/>
  <c r="M343" i="4" s="1"/>
  <c r="M344" i="4" s="1"/>
  <c r="M345" i="4" s="1"/>
  <c r="M346" i="4" s="1"/>
  <c r="M347" i="4" s="1"/>
  <c r="M348" i="4" s="1"/>
  <c r="M349" i="4" s="1"/>
  <c r="M350" i="4" s="1"/>
  <c r="M351" i="4" s="1"/>
  <c r="M352" i="4" s="1"/>
  <c r="M353" i="4" s="1"/>
  <c r="P290" i="4"/>
  <c r="O290" i="4"/>
  <c r="Q284" i="4"/>
  <c r="Q285" i="4" s="1"/>
  <c r="Q286" i="4" s="1"/>
  <c r="Q287" i="4" s="1"/>
  <c r="Q288" i="4" s="1"/>
  <c r="Q289" i="4" s="1"/>
  <c r="M284" i="4"/>
  <c r="M285" i="4" s="1"/>
  <c r="M286" i="4" s="1"/>
  <c r="M287" i="4" s="1"/>
  <c r="M288" i="4" s="1"/>
  <c r="M289" i="4" s="1"/>
  <c r="K284" i="4"/>
  <c r="Q279" i="4"/>
  <c r="Q280" i="4" s="1"/>
  <c r="Q281" i="4" s="1"/>
  <c r="Q282" i="4" s="1"/>
  <c r="M277" i="4"/>
  <c r="M278" i="4" s="1"/>
  <c r="M279" i="4" s="1"/>
  <c r="M280" i="4" s="1"/>
  <c r="M281" i="4" s="1"/>
  <c r="M282" i="4" s="1"/>
  <c r="K277" i="4"/>
  <c r="P275" i="4"/>
  <c r="O275" i="4"/>
  <c r="P274" i="4"/>
  <c r="O274" i="4"/>
  <c r="P273" i="4"/>
  <c r="O273" i="4"/>
  <c r="P272" i="4"/>
  <c r="O272" i="4"/>
  <c r="P271" i="4"/>
  <c r="O271" i="4"/>
  <c r="P270" i="4"/>
  <c r="O270" i="4"/>
  <c r="P269" i="4"/>
  <c r="O269" i="4"/>
  <c r="P268" i="4"/>
  <c r="O268" i="4"/>
  <c r="P267" i="4"/>
  <c r="O267" i="4"/>
  <c r="P266" i="4"/>
  <c r="O266" i="4"/>
  <c r="P265" i="4"/>
  <c r="O265" i="4"/>
  <c r="P264" i="4"/>
  <c r="O264" i="4"/>
  <c r="P263" i="4"/>
  <c r="O263" i="4"/>
  <c r="P262" i="4"/>
  <c r="O262" i="4"/>
  <c r="P261" i="4"/>
  <c r="O261" i="4"/>
  <c r="P260" i="4"/>
  <c r="O260" i="4"/>
  <c r="P259" i="4"/>
  <c r="O259" i="4"/>
  <c r="P258" i="4"/>
  <c r="O258" i="4"/>
  <c r="P257" i="4"/>
  <c r="O257" i="4"/>
  <c r="P256" i="4"/>
  <c r="O256" i="4"/>
  <c r="P255" i="4"/>
  <c r="O255" i="4"/>
  <c r="P254" i="4"/>
  <c r="O254" i="4"/>
  <c r="P253" i="4"/>
  <c r="O253" i="4"/>
  <c r="P252" i="4"/>
  <c r="O252" i="4"/>
  <c r="P251" i="4"/>
  <c r="O251" i="4"/>
  <c r="P250" i="4"/>
  <c r="O250" i="4"/>
  <c r="P249" i="4"/>
  <c r="O249" i="4"/>
  <c r="P248" i="4"/>
  <c r="O248" i="4"/>
  <c r="P247" i="4"/>
  <c r="O247" i="4"/>
  <c r="P246" i="4"/>
  <c r="O246" i="4"/>
  <c r="P245" i="4"/>
  <c r="O245" i="4"/>
  <c r="P244" i="4"/>
  <c r="O244" i="4"/>
  <c r="P243" i="4"/>
  <c r="O243" i="4"/>
  <c r="P242" i="4"/>
  <c r="O242" i="4"/>
  <c r="P241" i="4"/>
  <c r="O241" i="4"/>
  <c r="P240" i="4"/>
  <c r="O240" i="4"/>
  <c r="P239" i="4"/>
  <c r="O239" i="4"/>
  <c r="P238" i="4"/>
  <c r="O238" i="4"/>
  <c r="P237" i="4"/>
  <c r="O237" i="4"/>
  <c r="P236" i="4"/>
  <c r="O236" i="4"/>
  <c r="P235" i="4"/>
  <c r="O235" i="4"/>
  <c r="P234" i="4"/>
  <c r="O234" i="4"/>
  <c r="P233" i="4"/>
  <c r="O233" i="4"/>
  <c r="P232" i="4"/>
  <c r="O232" i="4"/>
  <c r="P231" i="4"/>
  <c r="O231" i="4"/>
  <c r="P230" i="4"/>
  <c r="O230" i="4"/>
  <c r="P229" i="4"/>
  <c r="O229" i="4"/>
  <c r="P228" i="4"/>
  <c r="O228" i="4"/>
  <c r="P227" i="4"/>
  <c r="O227" i="4"/>
  <c r="P226" i="4"/>
  <c r="O226" i="4"/>
  <c r="P225" i="4"/>
  <c r="O225" i="4"/>
  <c r="P224" i="4"/>
  <c r="O224" i="4"/>
  <c r="P223" i="4"/>
  <c r="O223" i="4"/>
  <c r="P222" i="4"/>
  <c r="O222" i="4"/>
  <c r="P221" i="4"/>
  <c r="O221" i="4"/>
  <c r="P220" i="4"/>
  <c r="O220" i="4"/>
  <c r="P219" i="4"/>
  <c r="O219" i="4"/>
  <c r="P218" i="4"/>
  <c r="O218" i="4"/>
  <c r="P217" i="4"/>
  <c r="O217" i="4"/>
  <c r="P216" i="4"/>
  <c r="O216" i="4"/>
  <c r="P215" i="4"/>
  <c r="O215" i="4"/>
  <c r="P214" i="4"/>
  <c r="O214" i="4"/>
  <c r="P213" i="4"/>
  <c r="O213" i="4"/>
  <c r="P212" i="4"/>
  <c r="O212" i="4"/>
  <c r="P211" i="4"/>
  <c r="O211" i="4"/>
  <c r="P210" i="4"/>
  <c r="O210" i="4"/>
  <c r="P209" i="4"/>
  <c r="O209" i="4"/>
  <c r="P208" i="4"/>
  <c r="O208" i="4"/>
  <c r="P207" i="4"/>
  <c r="O207" i="4"/>
  <c r="P206" i="4"/>
  <c r="O206" i="4"/>
  <c r="P205" i="4"/>
  <c r="O205" i="4"/>
  <c r="P204" i="4"/>
  <c r="O204" i="4"/>
  <c r="P203" i="4"/>
  <c r="O203" i="4"/>
  <c r="P202" i="4"/>
  <c r="O202" i="4"/>
  <c r="P201" i="4"/>
  <c r="O201" i="4"/>
  <c r="P200" i="4"/>
  <c r="O200" i="4"/>
  <c r="P199" i="4"/>
  <c r="O199" i="4"/>
  <c r="P198" i="4"/>
  <c r="O198" i="4"/>
  <c r="P197" i="4"/>
  <c r="O197" i="4"/>
  <c r="P196" i="4"/>
  <c r="O196" i="4"/>
  <c r="P195" i="4"/>
  <c r="O195" i="4"/>
  <c r="P194" i="4"/>
  <c r="O194" i="4"/>
  <c r="P193" i="4"/>
  <c r="O193" i="4"/>
  <c r="P192" i="4"/>
  <c r="O192" i="4"/>
  <c r="P191" i="4"/>
  <c r="O191" i="4"/>
  <c r="P190" i="4"/>
  <c r="O190" i="4"/>
  <c r="P189" i="4"/>
  <c r="O189" i="4"/>
  <c r="P188" i="4"/>
  <c r="O188" i="4"/>
  <c r="P187" i="4"/>
  <c r="O187" i="4"/>
  <c r="P186" i="4"/>
  <c r="O186" i="4"/>
  <c r="P185" i="4"/>
  <c r="O185" i="4"/>
  <c r="P184" i="4"/>
  <c r="O184" i="4"/>
  <c r="P183" i="4"/>
  <c r="O183" i="4"/>
  <c r="P182" i="4"/>
  <c r="O182" i="4"/>
  <c r="P181" i="4"/>
  <c r="O181" i="4"/>
  <c r="P180" i="4"/>
  <c r="O180" i="4"/>
  <c r="P179" i="4"/>
  <c r="O179" i="4"/>
  <c r="P178" i="4"/>
  <c r="O178" i="4"/>
  <c r="P177" i="4"/>
  <c r="O177" i="4"/>
  <c r="P176" i="4"/>
  <c r="O176" i="4"/>
  <c r="P175" i="4"/>
  <c r="O175" i="4"/>
  <c r="P174" i="4"/>
  <c r="O174" i="4"/>
  <c r="P173" i="4"/>
  <c r="O173" i="4"/>
  <c r="P172" i="4"/>
  <c r="O172" i="4"/>
  <c r="P171" i="4"/>
  <c r="O171" i="4"/>
  <c r="P170" i="4"/>
  <c r="O170" i="4"/>
  <c r="P169" i="4"/>
  <c r="O169" i="4"/>
  <c r="P168" i="4"/>
  <c r="O168" i="4"/>
  <c r="P167" i="4"/>
  <c r="O167" i="4"/>
  <c r="P166" i="4"/>
  <c r="O166" i="4"/>
  <c r="P165" i="4"/>
  <c r="O165" i="4"/>
  <c r="P164" i="4"/>
  <c r="O164" i="4"/>
  <c r="P163" i="4"/>
  <c r="O163" i="4"/>
  <c r="P162" i="4"/>
  <c r="O162" i="4"/>
  <c r="P161" i="4"/>
  <c r="O161" i="4"/>
  <c r="P160" i="4"/>
  <c r="O160" i="4"/>
  <c r="P159" i="4"/>
  <c r="O159" i="4"/>
  <c r="P158" i="4"/>
  <c r="O158" i="4"/>
  <c r="P157" i="4"/>
  <c r="O157" i="4"/>
  <c r="P156" i="4"/>
  <c r="O156" i="4"/>
  <c r="P155" i="4"/>
  <c r="O155" i="4"/>
  <c r="P154" i="4"/>
  <c r="O154" i="4"/>
  <c r="P153" i="4"/>
  <c r="O153" i="4"/>
  <c r="P152" i="4"/>
  <c r="O152" i="4"/>
  <c r="P151" i="4"/>
  <c r="O151" i="4"/>
  <c r="P150" i="4"/>
  <c r="O150" i="4"/>
  <c r="P149" i="4"/>
  <c r="O149" i="4"/>
  <c r="P148" i="4"/>
  <c r="O148" i="4"/>
  <c r="P147" i="4"/>
  <c r="O147" i="4"/>
  <c r="P146" i="4"/>
  <c r="O146" i="4"/>
  <c r="P145" i="4"/>
  <c r="O145" i="4"/>
  <c r="P144" i="4"/>
  <c r="O144" i="4"/>
  <c r="P143" i="4"/>
  <c r="O143" i="4"/>
  <c r="P142" i="4"/>
  <c r="O142" i="4"/>
  <c r="P141" i="4"/>
  <c r="O141" i="4"/>
  <c r="P140" i="4"/>
  <c r="O140" i="4"/>
  <c r="P139" i="4"/>
  <c r="O139" i="4"/>
  <c r="P138" i="4"/>
  <c r="O138" i="4"/>
  <c r="P137" i="4"/>
  <c r="O137" i="4"/>
  <c r="P136" i="4"/>
  <c r="O136" i="4"/>
  <c r="P135" i="4"/>
  <c r="O135" i="4"/>
  <c r="P134" i="4"/>
  <c r="O134" i="4"/>
  <c r="P133" i="4"/>
  <c r="O133" i="4"/>
  <c r="P132" i="4"/>
  <c r="O132" i="4"/>
  <c r="P131" i="4"/>
  <c r="O131" i="4"/>
  <c r="P130" i="4"/>
  <c r="O130" i="4"/>
  <c r="P129" i="4"/>
  <c r="O129" i="4"/>
  <c r="P128" i="4"/>
  <c r="O128" i="4"/>
  <c r="P127" i="4"/>
  <c r="O127" i="4"/>
  <c r="P126" i="4"/>
  <c r="O126" i="4"/>
  <c r="P125" i="4"/>
  <c r="O125" i="4"/>
  <c r="P124" i="4"/>
  <c r="O124" i="4"/>
  <c r="P123" i="4"/>
  <c r="O123" i="4"/>
  <c r="P122" i="4"/>
  <c r="O122" i="4"/>
  <c r="P121" i="4"/>
  <c r="O121" i="4"/>
  <c r="P120" i="4"/>
  <c r="O120" i="4"/>
  <c r="P119" i="4"/>
  <c r="O119" i="4"/>
  <c r="P118" i="4"/>
  <c r="O118" i="4"/>
  <c r="P117" i="4"/>
  <c r="O117" i="4"/>
  <c r="P116" i="4"/>
  <c r="O116" i="4"/>
  <c r="P115" i="4"/>
  <c r="O115" i="4"/>
  <c r="P114" i="4"/>
  <c r="O114" i="4"/>
  <c r="P113" i="4"/>
  <c r="O113" i="4"/>
  <c r="P112" i="4"/>
  <c r="O112" i="4"/>
  <c r="P111" i="4"/>
  <c r="O111" i="4"/>
  <c r="P110" i="4"/>
  <c r="O110" i="4"/>
  <c r="P109" i="4"/>
  <c r="O109" i="4"/>
  <c r="P108" i="4"/>
  <c r="O108" i="4"/>
  <c r="P107" i="4"/>
  <c r="O107" i="4"/>
  <c r="P106" i="4"/>
  <c r="O106" i="4"/>
  <c r="P105" i="4"/>
  <c r="O105" i="4"/>
  <c r="P104" i="4"/>
  <c r="O104" i="4"/>
  <c r="P103" i="4"/>
  <c r="O103" i="4"/>
  <c r="P102" i="4"/>
  <c r="O102" i="4"/>
  <c r="P101" i="4"/>
  <c r="O101" i="4"/>
  <c r="P100" i="4"/>
  <c r="O100" i="4"/>
  <c r="P99" i="4"/>
  <c r="O99" i="4"/>
  <c r="P98" i="4"/>
  <c r="O98" i="4"/>
  <c r="P97" i="4"/>
  <c r="O97" i="4"/>
  <c r="P96" i="4"/>
  <c r="O96" i="4"/>
  <c r="G96" i="4"/>
  <c r="P95" i="4"/>
  <c r="O95" i="4"/>
  <c r="P94" i="4"/>
  <c r="O94" i="4"/>
  <c r="P93" i="4"/>
  <c r="O93" i="4"/>
  <c r="P92" i="4"/>
  <c r="O92" i="4"/>
  <c r="P91" i="4"/>
  <c r="O91" i="4"/>
  <c r="P90" i="4"/>
  <c r="O90" i="4"/>
  <c r="P89" i="4"/>
  <c r="O89" i="4"/>
  <c r="P88" i="4"/>
  <c r="O88" i="4"/>
  <c r="P87" i="4"/>
  <c r="O87" i="4"/>
  <c r="P86" i="4"/>
  <c r="O86" i="4"/>
  <c r="P85" i="4"/>
  <c r="O85" i="4"/>
  <c r="P84" i="4"/>
  <c r="O84" i="4"/>
  <c r="P83" i="4"/>
  <c r="O83" i="4"/>
  <c r="P82" i="4"/>
  <c r="O82" i="4"/>
  <c r="P81" i="4"/>
  <c r="O81" i="4"/>
  <c r="J81" i="4"/>
  <c r="P80" i="4"/>
  <c r="O80" i="4"/>
  <c r="F80" i="4"/>
  <c r="P79" i="4"/>
  <c r="O79" i="4"/>
  <c r="Q78" i="4"/>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Q151" i="4" s="1"/>
  <c r="Q152" i="4" s="1"/>
  <c r="Q153" i="4" s="1"/>
  <c r="Q154" i="4" s="1"/>
  <c r="Q155" i="4" s="1"/>
  <c r="Q156" i="4" s="1"/>
  <c r="Q157" i="4" s="1"/>
  <c r="Q158" i="4" s="1"/>
  <c r="Q159" i="4" s="1"/>
  <c r="Q160" i="4" s="1"/>
  <c r="Q161" i="4" s="1"/>
  <c r="Q162" i="4" s="1"/>
  <c r="Q163" i="4" s="1"/>
  <c r="Q164" i="4" s="1"/>
  <c r="Q165" i="4" s="1"/>
  <c r="Q166" i="4" s="1"/>
  <c r="Q167" i="4" s="1"/>
  <c r="Q168" i="4" s="1"/>
  <c r="Q169" i="4" s="1"/>
  <c r="Q170" i="4" s="1"/>
  <c r="Q171" i="4" s="1"/>
  <c r="Q172" i="4" s="1"/>
  <c r="Q173" i="4" s="1"/>
  <c r="Q174" i="4" s="1"/>
  <c r="Q175" i="4" s="1"/>
  <c r="Q176" i="4" s="1"/>
  <c r="Q177" i="4" s="1"/>
  <c r="Q178" i="4" s="1"/>
  <c r="Q179" i="4" s="1"/>
  <c r="Q180" i="4" s="1"/>
  <c r="Q181" i="4" s="1"/>
  <c r="Q182" i="4" s="1"/>
  <c r="Q183" i="4" s="1"/>
  <c r="Q184" i="4" s="1"/>
  <c r="Q185" i="4" s="1"/>
  <c r="Q186" i="4" s="1"/>
  <c r="Q187" i="4" s="1"/>
  <c r="Q188" i="4" s="1"/>
  <c r="Q189" i="4" s="1"/>
  <c r="Q190" i="4" s="1"/>
  <c r="Q191" i="4" s="1"/>
  <c r="Q192" i="4" s="1"/>
  <c r="Q193" i="4" s="1"/>
  <c r="Q194" i="4" s="1"/>
  <c r="Q195" i="4" s="1"/>
  <c r="Q196" i="4" s="1"/>
  <c r="Q197" i="4" s="1"/>
  <c r="Q198" i="4" s="1"/>
  <c r="Q199" i="4" s="1"/>
  <c r="Q200" i="4" s="1"/>
  <c r="Q201" i="4" s="1"/>
  <c r="Q202" i="4" s="1"/>
  <c r="Q203" i="4" s="1"/>
  <c r="Q204" i="4" s="1"/>
  <c r="Q205" i="4" s="1"/>
  <c r="Q206" i="4" s="1"/>
  <c r="Q207" i="4" s="1"/>
  <c r="Q208" i="4" s="1"/>
  <c r="Q209" i="4" s="1"/>
  <c r="Q210" i="4" s="1"/>
  <c r="Q211" i="4" s="1"/>
  <c r="Q212" i="4" s="1"/>
  <c r="Q213" i="4" s="1"/>
  <c r="Q214" i="4" s="1"/>
  <c r="Q215" i="4" s="1"/>
  <c r="Q216" i="4" s="1"/>
  <c r="Q217" i="4" s="1"/>
  <c r="Q218" i="4" s="1"/>
  <c r="Q219" i="4" s="1"/>
  <c r="Q220" i="4" s="1"/>
  <c r="Q221" i="4" s="1"/>
  <c r="Q222" i="4" s="1"/>
  <c r="Q223" i="4" s="1"/>
  <c r="Q224" i="4" s="1"/>
  <c r="Q225" i="4" s="1"/>
  <c r="Q226" i="4" s="1"/>
  <c r="Q227" i="4" s="1"/>
  <c r="Q228" i="4" s="1"/>
  <c r="Q229" i="4" s="1"/>
  <c r="Q230" i="4" s="1"/>
  <c r="Q231" i="4" s="1"/>
  <c r="Q232" i="4" s="1"/>
  <c r="Q233" i="4" s="1"/>
  <c r="Q234" i="4" s="1"/>
  <c r="Q235" i="4" s="1"/>
  <c r="Q236" i="4" s="1"/>
  <c r="Q237" i="4" s="1"/>
  <c r="Q238" i="4" s="1"/>
  <c r="Q239" i="4" s="1"/>
  <c r="Q240" i="4" s="1"/>
  <c r="Q241" i="4" s="1"/>
  <c r="Q242" i="4" s="1"/>
  <c r="Q243" i="4" s="1"/>
  <c r="Q244" i="4" s="1"/>
  <c r="Q245" i="4" s="1"/>
  <c r="Q246" i="4" s="1"/>
  <c r="Q247" i="4" s="1"/>
  <c r="Q248" i="4" s="1"/>
  <c r="Q249" i="4" s="1"/>
  <c r="Q250" i="4" s="1"/>
  <c r="Q251" i="4" s="1"/>
  <c r="Q252" i="4" s="1"/>
  <c r="Q253" i="4" s="1"/>
  <c r="Q254" i="4" s="1"/>
  <c r="Q255" i="4" s="1"/>
  <c r="Q256" i="4" s="1"/>
  <c r="Q257" i="4" s="1"/>
  <c r="Q258" i="4" s="1"/>
  <c r="Q259" i="4" s="1"/>
  <c r="Q260" i="4" s="1"/>
  <c r="Q261" i="4" s="1"/>
  <c r="Q262" i="4" s="1"/>
  <c r="Q263" i="4" s="1"/>
  <c r="Q264" i="4" s="1"/>
  <c r="Q265" i="4" s="1"/>
  <c r="Q266" i="4" s="1"/>
  <c r="Q267" i="4" s="1"/>
  <c r="Q268" i="4" s="1"/>
  <c r="Q269" i="4" s="1"/>
  <c r="Q270" i="4" s="1"/>
  <c r="Q271" i="4" s="1"/>
  <c r="Q272" i="4" s="1"/>
  <c r="Q273" i="4" s="1"/>
  <c r="Q274" i="4" s="1"/>
  <c r="Q275" i="4" s="1"/>
  <c r="P78" i="4"/>
  <c r="O78" i="4"/>
  <c r="P77" i="4"/>
  <c r="O77" i="4"/>
  <c r="P76" i="4"/>
  <c r="O76" i="4"/>
  <c r="P75" i="4"/>
  <c r="O75" i="4"/>
  <c r="P74" i="4"/>
  <c r="O74" i="4"/>
  <c r="P73" i="4"/>
  <c r="O73" i="4"/>
  <c r="P72" i="4"/>
  <c r="O72" i="4"/>
  <c r="P71" i="4"/>
  <c r="O71" i="4"/>
  <c r="P70" i="4"/>
  <c r="O70" i="4"/>
  <c r="P69" i="4"/>
  <c r="O69" i="4"/>
  <c r="P68" i="4"/>
  <c r="O68" i="4"/>
  <c r="P67" i="4"/>
  <c r="O67" i="4"/>
  <c r="P66" i="4"/>
  <c r="O66" i="4"/>
  <c r="P65" i="4"/>
  <c r="O65" i="4"/>
  <c r="J65" i="4"/>
  <c r="P64" i="4"/>
  <c r="O64" i="4"/>
  <c r="K64" i="4"/>
  <c r="L63" i="4"/>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L109" i="4" s="1"/>
  <c r="L110" i="4" s="1"/>
  <c r="L111" i="4" s="1"/>
  <c r="L112" i="4" s="1"/>
  <c r="L113" i="4" s="1"/>
  <c r="L114" i="4" s="1"/>
  <c r="L115" i="4" s="1"/>
  <c r="L116" i="4" s="1"/>
  <c r="L117" i="4" s="1"/>
  <c r="L118" i="4" s="1"/>
  <c r="L119" i="4" s="1"/>
  <c r="L120" i="4" s="1"/>
  <c r="L121" i="4" s="1"/>
  <c r="L122" i="4" s="1"/>
  <c r="L123" i="4" s="1"/>
  <c r="L124" i="4" s="1"/>
  <c r="L125" i="4" s="1"/>
  <c r="L126" i="4" s="1"/>
  <c r="L127" i="4" s="1"/>
  <c r="L128" i="4" s="1"/>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219" i="4" s="1"/>
  <c r="L220" i="4" s="1"/>
  <c r="L221" i="4" s="1"/>
  <c r="L222" i="4" s="1"/>
  <c r="L223" i="4" s="1"/>
  <c r="L224" i="4" s="1"/>
  <c r="L225" i="4" s="1"/>
  <c r="L226" i="4" s="1"/>
  <c r="L227" i="4" s="1"/>
  <c r="L228" i="4" s="1"/>
  <c r="L229" i="4" s="1"/>
  <c r="L230" i="4" s="1"/>
  <c r="L231" i="4" s="1"/>
  <c r="L232" i="4" s="1"/>
  <c r="L233" i="4" s="1"/>
  <c r="L234" i="4" s="1"/>
  <c r="L235" i="4" s="1"/>
  <c r="L236" i="4" s="1"/>
  <c r="L237" i="4" s="1"/>
  <c r="L238" i="4" s="1"/>
  <c r="L239" i="4" s="1"/>
  <c r="L240" i="4" s="1"/>
  <c r="L241" i="4" s="1"/>
  <c r="L242" i="4" s="1"/>
  <c r="L243" i="4" s="1"/>
  <c r="L244" i="4" s="1"/>
  <c r="L245" i="4" s="1"/>
  <c r="L246" i="4" s="1"/>
  <c r="L247" i="4" s="1"/>
  <c r="L248" i="4" s="1"/>
  <c r="L249" i="4" s="1"/>
  <c r="L250" i="4" s="1"/>
  <c r="L251" i="4" s="1"/>
  <c r="L252" i="4" s="1"/>
  <c r="L253" i="4" s="1"/>
  <c r="L254" i="4" s="1"/>
  <c r="L255" i="4" s="1"/>
  <c r="L256" i="4" s="1"/>
  <c r="L257" i="4" s="1"/>
  <c r="L258" i="4" s="1"/>
  <c r="L259" i="4" s="1"/>
  <c r="L260" i="4" s="1"/>
  <c r="L261" i="4" s="1"/>
  <c r="L262" i="4" s="1"/>
  <c r="L263" i="4" s="1"/>
  <c r="L264" i="4" s="1"/>
  <c r="L265" i="4" s="1"/>
  <c r="L266" i="4" s="1"/>
  <c r="L267" i="4" s="1"/>
  <c r="L268" i="4" s="1"/>
  <c r="L269" i="4" s="1"/>
  <c r="L270" i="4" s="1"/>
  <c r="L271" i="4" s="1"/>
  <c r="L272" i="4" s="1"/>
  <c r="L273" i="4" s="1"/>
  <c r="L274" i="4" s="1"/>
  <c r="L275" i="4" s="1"/>
  <c r="L276" i="4" s="1"/>
  <c r="L277" i="4" s="1"/>
  <c r="L278" i="4" s="1"/>
  <c r="L279" i="4" s="1"/>
  <c r="L280" i="4" s="1"/>
  <c r="L281" i="4" s="1"/>
  <c r="L282" i="4" s="1"/>
  <c r="L283" i="4" s="1"/>
  <c r="L284" i="4" s="1"/>
  <c r="L285" i="4" s="1"/>
  <c r="L286" i="4" s="1"/>
  <c r="L287" i="4" s="1"/>
  <c r="L288" i="4" s="1"/>
  <c r="L289" i="4" s="1"/>
  <c r="L290" i="4" s="1"/>
  <c r="L291" i="4" s="1"/>
  <c r="L292" i="4" s="1"/>
  <c r="L293" i="4" s="1"/>
  <c r="L294" i="4" s="1"/>
  <c r="L295" i="4" s="1"/>
  <c r="L296" i="4" s="1"/>
  <c r="L297" i="4" s="1"/>
  <c r="L298" i="4" s="1"/>
  <c r="L299" i="4" s="1"/>
  <c r="L300" i="4" s="1"/>
  <c r="L301" i="4" s="1"/>
  <c r="L302" i="4" s="1"/>
  <c r="L303" i="4" s="1"/>
  <c r="L304" i="4" s="1"/>
  <c r="L305" i="4" s="1"/>
  <c r="L306" i="4" s="1"/>
  <c r="L307" i="4" s="1"/>
  <c r="L308" i="4" s="1"/>
  <c r="L309" i="4" s="1"/>
  <c r="L310" i="4" s="1"/>
  <c r="L311" i="4" s="1"/>
  <c r="L312" i="4" s="1"/>
  <c r="L313" i="4" s="1"/>
  <c r="L314" i="4" s="1"/>
  <c r="L315" i="4" s="1"/>
  <c r="L316" i="4" s="1"/>
  <c r="L317" i="4" s="1"/>
  <c r="L318" i="4" s="1"/>
  <c r="L319" i="4" s="1"/>
  <c r="L320" i="4" s="1"/>
  <c r="L321" i="4" s="1"/>
  <c r="L322" i="4" s="1"/>
  <c r="L323" i="4" s="1"/>
  <c r="L324" i="4" s="1"/>
  <c r="L325" i="4" s="1"/>
  <c r="L326" i="4" s="1"/>
  <c r="L327" i="4" s="1"/>
  <c r="L328" i="4" s="1"/>
  <c r="L329" i="4" s="1"/>
  <c r="L330" i="4" s="1"/>
  <c r="L331" i="4" s="1"/>
  <c r="L332" i="4" s="1"/>
  <c r="L333" i="4" s="1"/>
  <c r="L334" i="4" s="1"/>
  <c r="L335" i="4" s="1"/>
  <c r="L336" i="4" s="1"/>
  <c r="L337" i="4" s="1"/>
  <c r="L338" i="4" s="1"/>
  <c r="L339" i="4" s="1"/>
  <c r="L340" i="4" s="1"/>
  <c r="L341" i="4" s="1"/>
  <c r="L342" i="4" s="1"/>
  <c r="L343" i="4" s="1"/>
  <c r="L344" i="4" s="1"/>
  <c r="L345" i="4" s="1"/>
  <c r="L346" i="4" s="1"/>
  <c r="L347" i="4" s="1"/>
  <c r="L348" i="4" s="1"/>
  <c r="L349" i="4" s="1"/>
  <c r="L350" i="4" s="1"/>
  <c r="L351" i="4" s="1"/>
  <c r="L352" i="4" s="1"/>
  <c r="L353" i="4" s="1"/>
  <c r="L354" i="4" s="1"/>
  <c r="L355" i="4" s="1"/>
  <c r="L356" i="4" s="1"/>
  <c r="L357" i="4" s="1"/>
  <c r="L358" i="4" s="1"/>
  <c r="L359" i="4" s="1"/>
  <c r="L360" i="4" s="1"/>
  <c r="L361" i="4" s="1"/>
  <c r="L362" i="4" s="1"/>
  <c r="M62" i="4"/>
  <c r="M63" i="4" s="1"/>
  <c r="M64" i="4" s="1"/>
  <c r="M65" i="4" s="1"/>
  <c r="M66" i="4" s="1"/>
  <c r="M67" i="4" s="1"/>
  <c r="M68" i="4" s="1"/>
  <c r="M69" i="4" s="1"/>
  <c r="M70" i="4" s="1"/>
  <c r="M71" i="4" s="1"/>
  <c r="M72" i="4" s="1"/>
  <c r="M73" i="4" s="1"/>
  <c r="M74" i="4" s="1"/>
  <c r="M75" i="4" s="1"/>
  <c r="M76" i="4" s="1"/>
  <c r="M77" i="4" s="1"/>
  <c r="M78" i="4" s="1"/>
  <c r="M79" i="4" s="1"/>
  <c r="M80" i="4" s="1"/>
  <c r="M81" i="4" s="1"/>
  <c r="M82" i="4" s="1"/>
  <c r="M83" i="4" s="1"/>
  <c r="M84" i="4" s="1"/>
  <c r="M85" i="4" s="1"/>
  <c r="M86" i="4" s="1"/>
  <c r="M87" i="4" s="1"/>
  <c r="M88" i="4" s="1"/>
  <c r="M89" i="4" s="1"/>
  <c r="M90" i="4" s="1"/>
  <c r="M91" i="4" s="1"/>
  <c r="M92" i="4" s="1"/>
  <c r="M93" i="4" s="1"/>
  <c r="M94" i="4" s="1"/>
  <c r="M95" i="4" s="1"/>
  <c r="M96" i="4" s="1"/>
  <c r="M97" i="4" s="1"/>
  <c r="M98" i="4" s="1"/>
  <c r="M99" i="4" s="1"/>
  <c r="M100" i="4" s="1"/>
  <c r="M101" i="4" s="1"/>
  <c r="M102" i="4" s="1"/>
  <c r="M103" i="4" s="1"/>
  <c r="M104" i="4" s="1"/>
  <c r="M105" i="4" s="1"/>
  <c r="M106" i="4" s="1"/>
  <c r="M107" i="4" s="1"/>
  <c r="M108" i="4" s="1"/>
  <c r="M109" i="4" s="1"/>
  <c r="M110" i="4" s="1"/>
  <c r="M111" i="4" s="1"/>
  <c r="M112" i="4" s="1"/>
  <c r="M113" i="4" s="1"/>
  <c r="M114" i="4" s="1"/>
  <c r="M115" i="4" s="1"/>
  <c r="M116" i="4" s="1"/>
  <c r="M117" i="4" s="1"/>
  <c r="M118" i="4" s="1"/>
  <c r="M119" i="4" s="1"/>
  <c r="M120" i="4" s="1"/>
  <c r="M121" i="4" s="1"/>
  <c r="M122" i="4" s="1"/>
  <c r="M123" i="4" s="1"/>
  <c r="M124" i="4" s="1"/>
  <c r="M125" i="4" s="1"/>
  <c r="M126" i="4" s="1"/>
  <c r="M127" i="4" s="1"/>
  <c r="M128" i="4" s="1"/>
  <c r="M129" i="4" s="1"/>
  <c r="M130" i="4" s="1"/>
  <c r="M131" i="4" s="1"/>
  <c r="M132" i="4" s="1"/>
  <c r="M133" i="4" s="1"/>
  <c r="M134" i="4" s="1"/>
  <c r="M135" i="4" s="1"/>
  <c r="M136" i="4" s="1"/>
  <c r="M137" i="4" s="1"/>
  <c r="M138" i="4" s="1"/>
  <c r="M139" i="4" s="1"/>
  <c r="M140" i="4" s="1"/>
  <c r="M141" i="4" s="1"/>
  <c r="M142" i="4" s="1"/>
  <c r="M143" i="4" s="1"/>
  <c r="M144" i="4" s="1"/>
  <c r="M145" i="4" s="1"/>
  <c r="M146" i="4" s="1"/>
  <c r="M147" i="4" s="1"/>
  <c r="M148" i="4" s="1"/>
  <c r="M149" i="4" s="1"/>
  <c r="M150" i="4" s="1"/>
  <c r="M151" i="4" s="1"/>
  <c r="M152" i="4" s="1"/>
  <c r="M153" i="4" s="1"/>
  <c r="M154" i="4" s="1"/>
  <c r="M155" i="4" s="1"/>
  <c r="M156" i="4" s="1"/>
  <c r="M157" i="4" s="1"/>
  <c r="M158" i="4" s="1"/>
  <c r="M159" i="4" s="1"/>
  <c r="M160" i="4" s="1"/>
  <c r="M161" i="4" s="1"/>
  <c r="M162" i="4" s="1"/>
  <c r="M163" i="4" s="1"/>
  <c r="M164" i="4" s="1"/>
  <c r="M165" i="4" s="1"/>
  <c r="M166" i="4" s="1"/>
  <c r="M167" i="4" s="1"/>
  <c r="M168" i="4" s="1"/>
  <c r="M169" i="4" s="1"/>
  <c r="M170" i="4" s="1"/>
  <c r="M171" i="4" s="1"/>
  <c r="M172" i="4" s="1"/>
  <c r="M173" i="4" s="1"/>
  <c r="M174" i="4" s="1"/>
  <c r="M175" i="4" s="1"/>
  <c r="M176" i="4" s="1"/>
  <c r="M177" i="4" s="1"/>
  <c r="M178" i="4" s="1"/>
  <c r="M179" i="4" s="1"/>
  <c r="M180" i="4" s="1"/>
  <c r="M181" i="4" s="1"/>
  <c r="M182" i="4" s="1"/>
  <c r="M183" i="4" s="1"/>
  <c r="M184" i="4" s="1"/>
  <c r="M185" i="4" s="1"/>
  <c r="M186" i="4" s="1"/>
  <c r="M187" i="4" s="1"/>
  <c r="M188" i="4" s="1"/>
  <c r="M189" i="4" s="1"/>
  <c r="M190" i="4" s="1"/>
  <c r="M191" i="4" s="1"/>
  <c r="M192" i="4" s="1"/>
  <c r="M193" i="4" s="1"/>
  <c r="M194" i="4" s="1"/>
  <c r="M195" i="4" s="1"/>
  <c r="M196" i="4" s="1"/>
  <c r="M197" i="4" s="1"/>
  <c r="M198" i="4" s="1"/>
  <c r="M199" i="4" s="1"/>
  <c r="M200" i="4" s="1"/>
  <c r="M201" i="4" s="1"/>
  <c r="M202" i="4" s="1"/>
  <c r="M203" i="4" s="1"/>
  <c r="M204" i="4" s="1"/>
  <c r="M205" i="4" s="1"/>
  <c r="M206" i="4" s="1"/>
  <c r="M207" i="4" s="1"/>
  <c r="M208" i="4" s="1"/>
  <c r="M209" i="4" s="1"/>
  <c r="M210" i="4" s="1"/>
  <c r="M211" i="4" s="1"/>
  <c r="M212" i="4" s="1"/>
  <c r="M213" i="4" s="1"/>
  <c r="M214" i="4" s="1"/>
  <c r="M215" i="4" s="1"/>
  <c r="M216" i="4" s="1"/>
  <c r="M217" i="4" s="1"/>
  <c r="M218" i="4" s="1"/>
  <c r="M219" i="4" s="1"/>
  <c r="M220" i="4" s="1"/>
  <c r="M221" i="4" s="1"/>
  <c r="M222" i="4" s="1"/>
  <c r="M223" i="4" s="1"/>
  <c r="M224" i="4" s="1"/>
  <c r="M225" i="4" s="1"/>
  <c r="M226" i="4" s="1"/>
  <c r="M227" i="4" s="1"/>
  <c r="M228" i="4" s="1"/>
  <c r="M229" i="4" s="1"/>
  <c r="M230" i="4" s="1"/>
  <c r="M231" i="4" s="1"/>
  <c r="M232" i="4" s="1"/>
  <c r="M233" i="4" s="1"/>
  <c r="M234" i="4" s="1"/>
  <c r="M235" i="4" s="1"/>
  <c r="M236" i="4" s="1"/>
  <c r="M237" i="4" s="1"/>
  <c r="M238" i="4" s="1"/>
  <c r="M239" i="4" s="1"/>
  <c r="M240" i="4" s="1"/>
  <c r="M241" i="4" s="1"/>
  <c r="M242" i="4" s="1"/>
  <c r="M243" i="4" s="1"/>
  <c r="M244" i="4" s="1"/>
  <c r="M245" i="4" s="1"/>
  <c r="M246" i="4" s="1"/>
  <c r="M247" i="4" s="1"/>
  <c r="M248" i="4" s="1"/>
  <c r="M249" i="4" s="1"/>
  <c r="M250" i="4" s="1"/>
  <c r="M251" i="4" s="1"/>
  <c r="M252" i="4" s="1"/>
  <c r="M253" i="4" s="1"/>
  <c r="M254" i="4" s="1"/>
  <c r="M255" i="4" s="1"/>
  <c r="M256" i="4" s="1"/>
  <c r="M257" i="4" s="1"/>
  <c r="M258" i="4" s="1"/>
  <c r="M259" i="4" s="1"/>
  <c r="M260" i="4" s="1"/>
  <c r="M261" i="4" s="1"/>
  <c r="M262" i="4" s="1"/>
  <c r="M263" i="4" s="1"/>
  <c r="M264" i="4" s="1"/>
  <c r="M265" i="4" s="1"/>
  <c r="M266" i="4" s="1"/>
  <c r="M267" i="4" s="1"/>
  <c r="M268" i="4" s="1"/>
  <c r="M269" i="4" s="1"/>
  <c r="M270" i="4" s="1"/>
  <c r="M271" i="4" s="1"/>
  <c r="M272" i="4" s="1"/>
  <c r="M273" i="4" s="1"/>
  <c r="M274" i="4" s="1"/>
  <c r="M275" i="4" s="1"/>
  <c r="L62" i="4"/>
  <c r="D62" i="4"/>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C62" i="4"/>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C191" i="4" s="1"/>
  <c r="C192" i="4" s="1"/>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C332" i="4" s="1"/>
  <c r="C333" i="4" s="1"/>
  <c r="C334" i="4" s="1"/>
  <c r="C335" i="4" s="1"/>
  <c r="C336" i="4" s="1"/>
  <c r="C337" i="4" s="1"/>
  <c r="C338" i="4" s="1"/>
  <c r="C339" i="4" s="1"/>
  <c r="C340" i="4" s="1"/>
  <c r="C341" i="4" s="1"/>
  <c r="C342" i="4" s="1"/>
  <c r="C343" i="4" s="1"/>
  <c r="C344" i="4" s="1"/>
  <c r="C345" i="4" s="1"/>
  <c r="C346" i="4" s="1"/>
  <c r="C347" i="4" s="1"/>
  <c r="C348" i="4" s="1"/>
  <c r="C349" i="4" s="1"/>
  <c r="C350" i="4" s="1"/>
  <c r="C351" i="4" s="1"/>
  <c r="C352" i="4" s="1"/>
  <c r="C353" i="4" s="1"/>
  <c r="C354" i="4" s="1"/>
  <c r="C355" i="4" s="1"/>
  <c r="C356" i="4" s="1"/>
  <c r="C357" i="4" s="1"/>
  <c r="C358" i="4" s="1"/>
  <c r="C359" i="4" s="1"/>
  <c r="C360" i="4" s="1"/>
  <c r="C361" i="4" s="1"/>
  <c r="C362" i="4" s="1"/>
  <c r="C363" i="4" s="1"/>
  <c r="C364" i="4" s="1"/>
  <c r="C365" i="4" s="1"/>
  <c r="C366" i="4" s="1"/>
  <c r="C367" i="4" s="1"/>
  <c r="C368" i="4" s="1"/>
  <c r="C369" i="4" s="1"/>
  <c r="C370" i="4" s="1"/>
  <c r="C371" i="4" s="1"/>
  <c r="B62" i="4"/>
  <c r="B63" i="4" l="1"/>
  <c r="V62" i="4"/>
  <c r="G97" i="4"/>
  <c r="J66" i="4"/>
  <c r="J82" i="4"/>
  <c r="K285" i="4"/>
  <c r="K378" i="4"/>
  <c r="J378" i="4"/>
  <c r="J394" i="4"/>
  <c r="F81" i="4"/>
  <c r="K65" i="4"/>
  <c r="K278" i="4"/>
  <c r="K594" i="4"/>
  <c r="K602" i="4"/>
  <c r="B375" i="4"/>
  <c r="V374" i="4"/>
  <c r="S24" i="4"/>
  <c r="K66" i="4" l="1"/>
  <c r="J395" i="4"/>
  <c r="K379" i="4"/>
  <c r="J83" i="4"/>
  <c r="G98" i="4"/>
  <c r="B376" i="4"/>
  <c r="V375" i="4"/>
  <c r="K595" i="4"/>
  <c r="K279" i="4"/>
  <c r="F82" i="4"/>
  <c r="J379" i="4"/>
  <c r="K286" i="4"/>
  <c r="J67" i="4"/>
  <c r="B64" i="4"/>
  <c r="V63" i="4"/>
  <c r="S13" i="4"/>
  <c r="S14" i="4"/>
  <c r="S15" i="4"/>
  <c r="S16" i="4"/>
  <c r="S17" i="4"/>
  <c r="S18" i="4"/>
  <c r="S19" i="4"/>
  <c r="S20" i="4"/>
  <c r="S21" i="4"/>
  <c r="S22" i="4"/>
  <c r="S23" i="4"/>
  <c r="S25" i="4"/>
  <c r="S26" i="4"/>
  <c r="S27" i="4"/>
  <c r="S12" i="4"/>
  <c r="S29" i="4"/>
  <c r="S30" i="4"/>
  <c r="S31" i="4"/>
  <c r="S32" i="4"/>
  <c r="S33" i="4"/>
  <c r="S34" i="4"/>
  <c r="S35" i="4"/>
  <c r="S36" i="4"/>
  <c r="S37" i="4"/>
  <c r="S38" i="4"/>
  <c r="S39" i="4"/>
  <c r="S40" i="4"/>
  <c r="S41" i="4"/>
  <c r="S42" i="4"/>
  <c r="S43" i="4"/>
  <c r="S28" i="4"/>
  <c r="S60" i="4"/>
  <c r="P60" i="4"/>
  <c r="Q60" i="4"/>
  <c r="S59" i="4"/>
  <c r="S50" i="4"/>
  <c r="S58" i="4"/>
  <c r="S57" i="4"/>
  <c r="S56" i="4"/>
  <c r="S55" i="4"/>
  <c r="S53" i="4"/>
  <c r="S52" i="4"/>
  <c r="S51" i="4"/>
  <c r="S49" i="4"/>
  <c r="S48" i="4"/>
  <c r="S47" i="4"/>
  <c r="S46" i="4"/>
  <c r="S45" i="4"/>
  <c r="S44" i="4"/>
  <c r="S11" i="4"/>
  <c r="P51" i="4"/>
  <c r="J68" i="4" l="1"/>
  <c r="J380" i="4"/>
  <c r="K280" i="4"/>
  <c r="B377" i="4"/>
  <c r="V376" i="4"/>
  <c r="J84" i="4"/>
  <c r="J396" i="4"/>
  <c r="B65" i="4"/>
  <c r="V64" i="4"/>
  <c r="K287" i="4"/>
  <c r="F83" i="4"/>
  <c r="K596" i="4"/>
  <c r="G99" i="4"/>
  <c r="K380" i="4"/>
  <c r="K67" i="4"/>
  <c r="AG26" i="4"/>
  <c r="AG17" i="4"/>
  <c r="AG25" i="4"/>
  <c r="AG22" i="4"/>
  <c r="AG21" i="4"/>
  <c r="AG18" i="4"/>
  <c r="AG14" i="4"/>
  <c r="AG13" i="4"/>
  <c r="AG15" i="4"/>
  <c r="AG19" i="4"/>
  <c r="AG23" i="4"/>
  <c r="AG28" i="4"/>
  <c r="AG12" i="4"/>
  <c r="AG16" i="4"/>
  <c r="AG20" i="4"/>
  <c r="AG24" i="4"/>
  <c r="AG30" i="4"/>
  <c r="P50" i="4"/>
  <c r="K381" i="4" l="1"/>
  <c r="K597" i="4"/>
  <c r="K288" i="4"/>
  <c r="J397" i="4"/>
  <c r="B378" i="4"/>
  <c r="V377" i="4"/>
  <c r="J381" i="4"/>
  <c r="K68" i="4"/>
  <c r="G100" i="4"/>
  <c r="F84" i="4"/>
  <c r="B66" i="4"/>
  <c r="V65" i="4"/>
  <c r="J85" i="4"/>
  <c r="K281" i="4"/>
  <c r="J69" i="4"/>
  <c r="P44" i="4"/>
  <c r="O45" i="4"/>
  <c r="O46" i="4"/>
  <c r="O44" i="4"/>
  <c r="K282" i="4" l="1"/>
  <c r="B67" i="4"/>
  <c r="V66" i="4"/>
  <c r="G101" i="4"/>
  <c r="J382" i="4"/>
  <c r="J398" i="4"/>
  <c r="K598" i="4"/>
  <c r="J70" i="4"/>
  <c r="J86" i="4"/>
  <c r="F85" i="4"/>
  <c r="K69" i="4"/>
  <c r="B379" i="4"/>
  <c r="V378" i="4"/>
  <c r="K289" i="4"/>
  <c r="K382" i="4"/>
  <c r="O29" i="4"/>
  <c r="O30" i="4"/>
  <c r="O31" i="4"/>
  <c r="O32" i="4"/>
  <c r="O33" i="4"/>
  <c r="O34" i="4"/>
  <c r="O35" i="4"/>
  <c r="O36" i="4"/>
  <c r="O37" i="4"/>
  <c r="O38" i="4"/>
  <c r="O39" i="4"/>
  <c r="O40" i="4"/>
  <c r="O41" i="4"/>
  <c r="O42" i="4"/>
  <c r="O43" i="4"/>
  <c r="O28" i="4"/>
  <c r="O13" i="4"/>
  <c r="O14" i="4"/>
  <c r="O15" i="4"/>
  <c r="O16" i="4"/>
  <c r="O17" i="4"/>
  <c r="O18" i="4"/>
  <c r="O19" i="4"/>
  <c r="O20" i="4"/>
  <c r="O21" i="4"/>
  <c r="O22" i="4"/>
  <c r="O23" i="4"/>
  <c r="O24" i="4"/>
  <c r="O25" i="4"/>
  <c r="O26" i="4"/>
  <c r="O27" i="4"/>
  <c r="O12" i="4"/>
  <c r="P12" i="4"/>
  <c r="K70" i="4" l="1"/>
  <c r="J87" i="4"/>
  <c r="J383" i="4"/>
  <c r="B68" i="4"/>
  <c r="V67" i="4"/>
  <c r="K383" i="4"/>
  <c r="B380" i="4"/>
  <c r="V379" i="4"/>
  <c r="F86" i="4"/>
  <c r="J71" i="4"/>
  <c r="J399" i="4"/>
  <c r="G102" i="4"/>
  <c r="F45" i="4"/>
  <c r="L1" i="7"/>
  <c r="M1" i="7"/>
  <c r="N1" i="7"/>
  <c r="G1" i="7"/>
  <c r="H1" i="7"/>
  <c r="I1" i="7"/>
  <c r="J1" i="7"/>
  <c r="K1" i="7"/>
  <c r="B1" i="7"/>
  <c r="C1" i="7"/>
  <c r="D1" i="7"/>
  <c r="E1" i="7"/>
  <c r="F1" i="7"/>
  <c r="A1" i="7"/>
  <c r="J13" i="4"/>
  <c r="L12" i="4"/>
  <c r="M12" i="4"/>
  <c r="M13" i="4" s="1"/>
  <c r="M14" i="4" s="1"/>
  <c r="M15" i="4" s="1"/>
  <c r="M16" i="4" s="1"/>
  <c r="M17" i="4" s="1"/>
  <c r="M18" i="4" s="1"/>
  <c r="M19" i="4" s="1"/>
  <c r="M20" i="4" s="1"/>
  <c r="M21" i="4" s="1"/>
  <c r="M22" i="4" s="1"/>
  <c r="M23" i="4" s="1"/>
  <c r="M24" i="4" s="1"/>
  <c r="M25" i="4" s="1"/>
  <c r="M26" i="4" s="1"/>
  <c r="M27" i="4" s="1"/>
  <c r="M28" i="4" s="1"/>
  <c r="M29" i="4" s="1"/>
  <c r="M30" i="4" s="1"/>
  <c r="M31" i="4" s="1"/>
  <c r="M32" i="4" s="1"/>
  <c r="M33" i="4" s="1"/>
  <c r="M34" i="4" s="1"/>
  <c r="M35" i="4" s="1"/>
  <c r="M36" i="4" s="1"/>
  <c r="M37" i="4" s="1"/>
  <c r="M38" i="4" s="1"/>
  <c r="M39" i="4" s="1"/>
  <c r="M40" i="4" s="1"/>
  <c r="M41" i="4" s="1"/>
  <c r="M42" i="4" s="1"/>
  <c r="M43" i="4" s="1"/>
  <c r="M45" i="4" s="1"/>
  <c r="M46" i="4" s="1"/>
  <c r="M47" i="4" s="1"/>
  <c r="M48" i="4" s="1"/>
  <c r="M49" i="4" s="1"/>
  <c r="M50" i="4" s="1"/>
  <c r="M51" i="4" s="1"/>
  <c r="M52" i="4" s="1"/>
  <c r="M53" i="4" s="1"/>
  <c r="M54" i="4" s="1"/>
  <c r="M55" i="4" s="1"/>
  <c r="M56" i="4" s="1"/>
  <c r="M57" i="4" s="1"/>
  <c r="M58" i="4" s="1"/>
  <c r="K13" i="4"/>
  <c r="G45" i="4"/>
  <c r="D12" i="4"/>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C12" i="4"/>
  <c r="C13" i="4" s="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B12" i="4"/>
  <c r="V12" i="4" s="1"/>
  <c r="B29" i="6"/>
  <c r="C29" i="6"/>
  <c r="B30" i="6"/>
  <c r="C30" i="6"/>
  <c r="B31" i="6"/>
  <c r="C31" i="6"/>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B101" i="6"/>
  <c r="C101" i="6"/>
  <c r="B102" i="6"/>
  <c r="C102" i="6"/>
  <c r="B103" i="6"/>
  <c r="C103" i="6"/>
  <c r="B104" i="6"/>
  <c r="C104" i="6"/>
  <c r="B105" i="6"/>
  <c r="C105" i="6"/>
  <c r="B106" i="6"/>
  <c r="C106" i="6"/>
  <c r="B107" i="6"/>
  <c r="C107" i="6"/>
  <c r="B108" i="6"/>
  <c r="C108" i="6"/>
  <c r="B109" i="6"/>
  <c r="C109" i="6"/>
  <c r="B110" i="6"/>
  <c r="C110" i="6"/>
  <c r="B111" i="6"/>
  <c r="C111" i="6"/>
  <c r="B112" i="6"/>
  <c r="C112" i="6"/>
  <c r="B113" i="6"/>
  <c r="C113" i="6"/>
  <c r="B114" i="6"/>
  <c r="C114" i="6"/>
  <c r="B115" i="6"/>
  <c r="C115" i="6"/>
  <c r="B116" i="6"/>
  <c r="C116" i="6"/>
  <c r="B117" i="6"/>
  <c r="C117" i="6"/>
  <c r="B118" i="6"/>
  <c r="C118" i="6"/>
  <c r="B119" i="6"/>
  <c r="C119" i="6"/>
  <c r="B120" i="6"/>
  <c r="C120" i="6"/>
  <c r="B121" i="6"/>
  <c r="C121" i="6"/>
  <c r="B122" i="6"/>
  <c r="C122" i="6"/>
  <c r="B123" i="6"/>
  <c r="C123" i="6"/>
  <c r="B124" i="6"/>
  <c r="C124" i="6"/>
  <c r="B125" i="6"/>
  <c r="C125" i="6"/>
  <c r="B126" i="6"/>
  <c r="C126" i="6"/>
  <c r="B127" i="6"/>
  <c r="C127" i="6"/>
  <c r="B128" i="6"/>
  <c r="C128" i="6"/>
  <c r="B129" i="6"/>
  <c r="C129" i="6"/>
  <c r="B130" i="6"/>
  <c r="C130" i="6"/>
  <c r="B131" i="6"/>
  <c r="C131" i="6"/>
  <c r="B132" i="6"/>
  <c r="C132" i="6"/>
  <c r="B133" i="6"/>
  <c r="C133" i="6"/>
  <c r="B134" i="6"/>
  <c r="C134" i="6"/>
  <c r="B135" i="6"/>
  <c r="C135" i="6"/>
  <c r="B136" i="6"/>
  <c r="C136" i="6"/>
  <c r="B137" i="6"/>
  <c r="C137" i="6"/>
  <c r="B138" i="6"/>
  <c r="C138" i="6"/>
  <c r="B139" i="6"/>
  <c r="C139" i="6"/>
  <c r="B140" i="6"/>
  <c r="C140" i="6"/>
  <c r="B141" i="6"/>
  <c r="C141" i="6"/>
  <c r="B142" i="6"/>
  <c r="C142" i="6"/>
  <c r="B143" i="6"/>
  <c r="C143" i="6"/>
  <c r="B144" i="6"/>
  <c r="C144" i="6"/>
  <c r="B145" i="6"/>
  <c r="C145" i="6"/>
  <c r="B146" i="6"/>
  <c r="C146" i="6"/>
  <c r="B147" i="6"/>
  <c r="C147" i="6"/>
  <c r="B148" i="6"/>
  <c r="C148" i="6"/>
  <c r="B149" i="6"/>
  <c r="C149" i="6"/>
  <c r="B150" i="6"/>
  <c r="C150" i="6"/>
  <c r="B151" i="6"/>
  <c r="C151" i="6"/>
  <c r="B152" i="6"/>
  <c r="C152" i="6"/>
  <c r="B153" i="6"/>
  <c r="C153" i="6"/>
  <c r="B154" i="6"/>
  <c r="C154" i="6"/>
  <c r="B155" i="6"/>
  <c r="C155" i="6"/>
  <c r="B156" i="6"/>
  <c r="C156" i="6"/>
  <c r="B157" i="6"/>
  <c r="C157" i="6"/>
  <c r="B158" i="6"/>
  <c r="C158" i="6"/>
  <c r="B159" i="6"/>
  <c r="C159" i="6"/>
  <c r="B160" i="6"/>
  <c r="C160" i="6"/>
  <c r="B161" i="6"/>
  <c r="C161" i="6"/>
  <c r="B162" i="6"/>
  <c r="C162" i="6"/>
  <c r="B163" i="6"/>
  <c r="C163" i="6"/>
  <c r="B164" i="6"/>
  <c r="C164" i="6"/>
  <c r="B165" i="6"/>
  <c r="C165" i="6"/>
  <c r="B166" i="6"/>
  <c r="C166" i="6"/>
  <c r="B167" i="6"/>
  <c r="C167" i="6"/>
  <c r="B168" i="6"/>
  <c r="C168" i="6"/>
  <c r="B169" i="6"/>
  <c r="C169" i="6"/>
  <c r="B170" i="6"/>
  <c r="C170" i="6"/>
  <c r="B171" i="6"/>
  <c r="C171" i="6"/>
  <c r="B172" i="6"/>
  <c r="C172" i="6"/>
  <c r="B173" i="6"/>
  <c r="C173"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N10" i="6"/>
  <c r="O10" i="6"/>
  <c r="N11" i="6"/>
  <c r="O11" i="6"/>
  <c r="N12" i="6"/>
  <c r="O12" i="6"/>
  <c r="N13" i="6"/>
  <c r="O13" i="6"/>
  <c r="N14" i="6"/>
  <c r="O14" i="6"/>
  <c r="N15" i="6"/>
  <c r="O15" i="6"/>
  <c r="N16" i="6"/>
  <c r="O16" i="6"/>
  <c r="N17" i="6"/>
  <c r="O17" i="6"/>
  <c r="N18" i="6"/>
  <c r="O18" i="6"/>
  <c r="N19" i="6"/>
  <c r="O19" i="6"/>
  <c r="N20" i="6"/>
  <c r="O20" i="6"/>
  <c r="N21" i="6"/>
  <c r="O21" i="6"/>
  <c r="N22" i="6"/>
  <c r="O22" i="6"/>
  <c r="N23" i="6"/>
  <c r="O23" i="6"/>
  <c r="N24" i="6"/>
  <c r="O24" i="6"/>
  <c r="N25" i="6"/>
  <c r="O25" i="6"/>
  <c r="N26" i="6"/>
  <c r="O26" i="6"/>
  <c r="N27" i="6"/>
  <c r="O27" i="6"/>
  <c r="N28" i="6"/>
  <c r="O28" i="6"/>
  <c r="N29" i="6"/>
  <c r="O29" i="6"/>
  <c r="N30" i="6"/>
  <c r="O30" i="6"/>
  <c r="N31" i="6"/>
  <c r="O31" i="6"/>
  <c r="N32" i="6"/>
  <c r="O32" i="6"/>
  <c r="N33" i="6"/>
  <c r="O33" i="6"/>
  <c r="N34" i="6"/>
  <c r="O34" i="6"/>
  <c r="N35" i="6"/>
  <c r="O35" i="6"/>
  <c r="N36" i="6"/>
  <c r="O36" i="6"/>
  <c r="N37" i="6"/>
  <c r="O37" i="6"/>
  <c r="N38" i="6"/>
  <c r="O38" i="6"/>
  <c r="R33" i="6"/>
  <c r="S33" i="6"/>
  <c r="R34" i="6"/>
  <c r="S34" i="6"/>
  <c r="R35" i="6"/>
  <c r="S35" i="6"/>
  <c r="R36" i="6"/>
  <c r="S36" i="6"/>
  <c r="R37" i="6"/>
  <c r="S37" i="6"/>
  <c r="R38" i="6"/>
  <c r="S38" i="6"/>
  <c r="R39" i="6"/>
  <c r="S39" i="6"/>
  <c r="R40" i="6"/>
  <c r="S40" i="6"/>
  <c r="R41" i="6"/>
  <c r="S41" i="6"/>
  <c r="R42" i="6"/>
  <c r="S42" i="6"/>
  <c r="R43" i="6"/>
  <c r="S43" i="6"/>
  <c r="R44" i="6"/>
  <c r="S44" i="6"/>
  <c r="R45" i="6"/>
  <c r="S45" i="6"/>
  <c r="R46" i="6"/>
  <c r="S46" i="6"/>
  <c r="R47" i="6"/>
  <c r="S47" i="6"/>
  <c r="R48" i="6"/>
  <c r="S48" i="6"/>
  <c r="R49" i="6"/>
  <c r="S49" i="6"/>
  <c r="R50" i="6"/>
  <c r="S50" i="6"/>
  <c r="R51" i="6"/>
  <c r="S51" i="6"/>
  <c r="R52" i="6"/>
  <c r="S52" i="6"/>
  <c r="R53" i="6"/>
  <c r="S53" i="6"/>
  <c r="R54" i="6"/>
  <c r="S54" i="6"/>
  <c r="R55" i="6"/>
  <c r="S55" i="6"/>
  <c r="R56" i="6"/>
  <c r="S56" i="6"/>
  <c r="R57" i="6"/>
  <c r="S57" i="6"/>
  <c r="R58" i="6"/>
  <c r="S58" i="6"/>
  <c r="R59" i="6"/>
  <c r="S59" i="6"/>
  <c r="R60" i="6"/>
  <c r="S60" i="6"/>
  <c r="R61" i="6"/>
  <c r="S61" i="6"/>
  <c r="R62" i="6"/>
  <c r="S62" i="6"/>
  <c r="R63" i="6"/>
  <c r="S63" i="6"/>
  <c r="R64" i="6"/>
  <c r="S64" i="6"/>
  <c r="R65" i="6"/>
  <c r="S65" i="6"/>
  <c r="R66" i="6"/>
  <c r="S66" i="6"/>
  <c r="R67" i="6"/>
  <c r="S67" i="6"/>
  <c r="R68" i="6"/>
  <c r="S68" i="6"/>
  <c r="R69" i="6"/>
  <c r="S69" i="6"/>
  <c r="R70" i="6"/>
  <c r="S70" i="6"/>
  <c r="R71" i="6"/>
  <c r="S71" i="6"/>
  <c r="R72" i="6"/>
  <c r="S72" i="6"/>
  <c r="R73" i="6"/>
  <c r="S73" i="6"/>
  <c r="R74" i="6"/>
  <c r="S74" i="6"/>
  <c r="R75" i="6"/>
  <c r="S75" i="6"/>
  <c r="R76" i="6"/>
  <c r="S76" i="6"/>
  <c r="R77" i="6"/>
  <c r="S77" i="6"/>
  <c r="R78" i="6"/>
  <c r="S78" i="6"/>
  <c r="R79" i="6"/>
  <c r="S79" i="6"/>
  <c r="R80" i="6"/>
  <c r="S80" i="6"/>
  <c r="R81" i="6"/>
  <c r="S81" i="6"/>
  <c r="R82" i="6"/>
  <c r="S82" i="6"/>
  <c r="R83" i="6"/>
  <c r="S83" i="6"/>
  <c r="R84" i="6"/>
  <c r="S84" i="6"/>
  <c r="R85" i="6"/>
  <c r="S85" i="6"/>
  <c r="R86" i="6"/>
  <c r="S86" i="6"/>
  <c r="R87" i="6"/>
  <c r="S87" i="6"/>
  <c r="R88" i="6"/>
  <c r="S88" i="6"/>
  <c r="R89" i="6"/>
  <c r="S89" i="6"/>
  <c r="R90" i="6"/>
  <c r="S90" i="6"/>
  <c r="R91" i="6"/>
  <c r="S91" i="6"/>
  <c r="R92" i="6"/>
  <c r="S92" i="6"/>
  <c r="R93" i="6"/>
  <c r="S93" i="6"/>
  <c r="R94" i="6"/>
  <c r="S94" i="6"/>
  <c r="R95" i="6"/>
  <c r="S95" i="6"/>
  <c r="R96" i="6"/>
  <c r="S96" i="6"/>
  <c r="R97" i="6"/>
  <c r="S97" i="6"/>
  <c r="R98" i="6"/>
  <c r="S98" i="6"/>
  <c r="R99" i="6"/>
  <c r="S99" i="6"/>
  <c r="R100" i="6"/>
  <c r="S100" i="6"/>
  <c r="R101" i="6"/>
  <c r="S101" i="6"/>
  <c r="R102" i="6"/>
  <c r="S102" i="6"/>
  <c r="R103" i="6"/>
  <c r="S103" i="6"/>
  <c r="R104" i="6"/>
  <c r="S104" i="6"/>
  <c r="R105" i="6"/>
  <c r="S105" i="6"/>
  <c r="R106" i="6"/>
  <c r="S106" i="6"/>
  <c r="R107" i="6"/>
  <c r="S107" i="6"/>
  <c r="R108" i="6"/>
  <c r="S108" i="6"/>
  <c r="R109" i="6"/>
  <c r="S109" i="6"/>
  <c r="R110" i="6"/>
  <c r="S110" i="6"/>
  <c r="R111" i="6"/>
  <c r="S111" i="6"/>
  <c r="R112" i="6"/>
  <c r="S112" i="6"/>
  <c r="R113" i="6"/>
  <c r="S113" i="6"/>
  <c r="R114" i="6"/>
  <c r="S114" i="6"/>
  <c r="R115" i="6"/>
  <c r="S115" i="6"/>
  <c r="R116" i="6"/>
  <c r="S116" i="6"/>
  <c r="R117" i="6"/>
  <c r="S117" i="6"/>
  <c r="R118" i="6"/>
  <c r="S118" i="6"/>
  <c r="R119" i="6"/>
  <c r="S119" i="6"/>
  <c r="R120" i="6"/>
  <c r="S120" i="6"/>
  <c r="R121" i="6"/>
  <c r="S121" i="6"/>
  <c r="R122" i="6"/>
  <c r="S122" i="6"/>
  <c r="R123" i="6"/>
  <c r="S123" i="6"/>
  <c r="R124" i="6"/>
  <c r="S124" i="6"/>
  <c r="R125" i="6"/>
  <c r="S125" i="6"/>
  <c r="R126" i="6"/>
  <c r="S126" i="6"/>
  <c r="R127" i="6"/>
  <c r="S127" i="6"/>
  <c r="R128" i="6"/>
  <c r="S128" i="6"/>
  <c r="R129" i="6"/>
  <c r="S129" i="6"/>
  <c r="R130" i="6"/>
  <c r="S130" i="6"/>
  <c r="R131" i="6"/>
  <c r="S131" i="6"/>
  <c r="R132" i="6"/>
  <c r="S132" i="6"/>
  <c r="R133" i="6"/>
  <c r="S133" i="6"/>
  <c r="R134" i="6"/>
  <c r="S134" i="6"/>
  <c r="R135" i="6"/>
  <c r="S135" i="6"/>
  <c r="R136" i="6"/>
  <c r="S136" i="6"/>
  <c r="R137" i="6"/>
  <c r="S137" i="6"/>
  <c r="R138" i="6"/>
  <c r="S138" i="6"/>
  <c r="R139" i="6"/>
  <c r="S139" i="6"/>
  <c r="R140" i="6"/>
  <c r="S140" i="6"/>
  <c r="R141" i="6"/>
  <c r="S141" i="6"/>
  <c r="R142" i="6"/>
  <c r="S142" i="6"/>
  <c r="R143" i="6"/>
  <c r="S143" i="6"/>
  <c r="R144" i="6"/>
  <c r="S144" i="6"/>
  <c r="R145" i="6"/>
  <c r="S145" i="6"/>
  <c r="R146" i="6"/>
  <c r="S146" i="6"/>
  <c r="R147" i="6"/>
  <c r="S147" i="6"/>
  <c r="R148" i="6"/>
  <c r="S148" i="6"/>
  <c r="R149" i="6"/>
  <c r="S149" i="6"/>
  <c r="R150" i="6"/>
  <c r="S150" i="6"/>
  <c r="R151" i="6"/>
  <c r="S151" i="6"/>
  <c r="R152" i="6"/>
  <c r="S152" i="6"/>
  <c r="R153" i="6"/>
  <c r="S153" i="6"/>
  <c r="R154" i="6"/>
  <c r="S154" i="6"/>
  <c r="R155" i="6"/>
  <c r="S155" i="6"/>
  <c r="R156" i="6"/>
  <c r="S156" i="6"/>
  <c r="R157" i="6"/>
  <c r="S157" i="6"/>
  <c r="R158" i="6"/>
  <c r="S158" i="6"/>
  <c r="R159" i="6"/>
  <c r="S159" i="6"/>
  <c r="R160" i="6"/>
  <c r="S160" i="6"/>
  <c r="R161" i="6"/>
  <c r="S161" i="6"/>
  <c r="R162" i="6"/>
  <c r="S162" i="6"/>
  <c r="R163" i="6"/>
  <c r="S163" i="6"/>
  <c r="R164" i="6"/>
  <c r="S164" i="6"/>
  <c r="R165" i="6"/>
  <c r="S165" i="6"/>
  <c r="R166" i="6"/>
  <c r="S166" i="6"/>
  <c r="R167" i="6"/>
  <c r="S167" i="6"/>
  <c r="R168" i="6"/>
  <c r="S168" i="6"/>
  <c r="R169" i="6"/>
  <c r="S169" i="6"/>
  <c r="R170" i="6"/>
  <c r="S170" i="6"/>
  <c r="R171" i="6"/>
  <c r="S171" i="6"/>
  <c r="R172" i="6"/>
  <c r="S172" i="6"/>
  <c r="R173" i="6"/>
  <c r="S173" i="6"/>
  <c r="R174" i="6"/>
  <c r="S174" i="6"/>
  <c r="R175" i="6"/>
  <c r="S175" i="6"/>
  <c r="R176" i="6"/>
  <c r="S176" i="6"/>
  <c r="R177" i="6"/>
  <c r="S177" i="6"/>
  <c r="R178" i="6"/>
  <c r="S178" i="6"/>
  <c r="R179" i="6"/>
  <c r="S179" i="6"/>
  <c r="R180" i="6"/>
  <c r="S180" i="6"/>
  <c r="R181" i="6"/>
  <c r="S181" i="6"/>
  <c r="R182" i="6"/>
  <c r="S182" i="6"/>
  <c r="R183" i="6"/>
  <c r="S183" i="6"/>
  <c r="R184" i="6"/>
  <c r="S184" i="6"/>
  <c r="R185" i="6"/>
  <c r="S185" i="6"/>
  <c r="R186" i="6"/>
  <c r="S186" i="6"/>
  <c r="R187" i="6"/>
  <c r="S187" i="6"/>
  <c r="R188" i="6"/>
  <c r="S188" i="6"/>
  <c r="R189" i="6"/>
  <c r="S189" i="6"/>
  <c r="R190" i="6"/>
  <c r="S190" i="6"/>
  <c r="R191" i="6"/>
  <c r="S191" i="6"/>
  <c r="R192" i="6"/>
  <c r="S192" i="6"/>
  <c r="R193" i="6"/>
  <c r="S193" i="6"/>
  <c r="R194" i="6"/>
  <c r="S194" i="6"/>
  <c r="R195" i="6"/>
  <c r="S195" i="6"/>
  <c r="R196" i="6"/>
  <c r="S196" i="6"/>
  <c r="R197" i="6"/>
  <c r="S197" i="6"/>
  <c r="R198" i="6"/>
  <c r="S198" i="6"/>
  <c r="R199" i="6"/>
  <c r="S199" i="6"/>
  <c r="R200" i="6"/>
  <c r="S200" i="6"/>
  <c r="R201" i="6"/>
  <c r="S201" i="6"/>
  <c r="R202" i="6"/>
  <c r="S202" i="6"/>
  <c r="R203" i="6"/>
  <c r="S203" i="6"/>
  <c r="R204" i="6"/>
  <c r="S204" i="6"/>
  <c r="R205" i="6"/>
  <c r="S205" i="6"/>
  <c r="R206" i="6"/>
  <c r="S206" i="6"/>
  <c r="R207" i="6"/>
  <c r="S207" i="6"/>
  <c r="R208" i="6"/>
  <c r="S208" i="6"/>
  <c r="R209" i="6"/>
  <c r="S209" i="6"/>
  <c r="R210" i="6"/>
  <c r="S210" i="6"/>
  <c r="R211" i="6"/>
  <c r="S211" i="6"/>
  <c r="R212" i="6"/>
  <c r="S212" i="6"/>
  <c r="R213" i="6"/>
  <c r="S213" i="6"/>
  <c r="R214" i="6"/>
  <c r="S214" i="6"/>
  <c r="R215" i="6"/>
  <c r="S215" i="6"/>
  <c r="R216" i="6"/>
  <c r="S216" i="6"/>
  <c r="R217" i="6"/>
  <c r="S217" i="6"/>
  <c r="R218" i="6"/>
  <c r="S218" i="6"/>
  <c r="R219" i="6"/>
  <c r="S219" i="6"/>
  <c r="R220" i="6"/>
  <c r="S220" i="6"/>
  <c r="R221" i="6"/>
  <c r="S221" i="6"/>
  <c r="R222" i="6"/>
  <c r="S222" i="6"/>
  <c r="R223" i="6"/>
  <c r="S223" i="6"/>
  <c r="R224" i="6"/>
  <c r="S224" i="6"/>
  <c r="R225" i="6"/>
  <c r="S225" i="6"/>
  <c r="R226" i="6"/>
  <c r="S226" i="6"/>
  <c r="R227" i="6"/>
  <c r="S227" i="6"/>
  <c r="R228" i="6"/>
  <c r="S228" i="6"/>
  <c r="R229" i="6"/>
  <c r="S229" i="6"/>
  <c r="R230" i="6"/>
  <c r="S230" i="6"/>
  <c r="R231" i="6"/>
  <c r="S231" i="6"/>
  <c r="R232" i="6"/>
  <c r="S232" i="6"/>
  <c r="R233" i="6"/>
  <c r="S233" i="6"/>
  <c r="R234" i="6"/>
  <c r="S234" i="6"/>
  <c r="R235" i="6"/>
  <c r="S235" i="6"/>
  <c r="R236" i="6"/>
  <c r="S236" i="6"/>
  <c r="R237" i="6"/>
  <c r="S237" i="6"/>
  <c r="R238" i="6"/>
  <c r="S238" i="6"/>
  <c r="R239" i="6"/>
  <c r="S239" i="6"/>
  <c r="R240" i="6"/>
  <c r="S240" i="6"/>
  <c r="R241" i="6"/>
  <c r="S241" i="6"/>
  <c r="R242" i="6"/>
  <c r="S242" i="6"/>
  <c r="R243" i="6"/>
  <c r="S243" i="6"/>
  <c r="R244" i="6"/>
  <c r="S244" i="6"/>
  <c r="R245" i="6"/>
  <c r="S245" i="6"/>
  <c r="R246" i="6"/>
  <c r="S246" i="6"/>
  <c r="R247" i="6"/>
  <c r="S247" i="6"/>
  <c r="R248" i="6"/>
  <c r="S248" i="6"/>
  <c r="R249" i="6"/>
  <c r="S249" i="6"/>
  <c r="R250" i="6"/>
  <c r="S250" i="6"/>
  <c r="R251" i="6"/>
  <c r="S251" i="6"/>
  <c r="R252" i="6"/>
  <c r="S252" i="6"/>
  <c r="R253" i="6"/>
  <c r="S253" i="6"/>
  <c r="R254" i="6"/>
  <c r="S254" i="6"/>
  <c r="R255" i="6"/>
  <c r="S255" i="6"/>
  <c r="R256" i="6"/>
  <c r="S256" i="6"/>
  <c r="R257" i="6"/>
  <c r="S257" i="6"/>
  <c r="R258" i="6"/>
  <c r="S258" i="6"/>
  <c r="R259" i="6"/>
  <c r="S259" i="6"/>
  <c r="R260" i="6"/>
  <c r="S260" i="6"/>
  <c r="R261" i="6"/>
  <c r="S261" i="6"/>
  <c r="R262" i="6"/>
  <c r="S262" i="6"/>
  <c r="R263" i="6"/>
  <c r="S263" i="6"/>
  <c r="R264" i="6"/>
  <c r="S264" i="6"/>
  <c r="R265" i="6"/>
  <c r="S265" i="6"/>
  <c r="R266" i="6"/>
  <c r="S266" i="6"/>
  <c r="R267" i="6"/>
  <c r="S267" i="6"/>
  <c r="R268" i="6"/>
  <c r="S268" i="6"/>
  <c r="R269" i="6"/>
  <c r="S269" i="6"/>
  <c r="R270" i="6"/>
  <c r="S270" i="6"/>
  <c r="R271" i="6"/>
  <c r="S271" i="6"/>
  <c r="R272" i="6"/>
  <c r="S272" i="6"/>
  <c r="G46" i="4" l="1"/>
  <c r="J14" i="4"/>
  <c r="K14" i="4"/>
  <c r="G103" i="4"/>
  <c r="J72" i="4"/>
  <c r="B381" i="4"/>
  <c r="V380" i="4"/>
  <c r="B69" i="4"/>
  <c r="V68" i="4"/>
  <c r="J88" i="4"/>
  <c r="F46" i="4"/>
  <c r="J400" i="4"/>
  <c r="F87" i="4"/>
  <c r="K384" i="4"/>
  <c r="J384" i="4"/>
  <c r="K71" i="4"/>
  <c r="L13" i="4"/>
  <c r="P13" i="4"/>
  <c r="K45" i="4"/>
  <c r="B13" i="4"/>
  <c r="K46" i="4" l="1"/>
  <c r="K72" i="4"/>
  <c r="K385" i="4"/>
  <c r="J401" i="4"/>
  <c r="J89" i="4"/>
  <c r="B382" i="4"/>
  <c r="V381" i="4"/>
  <c r="G104" i="4"/>
  <c r="J15" i="4"/>
  <c r="B14" i="4"/>
  <c r="V13" i="4"/>
  <c r="J385" i="4"/>
  <c r="F88" i="4"/>
  <c r="F48" i="4"/>
  <c r="B70" i="4"/>
  <c r="V69" i="4"/>
  <c r="J73" i="4"/>
  <c r="K15" i="4"/>
  <c r="G47" i="4"/>
  <c r="L14" i="4"/>
  <c r="P14" i="4"/>
  <c r="G48" i="4" l="1"/>
  <c r="J74" i="4"/>
  <c r="F49" i="4"/>
  <c r="J386" i="4"/>
  <c r="J16" i="4"/>
  <c r="B383" i="4"/>
  <c r="V382" i="4"/>
  <c r="J402" i="4"/>
  <c r="K73" i="4"/>
  <c r="K16" i="4"/>
  <c r="B71" i="4"/>
  <c r="V70" i="4"/>
  <c r="F89" i="4"/>
  <c r="B15" i="4"/>
  <c r="V14" i="4"/>
  <c r="G105" i="4"/>
  <c r="J90" i="4"/>
  <c r="K386" i="4"/>
  <c r="K48" i="4"/>
  <c r="L15" i="4"/>
  <c r="P15" i="4"/>
  <c r="K49" i="4" l="1"/>
  <c r="J91" i="4"/>
  <c r="B16" i="4"/>
  <c r="V15" i="4"/>
  <c r="B72" i="4"/>
  <c r="V71" i="4"/>
  <c r="K74" i="4"/>
  <c r="B384" i="4"/>
  <c r="V383" i="4"/>
  <c r="J387" i="4"/>
  <c r="J75" i="4"/>
  <c r="K387" i="4"/>
  <c r="G106" i="4"/>
  <c r="F90" i="4"/>
  <c r="K17" i="4"/>
  <c r="J403" i="4"/>
  <c r="J17" i="4"/>
  <c r="F56" i="4"/>
  <c r="G49" i="4"/>
  <c r="L16" i="4"/>
  <c r="P16" i="4"/>
  <c r="G50" i="4" l="1"/>
  <c r="J18" i="4"/>
  <c r="K18" i="4"/>
  <c r="G107" i="4"/>
  <c r="J76" i="4"/>
  <c r="B385" i="4"/>
  <c r="V384" i="4"/>
  <c r="B73" i="4"/>
  <c r="V72" i="4"/>
  <c r="J92" i="4"/>
  <c r="F57" i="4"/>
  <c r="J404" i="4"/>
  <c r="F91" i="4"/>
  <c r="K388" i="4"/>
  <c r="J388" i="4"/>
  <c r="K75" i="4"/>
  <c r="B17" i="4"/>
  <c r="V16" i="4"/>
  <c r="K52" i="4"/>
  <c r="L17" i="4"/>
  <c r="P17" i="4"/>
  <c r="K53" i="4" l="1"/>
  <c r="K76" i="4"/>
  <c r="K389" i="4"/>
  <c r="J405" i="4"/>
  <c r="J93" i="4"/>
  <c r="B386" i="4"/>
  <c r="V385" i="4"/>
  <c r="G108" i="4"/>
  <c r="J19" i="4"/>
  <c r="B18" i="4"/>
  <c r="V17" i="4"/>
  <c r="J389" i="4"/>
  <c r="F92" i="4"/>
  <c r="F58" i="4"/>
  <c r="B74" i="4"/>
  <c r="V73" i="4"/>
  <c r="J77" i="4"/>
  <c r="K19" i="4"/>
  <c r="G51" i="4"/>
  <c r="L18" i="4"/>
  <c r="P18" i="4"/>
  <c r="G52" i="4" l="1"/>
  <c r="J78" i="4"/>
  <c r="J390" i="4"/>
  <c r="J20" i="4"/>
  <c r="B387" i="4"/>
  <c r="V386" i="4"/>
  <c r="J406" i="4"/>
  <c r="K77" i="4"/>
  <c r="K20" i="4"/>
  <c r="B75" i="4"/>
  <c r="V74" i="4"/>
  <c r="F93" i="4"/>
  <c r="B19" i="4"/>
  <c r="V18" i="4"/>
  <c r="G109" i="4"/>
  <c r="J94" i="4"/>
  <c r="K390" i="4"/>
  <c r="K54" i="4"/>
  <c r="L19" i="4"/>
  <c r="P19" i="4"/>
  <c r="K391" i="4" l="1"/>
  <c r="G110" i="4"/>
  <c r="F94" i="4"/>
  <c r="K21" i="4"/>
  <c r="J21" i="4"/>
  <c r="J79" i="4"/>
  <c r="K55" i="4"/>
  <c r="J95" i="4"/>
  <c r="B20" i="4"/>
  <c r="V19" i="4"/>
  <c r="B76" i="4"/>
  <c r="V75" i="4"/>
  <c r="K78" i="4"/>
  <c r="B388" i="4"/>
  <c r="V387" i="4"/>
  <c r="G53" i="4"/>
  <c r="L20" i="4"/>
  <c r="P20" i="4"/>
  <c r="B389" i="4" l="1"/>
  <c r="V388" i="4"/>
  <c r="B77" i="4"/>
  <c r="V76" i="4"/>
  <c r="K22" i="4"/>
  <c r="G111" i="4"/>
  <c r="G54" i="4"/>
  <c r="K79" i="4"/>
  <c r="B21" i="4"/>
  <c r="V20" i="4"/>
  <c r="K56" i="4"/>
  <c r="J22" i="4"/>
  <c r="F95" i="4"/>
  <c r="K392" i="4"/>
  <c r="L21" i="4"/>
  <c r="P21" i="4"/>
  <c r="F96" i="4" l="1"/>
  <c r="K57" i="4"/>
  <c r="K80" i="4"/>
  <c r="G112" i="4"/>
  <c r="B78" i="4"/>
  <c r="V77" i="4"/>
  <c r="K393" i="4"/>
  <c r="J23" i="4"/>
  <c r="B22" i="4"/>
  <c r="V21" i="4"/>
  <c r="G55" i="4"/>
  <c r="K23" i="4"/>
  <c r="B390" i="4"/>
  <c r="V389" i="4"/>
  <c r="L22" i="4"/>
  <c r="P22" i="4"/>
  <c r="K24" i="4" l="1"/>
  <c r="B23" i="4"/>
  <c r="V22" i="4"/>
  <c r="K394" i="4"/>
  <c r="G113" i="4"/>
  <c r="K58" i="4"/>
  <c r="B391" i="4"/>
  <c r="V390" i="4"/>
  <c r="G56" i="4"/>
  <c r="J24" i="4"/>
  <c r="B79" i="4"/>
  <c r="V78" i="4"/>
  <c r="K81" i="4"/>
  <c r="F97" i="4"/>
  <c r="L23" i="4"/>
  <c r="P23" i="4"/>
  <c r="K82" i="4" l="1"/>
  <c r="J25" i="4"/>
  <c r="B392" i="4"/>
  <c r="V391" i="4"/>
  <c r="G114" i="4"/>
  <c r="B24" i="4"/>
  <c r="V23" i="4"/>
  <c r="F98" i="4"/>
  <c r="B80" i="4"/>
  <c r="V79" i="4"/>
  <c r="G57" i="4"/>
  <c r="K395" i="4"/>
  <c r="K25" i="4"/>
  <c r="L24" i="4"/>
  <c r="P24" i="4"/>
  <c r="K26" i="4" l="1"/>
  <c r="G58" i="4"/>
  <c r="F99" i="4"/>
  <c r="G115" i="4"/>
  <c r="J26" i="4"/>
  <c r="K396" i="4"/>
  <c r="B81" i="4"/>
  <c r="V80" i="4"/>
  <c r="V24" i="4"/>
  <c r="B25" i="4"/>
  <c r="B393" i="4"/>
  <c r="V392" i="4"/>
  <c r="K83" i="4"/>
  <c r="L25" i="4"/>
  <c r="P25" i="4"/>
  <c r="K397" i="4" l="1"/>
  <c r="G116" i="4"/>
  <c r="V25" i="4"/>
  <c r="B26" i="4"/>
  <c r="K84" i="4"/>
  <c r="B394" i="4"/>
  <c r="V393" i="4"/>
  <c r="B82" i="4"/>
  <c r="V81" i="4"/>
  <c r="J27" i="4"/>
  <c r="F100" i="4"/>
  <c r="K27" i="4"/>
  <c r="L26" i="4"/>
  <c r="P26" i="4"/>
  <c r="F101" i="4" l="1"/>
  <c r="B83" i="4"/>
  <c r="V82" i="4"/>
  <c r="K85" i="4"/>
  <c r="G117" i="4"/>
  <c r="V26" i="4"/>
  <c r="B27" i="4"/>
  <c r="K28" i="4"/>
  <c r="J29" i="4"/>
  <c r="B395" i="4"/>
  <c r="V394" i="4"/>
  <c r="K398" i="4"/>
  <c r="L27" i="4"/>
  <c r="P27" i="4"/>
  <c r="K29" i="4" l="1"/>
  <c r="B396" i="4"/>
  <c r="V395" i="4"/>
  <c r="G118" i="4"/>
  <c r="B84" i="4"/>
  <c r="V83" i="4"/>
  <c r="V27" i="4"/>
  <c r="B28" i="4"/>
  <c r="K399" i="4"/>
  <c r="J30" i="4"/>
  <c r="K86" i="4"/>
  <c r="F102" i="4"/>
  <c r="L28" i="4"/>
  <c r="P28" i="4"/>
  <c r="K87" i="4" l="1"/>
  <c r="K400" i="4"/>
  <c r="B85" i="4"/>
  <c r="V84" i="4"/>
  <c r="B397" i="4"/>
  <c r="V396" i="4"/>
  <c r="V28" i="4"/>
  <c r="B29" i="4"/>
  <c r="F103" i="4"/>
  <c r="J31" i="4"/>
  <c r="G119" i="4"/>
  <c r="K30" i="4"/>
  <c r="L29" i="4"/>
  <c r="P29" i="4"/>
  <c r="G120" i="4" l="1"/>
  <c r="F104" i="4"/>
  <c r="B398" i="4"/>
  <c r="V397" i="4"/>
  <c r="K401" i="4"/>
  <c r="V29" i="4"/>
  <c r="B30" i="4"/>
  <c r="K31" i="4"/>
  <c r="J32" i="4"/>
  <c r="B86" i="4"/>
  <c r="V85" i="4"/>
  <c r="K88" i="4"/>
  <c r="L30" i="4"/>
  <c r="P30" i="4"/>
  <c r="B87" i="4" l="1"/>
  <c r="V86" i="4"/>
  <c r="K32" i="4"/>
  <c r="K402" i="4"/>
  <c r="F105" i="4"/>
  <c r="V30" i="4"/>
  <c r="B31" i="4"/>
  <c r="K89" i="4"/>
  <c r="J33" i="4"/>
  <c r="B399" i="4"/>
  <c r="V398" i="4"/>
  <c r="G121" i="4"/>
  <c r="L31" i="4"/>
  <c r="P31" i="4"/>
  <c r="B400" i="4" l="1"/>
  <c r="V399" i="4"/>
  <c r="K90" i="4"/>
  <c r="F106" i="4"/>
  <c r="K33" i="4"/>
  <c r="V31" i="4"/>
  <c r="B32" i="4"/>
  <c r="G122" i="4"/>
  <c r="J34" i="4"/>
  <c r="K403" i="4"/>
  <c r="B88" i="4"/>
  <c r="V87" i="4"/>
  <c r="L32" i="4"/>
  <c r="P32" i="4"/>
  <c r="K404" i="4" l="1"/>
  <c r="G123" i="4"/>
  <c r="K34" i="4"/>
  <c r="K91" i="4"/>
  <c r="V32" i="4"/>
  <c r="B33" i="4"/>
  <c r="B89" i="4"/>
  <c r="V88" i="4"/>
  <c r="J35" i="4"/>
  <c r="F107" i="4"/>
  <c r="B401" i="4"/>
  <c r="V400" i="4"/>
  <c r="L33" i="4"/>
  <c r="P33" i="4"/>
  <c r="F108" i="4" l="1"/>
  <c r="B90" i="4"/>
  <c r="V89" i="4"/>
  <c r="K92" i="4"/>
  <c r="G124" i="4"/>
  <c r="V33" i="4"/>
  <c r="B34" i="4"/>
  <c r="B402" i="4"/>
  <c r="V401" i="4"/>
  <c r="J36" i="4"/>
  <c r="K35" i="4"/>
  <c r="K405" i="4"/>
  <c r="L34" i="4"/>
  <c r="P34" i="4"/>
  <c r="K36" i="4" l="1"/>
  <c r="B403" i="4"/>
  <c r="V402" i="4"/>
  <c r="G125" i="4"/>
  <c r="B91" i="4"/>
  <c r="V90" i="4"/>
  <c r="V34" i="4"/>
  <c r="B35" i="4"/>
  <c r="K406" i="4"/>
  <c r="J37" i="4"/>
  <c r="K93" i="4"/>
  <c r="F109" i="4"/>
  <c r="L35" i="4"/>
  <c r="P35" i="4"/>
  <c r="K94" i="4" l="1"/>
  <c r="K407" i="4"/>
  <c r="B92" i="4"/>
  <c r="V91" i="4"/>
  <c r="B404" i="4"/>
  <c r="V403" i="4"/>
  <c r="V35" i="4"/>
  <c r="B36" i="4"/>
  <c r="F110" i="4"/>
  <c r="J38" i="4"/>
  <c r="G126" i="4"/>
  <c r="K37" i="4"/>
  <c r="L36" i="4"/>
  <c r="P36" i="4"/>
  <c r="G127" i="4" l="1"/>
  <c r="F111" i="4"/>
  <c r="B405" i="4"/>
  <c r="V404" i="4"/>
  <c r="K408" i="4"/>
  <c r="V36" i="4"/>
  <c r="B37" i="4"/>
  <c r="K38" i="4"/>
  <c r="J39" i="4"/>
  <c r="B93" i="4"/>
  <c r="V92" i="4"/>
  <c r="K95" i="4"/>
  <c r="L37" i="4"/>
  <c r="P37" i="4"/>
  <c r="B94" i="4" l="1"/>
  <c r="V93" i="4"/>
  <c r="K39" i="4"/>
  <c r="K409" i="4"/>
  <c r="F112" i="4"/>
  <c r="V37" i="4"/>
  <c r="B38" i="4"/>
  <c r="K96" i="4"/>
  <c r="J40" i="4"/>
  <c r="B406" i="4"/>
  <c r="V405" i="4"/>
  <c r="G128" i="4"/>
  <c r="L38" i="4"/>
  <c r="P38" i="4"/>
  <c r="B407" i="4" l="1"/>
  <c r="V406" i="4"/>
  <c r="K97" i="4"/>
  <c r="F113" i="4"/>
  <c r="K40" i="4"/>
  <c r="V38" i="4"/>
  <c r="B39" i="4"/>
  <c r="G129" i="4"/>
  <c r="J41" i="4"/>
  <c r="K410" i="4"/>
  <c r="B95" i="4"/>
  <c r="V94" i="4"/>
  <c r="L39" i="4"/>
  <c r="P39" i="4"/>
  <c r="K411" i="4" l="1"/>
  <c r="G130" i="4"/>
  <c r="K41" i="4"/>
  <c r="K98" i="4"/>
  <c r="V39" i="4"/>
  <c r="B40" i="4"/>
  <c r="B96" i="4"/>
  <c r="V95" i="4"/>
  <c r="J42" i="4"/>
  <c r="F114" i="4"/>
  <c r="B408" i="4"/>
  <c r="V407" i="4"/>
  <c r="L40" i="4"/>
  <c r="P40" i="4"/>
  <c r="F115" i="4" l="1"/>
  <c r="B97" i="4"/>
  <c r="V96" i="4"/>
  <c r="K99" i="4"/>
  <c r="G131" i="4"/>
  <c r="V40" i="4"/>
  <c r="B41" i="4"/>
  <c r="B409" i="4"/>
  <c r="V408" i="4"/>
  <c r="J43" i="4"/>
  <c r="K42" i="4"/>
  <c r="K412" i="4"/>
  <c r="L41" i="4"/>
  <c r="P41" i="4"/>
  <c r="K43" i="4" l="1"/>
  <c r="B410" i="4"/>
  <c r="V409" i="4"/>
  <c r="G132" i="4"/>
  <c r="B98" i="4"/>
  <c r="V97" i="4"/>
  <c r="V41" i="4"/>
  <c r="B42" i="4"/>
  <c r="K413" i="4"/>
  <c r="J45" i="4"/>
  <c r="K100" i="4"/>
  <c r="F116" i="4"/>
  <c r="L42" i="4"/>
  <c r="P42" i="4"/>
  <c r="K101" i="4" l="1"/>
  <c r="K414" i="4"/>
  <c r="B99" i="4"/>
  <c r="V98" i="4"/>
  <c r="B411" i="4"/>
  <c r="V410" i="4"/>
  <c r="V42" i="4"/>
  <c r="B43" i="4"/>
  <c r="F117" i="4"/>
  <c r="J46" i="4"/>
  <c r="G133" i="4"/>
  <c r="L43" i="4"/>
  <c r="L45" i="4" s="1"/>
  <c r="P43" i="4"/>
  <c r="G134" i="4" l="1"/>
  <c r="F118" i="4"/>
  <c r="B412" i="4"/>
  <c r="V411" i="4"/>
  <c r="K415" i="4"/>
  <c r="V43" i="4"/>
  <c r="B44" i="4"/>
  <c r="J49" i="4"/>
  <c r="B100" i="4"/>
  <c r="V99" i="4"/>
  <c r="K102" i="4"/>
  <c r="L46" i="4"/>
  <c r="P45" i="4"/>
  <c r="K103" i="4" l="1"/>
  <c r="J52" i="4"/>
  <c r="K416" i="4"/>
  <c r="F119" i="4"/>
  <c r="V44" i="4"/>
  <c r="B45" i="4"/>
  <c r="B101" i="4"/>
  <c r="V100" i="4"/>
  <c r="B413" i="4"/>
  <c r="V412" i="4"/>
  <c r="G135" i="4"/>
  <c r="L47" i="4"/>
  <c r="P46" i="4"/>
  <c r="G136" i="4" l="1"/>
  <c r="B102" i="4"/>
  <c r="V101" i="4"/>
  <c r="F120" i="4"/>
  <c r="J54" i="4"/>
  <c r="V45" i="4"/>
  <c r="B46" i="4"/>
  <c r="B414" i="4"/>
  <c r="V413" i="4"/>
  <c r="K417" i="4"/>
  <c r="K104" i="4"/>
  <c r="L48" i="4"/>
  <c r="P47" i="4"/>
  <c r="K105" i="4" l="1"/>
  <c r="B415" i="4"/>
  <c r="V414" i="4"/>
  <c r="J56" i="4"/>
  <c r="B103" i="4"/>
  <c r="V102" i="4"/>
  <c r="V46" i="4"/>
  <c r="B47" i="4"/>
  <c r="K418" i="4"/>
  <c r="F121" i="4"/>
  <c r="G137" i="4"/>
  <c r="L49" i="4"/>
  <c r="P48" i="4"/>
  <c r="G138" i="4" l="1"/>
  <c r="K419" i="4"/>
  <c r="B104" i="4"/>
  <c r="V103" i="4"/>
  <c r="B416" i="4"/>
  <c r="V415" i="4"/>
  <c r="V47" i="4"/>
  <c r="B48" i="4"/>
  <c r="F122" i="4"/>
  <c r="J57" i="4"/>
  <c r="K106" i="4"/>
  <c r="L52" i="4"/>
  <c r="P49" i="4"/>
  <c r="K107" i="4" l="1"/>
  <c r="F123" i="4"/>
  <c r="B417" i="4"/>
  <c r="V416" i="4"/>
  <c r="K420" i="4"/>
  <c r="V48" i="4"/>
  <c r="B49" i="4"/>
  <c r="J58" i="4"/>
  <c r="B105" i="4"/>
  <c r="V104" i="4"/>
  <c r="G139" i="4"/>
  <c r="L53" i="4"/>
  <c r="P52" i="4"/>
  <c r="Q28" i="4"/>
  <c r="Q29" i="4" s="1"/>
  <c r="Q30" i="4" s="1"/>
  <c r="Q31" i="4" s="1"/>
  <c r="Q32" i="4" s="1"/>
  <c r="Q33" i="4" s="1"/>
  <c r="Q34" i="4" s="1"/>
  <c r="Q35" i="4" s="1"/>
  <c r="Q36" i="4" s="1"/>
  <c r="Q37" i="4" s="1"/>
  <c r="Q38" i="4" s="1"/>
  <c r="Q39" i="4" s="1"/>
  <c r="Q40" i="4" s="1"/>
  <c r="Q41" i="4" s="1"/>
  <c r="Q42" i="4" s="1"/>
  <c r="Q43" i="4" s="1"/>
  <c r="Q44" i="4" s="1"/>
  <c r="Q45" i="4" s="1"/>
  <c r="Q46" i="4" s="1"/>
  <c r="Q47" i="4" s="1"/>
  <c r="Q48" i="4" s="1"/>
  <c r="Q49" i="4" s="1"/>
  <c r="Q50" i="4" s="1"/>
  <c r="Q51" i="4" s="1"/>
  <c r="Q52" i="4" s="1"/>
  <c r="Q53" i="4" s="1"/>
  <c r="Q54" i="4" s="1"/>
  <c r="Q55" i="4" s="1"/>
  <c r="Q56" i="4" s="1"/>
  <c r="Q57" i="4" s="1"/>
  <c r="Q58" i="4" s="1"/>
  <c r="K421" i="4" l="1"/>
  <c r="F124" i="4"/>
  <c r="G140" i="4"/>
  <c r="V49" i="4"/>
  <c r="B50" i="4"/>
  <c r="B106" i="4"/>
  <c r="V105" i="4"/>
  <c r="B418" i="4"/>
  <c r="V417" i="4"/>
  <c r="K108" i="4"/>
  <c r="L54" i="4"/>
  <c r="P53" i="4"/>
  <c r="C4" i="6"/>
  <c r="O4" i="6"/>
  <c r="S4" i="6"/>
  <c r="G4" i="6"/>
  <c r="Y139" i="4" s="1"/>
  <c r="I7" i="6"/>
  <c r="I8" i="6"/>
  <c r="I9" i="6"/>
  <c r="I10" i="6"/>
  <c r="I11" i="6"/>
  <c r="I12" i="6"/>
  <c r="I13" i="6"/>
  <c r="I14" i="6"/>
  <c r="I15" i="6"/>
  <c r="I4" i="6"/>
  <c r="K4" i="6" s="1"/>
  <c r="R5" i="6"/>
  <c r="S5" i="6" s="1"/>
  <c r="N5" i="6"/>
  <c r="N6" i="6" s="1"/>
  <c r="F5" i="6"/>
  <c r="G5" i="6" s="1"/>
  <c r="B5" i="6"/>
  <c r="C5" i="6" s="1"/>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4" i="6"/>
  <c r="AA12" i="4" l="1"/>
  <c r="AA13" i="4"/>
  <c r="AA14" i="4"/>
  <c r="AA15" i="4"/>
  <c r="AA16" i="4"/>
  <c r="AA17" i="4"/>
  <c r="AA18" i="4"/>
  <c r="AA19" i="4"/>
  <c r="AA20" i="4"/>
  <c r="AA21" i="4"/>
  <c r="AA22" i="4"/>
  <c r="AA23" i="4"/>
  <c r="AA24" i="4"/>
  <c r="AA25" i="4"/>
  <c r="AA26" i="4"/>
  <c r="AA27" i="4"/>
  <c r="AA28" i="4"/>
  <c r="AA29" i="4"/>
  <c r="AA30" i="4"/>
  <c r="AA31" i="4"/>
  <c r="AA32" i="4"/>
  <c r="AA33" i="4"/>
  <c r="AA34" i="4"/>
  <c r="AA35" i="4"/>
  <c r="AA36" i="4"/>
  <c r="AA37" i="4"/>
  <c r="AA38" i="4"/>
  <c r="AA39" i="4"/>
  <c r="AA40" i="4"/>
  <c r="AA41" i="4"/>
  <c r="AA42" i="4"/>
  <c r="AA43" i="4"/>
  <c r="AA59" i="4"/>
  <c r="AA11" i="4"/>
  <c r="AA60" i="4"/>
  <c r="X44" i="4"/>
  <c r="X47" i="4"/>
  <c r="X45" i="4"/>
  <c r="X46" i="4"/>
  <c r="X48" i="4"/>
  <c r="X49" i="4"/>
  <c r="Z12" i="4"/>
  <c r="Z59" i="4"/>
  <c r="Z13" i="4"/>
  <c r="Z14" i="4"/>
  <c r="Z15" i="4"/>
  <c r="Z16" i="4"/>
  <c r="Z17" i="4"/>
  <c r="Z18" i="4"/>
  <c r="Z19" i="4"/>
  <c r="Z20" i="4"/>
  <c r="Z21" i="4"/>
  <c r="Z22" i="4"/>
  <c r="Z23" i="4"/>
  <c r="Z24" i="4"/>
  <c r="Z25" i="4"/>
  <c r="Z26" i="4"/>
  <c r="Z27" i="4"/>
  <c r="W665" i="4"/>
  <c r="W664" i="4"/>
  <c r="W660" i="4"/>
  <c r="W656" i="4"/>
  <c r="W652" i="4"/>
  <c r="W663" i="4"/>
  <c r="W659" i="4"/>
  <c r="W655" i="4"/>
  <c r="W651" i="4"/>
  <c r="W662" i="4"/>
  <c r="W658" i="4"/>
  <c r="W654" i="4"/>
  <c r="W661" i="4"/>
  <c r="W657" i="4"/>
  <c r="W653" i="4"/>
  <c r="W602" i="4"/>
  <c r="W601" i="4"/>
  <c r="W600" i="4"/>
  <c r="W599" i="4"/>
  <c r="W598" i="4"/>
  <c r="W597" i="4"/>
  <c r="W596" i="4"/>
  <c r="W595" i="4"/>
  <c r="W594" i="4"/>
  <c r="W593" i="4"/>
  <c r="W592" i="4"/>
  <c r="W591" i="4"/>
  <c r="W590" i="4"/>
  <c r="W589" i="4"/>
  <c r="W588" i="4"/>
  <c r="W587" i="4"/>
  <c r="W586" i="4"/>
  <c r="W585" i="4"/>
  <c r="W584" i="4"/>
  <c r="W583" i="4"/>
  <c r="W582" i="4"/>
  <c r="W581" i="4"/>
  <c r="W580" i="4"/>
  <c r="W579" i="4"/>
  <c r="W578" i="4"/>
  <c r="W577" i="4"/>
  <c r="W576" i="4"/>
  <c r="W575" i="4"/>
  <c r="W574" i="4"/>
  <c r="W573" i="4"/>
  <c r="W572" i="4"/>
  <c r="W571" i="4"/>
  <c r="W570" i="4"/>
  <c r="W569" i="4"/>
  <c r="W568" i="4"/>
  <c r="W567" i="4"/>
  <c r="W566" i="4"/>
  <c r="W565" i="4"/>
  <c r="W564" i="4"/>
  <c r="W563" i="4"/>
  <c r="W562" i="4"/>
  <c r="W561" i="4"/>
  <c r="W560" i="4"/>
  <c r="W559" i="4"/>
  <c r="W558" i="4"/>
  <c r="W557" i="4"/>
  <c r="W556" i="4"/>
  <c r="W555" i="4"/>
  <c r="W554" i="4"/>
  <c r="W553" i="4"/>
  <c r="W552" i="4"/>
  <c r="W551" i="4"/>
  <c r="W550" i="4"/>
  <c r="W549" i="4"/>
  <c r="W548" i="4"/>
  <c r="W547" i="4"/>
  <c r="W546" i="4"/>
  <c r="W545" i="4"/>
  <c r="W544" i="4"/>
  <c r="W543" i="4"/>
  <c r="W542" i="4"/>
  <c r="W541" i="4"/>
  <c r="W540" i="4"/>
  <c r="W539" i="4"/>
  <c r="W538" i="4"/>
  <c r="W537" i="4"/>
  <c r="W536" i="4"/>
  <c r="W535" i="4"/>
  <c r="W534" i="4"/>
  <c r="W533" i="4"/>
  <c r="W532" i="4"/>
  <c r="W531" i="4"/>
  <c r="W530" i="4"/>
  <c r="W529" i="4"/>
  <c r="W528" i="4"/>
  <c r="W527" i="4"/>
  <c r="W526" i="4"/>
  <c r="W525" i="4"/>
  <c r="W524" i="4"/>
  <c r="W523" i="4"/>
  <c r="W522" i="4"/>
  <c r="W521" i="4"/>
  <c r="W504" i="4"/>
  <c r="W503" i="4"/>
  <c r="W502" i="4"/>
  <c r="W501" i="4"/>
  <c r="W500" i="4"/>
  <c r="W499" i="4"/>
  <c r="W498" i="4"/>
  <c r="W497" i="4"/>
  <c r="W496" i="4"/>
  <c r="W495" i="4"/>
  <c r="W494" i="4"/>
  <c r="W493" i="4"/>
  <c r="W492" i="4"/>
  <c r="W491" i="4"/>
  <c r="W490" i="4"/>
  <c r="W489" i="4"/>
  <c r="W488" i="4"/>
  <c r="W487" i="4"/>
  <c r="W486" i="4"/>
  <c r="W485" i="4"/>
  <c r="W484" i="4"/>
  <c r="W483" i="4"/>
  <c r="W482" i="4"/>
  <c r="W481" i="4"/>
  <c r="W480" i="4"/>
  <c r="W479" i="4"/>
  <c r="W478" i="4"/>
  <c r="W477" i="4"/>
  <c r="W476" i="4"/>
  <c r="W475" i="4"/>
  <c r="W474" i="4"/>
  <c r="W473" i="4"/>
  <c r="W472" i="4"/>
  <c r="W471" i="4"/>
  <c r="W470" i="4"/>
  <c r="W469" i="4"/>
  <c r="W468" i="4"/>
  <c r="W467" i="4"/>
  <c r="W466" i="4"/>
  <c r="W465" i="4"/>
  <c r="W464" i="4"/>
  <c r="W463" i="4"/>
  <c r="W462" i="4"/>
  <c r="W461" i="4"/>
  <c r="W460" i="4"/>
  <c r="W459" i="4"/>
  <c r="W458" i="4"/>
  <c r="W457" i="4"/>
  <c r="W456" i="4"/>
  <c r="W455" i="4"/>
  <c r="W454" i="4"/>
  <c r="W453" i="4"/>
  <c r="W452" i="4"/>
  <c r="W451" i="4"/>
  <c r="W450" i="4"/>
  <c r="W449" i="4"/>
  <c r="W448" i="4"/>
  <c r="W447" i="4"/>
  <c r="W446" i="4"/>
  <c r="W445" i="4"/>
  <c r="W444" i="4"/>
  <c r="W443" i="4"/>
  <c r="W442" i="4"/>
  <c r="W441" i="4"/>
  <c r="W440" i="4"/>
  <c r="W439" i="4"/>
  <c r="W373" i="4"/>
  <c r="W370" i="4"/>
  <c r="W366" i="4"/>
  <c r="W362" i="4"/>
  <c r="W358" i="4"/>
  <c r="W354" i="4"/>
  <c r="W350" i="4"/>
  <c r="W346" i="4"/>
  <c r="W342" i="4"/>
  <c r="W338" i="4"/>
  <c r="W288" i="4"/>
  <c r="W286" i="4"/>
  <c r="W284" i="4"/>
  <c r="W275" i="4"/>
  <c r="W273" i="4"/>
  <c r="W271" i="4"/>
  <c r="W269" i="4"/>
  <c r="W267" i="4"/>
  <c r="W265" i="4"/>
  <c r="W263" i="4"/>
  <c r="W261" i="4"/>
  <c r="W259" i="4"/>
  <c r="W257" i="4"/>
  <c r="W255" i="4"/>
  <c r="W253" i="4"/>
  <c r="W251" i="4"/>
  <c r="W249" i="4"/>
  <c r="W247" i="4"/>
  <c r="W245" i="4"/>
  <c r="W243" i="4"/>
  <c r="W241" i="4"/>
  <c r="W239" i="4"/>
  <c r="W237" i="4"/>
  <c r="W235" i="4"/>
  <c r="W233" i="4"/>
  <c r="W231" i="4"/>
  <c r="W229" i="4"/>
  <c r="W227" i="4"/>
  <c r="W225" i="4"/>
  <c r="W223" i="4"/>
  <c r="W221" i="4"/>
  <c r="W219" i="4"/>
  <c r="W217" i="4"/>
  <c r="W215" i="4"/>
  <c r="W213" i="4"/>
  <c r="W211" i="4"/>
  <c r="W193" i="4"/>
  <c r="W191" i="4"/>
  <c r="W189" i="4"/>
  <c r="W187" i="4"/>
  <c r="W185" i="4"/>
  <c r="W183" i="4"/>
  <c r="W181" i="4"/>
  <c r="W179" i="4"/>
  <c r="W177" i="4"/>
  <c r="W175" i="4"/>
  <c r="W173" i="4"/>
  <c r="W372" i="4"/>
  <c r="W371" i="4"/>
  <c r="W367" i="4"/>
  <c r="W363" i="4"/>
  <c r="W359" i="4"/>
  <c r="W355" i="4"/>
  <c r="W351" i="4"/>
  <c r="W347" i="4"/>
  <c r="W343" i="4"/>
  <c r="W339" i="4"/>
  <c r="W282" i="4"/>
  <c r="W280" i="4"/>
  <c r="W278" i="4"/>
  <c r="W368" i="4"/>
  <c r="W364" i="4"/>
  <c r="W360" i="4"/>
  <c r="W356" i="4"/>
  <c r="W352" i="4"/>
  <c r="W348" i="4"/>
  <c r="W344" i="4"/>
  <c r="W340" i="4"/>
  <c r="W289" i="4"/>
  <c r="W287" i="4"/>
  <c r="W285" i="4"/>
  <c r="W276" i="4"/>
  <c r="W274" i="4"/>
  <c r="W272" i="4"/>
  <c r="W270" i="4"/>
  <c r="W268" i="4"/>
  <c r="W266" i="4"/>
  <c r="W264" i="4"/>
  <c r="W262" i="4"/>
  <c r="W260" i="4"/>
  <c r="W258" i="4"/>
  <c r="W256" i="4"/>
  <c r="W254" i="4"/>
  <c r="W252" i="4"/>
  <c r="W250" i="4"/>
  <c r="W248" i="4"/>
  <c r="W246" i="4"/>
  <c r="W244" i="4"/>
  <c r="W242" i="4"/>
  <c r="W240" i="4"/>
  <c r="W238" i="4"/>
  <c r="W236" i="4"/>
  <c r="W234" i="4"/>
  <c r="W232" i="4"/>
  <c r="W230" i="4"/>
  <c r="W228" i="4"/>
  <c r="W226" i="4"/>
  <c r="W224" i="4"/>
  <c r="W222" i="4"/>
  <c r="W220" i="4"/>
  <c r="W218" i="4"/>
  <c r="W216" i="4"/>
  <c r="W214" i="4"/>
  <c r="W212" i="4"/>
  <c r="W210" i="4"/>
  <c r="W192" i="4"/>
  <c r="W190" i="4"/>
  <c r="W188" i="4"/>
  <c r="W186" i="4"/>
  <c r="W184" i="4"/>
  <c r="W182" i="4"/>
  <c r="W180" i="4"/>
  <c r="W178" i="4"/>
  <c r="W176" i="4"/>
  <c r="W174" i="4"/>
  <c r="W172" i="4"/>
  <c r="W374" i="4"/>
  <c r="W369" i="4"/>
  <c r="W365" i="4"/>
  <c r="W361" i="4"/>
  <c r="W357" i="4"/>
  <c r="W353" i="4"/>
  <c r="W349" i="4"/>
  <c r="W345" i="4"/>
  <c r="W341" i="4"/>
  <c r="W283" i="4"/>
  <c r="W281" i="4"/>
  <c r="W279" i="4"/>
  <c r="W277" i="4"/>
  <c r="W170" i="4"/>
  <c r="W168" i="4"/>
  <c r="W166" i="4"/>
  <c r="W164" i="4"/>
  <c r="W162" i="4"/>
  <c r="W160" i="4"/>
  <c r="W158" i="4"/>
  <c r="W156" i="4"/>
  <c r="W154" i="4"/>
  <c r="W152" i="4"/>
  <c r="W150" i="4"/>
  <c r="W148" i="4"/>
  <c r="W146" i="4"/>
  <c r="W144" i="4"/>
  <c r="W142" i="4"/>
  <c r="W140" i="4"/>
  <c r="W138" i="4"/>
  <c r="W136" i="4"/>
  <c r="W134" i="4"/>
  <c r="W132" i="4"/>
  <c r="W130" i="4"/>
  <c r="W128" i="4"/>
  <c r="W49" i="4"/>
  <c r="W53" i="4"/>
  <c r="W171" i="4"/>
  <c r="W169" i="4"/>
  <c r="W167" i="4"/>
  <c r="W165" i="4"/>
  <c r="W163" i="4"/>
  <c r="W161" i="4"/>
  <c r="W159" i="4"/>
  <c r="W157" i="4"/>
  <c r="W155" i="4"/>
  <c r="W153" i="4"/>
  <c r="W151" i="4"/>
  <c r="W149" i="4"/>
  <c r="W147" i="4"/>
  <c r="W145" i="4"/>
  <c r="W143" i="4"/>
  <c r="W141" i="4"/>
  <c r="W139" i="4"/>
  <c r="W137" i="4"/>
  <c r="W135" i="4"/>
  <c r="W133" i="4"/>
  <c r="W131" i="4"/>
  <c r="W129" i="4"/>
  <c r="W54" i="4"/>
  <c r="W48" i="4"/>
  <c r="W47" i="4"/>
  <c r="W52" i="4"/>
  <c r="W51" i="4"/>
  <c r="Y41" i="4"/>
  <c r="Y37" i="4"/>
  <c r="Y33" i="4"/>
  <c r="Y29" i="4"/>
  <c r="Y28" i="4"/>
  <c r="Y24" i="4"/>
  <c r="Y20" i="4"/>
  <c r="Y16" i="4"/>
  <c r="Y11" i="4"/>
  <c r="Y21" i="4"/>
  <c r="Y60" i="4"/>
  <c r="Y42" i="4"/>
  <c r="Y38" i="4"/>
  <c r="Y34" i="4"/>
  <c r="Y30" i="4"/>
  <c r="Y25" i="4"/>
  <c r="Y17" i="4"/>
  <c r="Y13" i="4"/>
  <c r="Y43" i="4"/>
  <c r="Y39" i="4"/>
  <c r="Y35" i="4"/>
  <c r="Y31" i="4"/>
  <c r="Y26" i="4"/>
  <c r="Y22" i="4"/>
  <c r="Y18" i="4"/>
  <c r="Y14" i="4"/>
  <c r="Y12" i="4"/>
  <c r="Y19" i="4"/>
  <c r="Y59" i="4"/>
  <c r="Y44" i="4"/>
  <c r="Y40" i="4"/>
  <c r="Y36" i="4"/>
  <c r="Y32" i="4"/>
  <c r="Y27" i="4"/>
  <c r="Y23" i="4"/>
  <c r="Y15" i="4"/>
  <c r="Y45" i="4"/>
  <c r="Y46" i="4"/>
  <c r="Y47" i="4"/>
  <c r="Y48" i="4"/>
  <c r="Y49" i="4"/>
  <c r="Y50" i="4"/>
  <c r="Y51" i="4"/>
  <c r="Y52" i="4"/>
  <c r="Y53" i="4"/>
  <c r="Y54" i="4"/>
  <c r="Y55" i="4"/>
  <c r="Y56" i="4"/>
  <c r="Y57" i="4"/>
  <c r="Y58" i="4"/>
  <c r="X59" i="4"/>
  <c r="X53" i="4"/>
  <c r="X40" i="4"/>
  <c r="X36" i="4"/>
  <c r="X32" i="4"/>
  <c r="X27" i="4"/>
  <c r="X23" i="4"/>
  <c r="X19" i="4"/>
  <c r="X15" i="4"/>
  <c r="X28" i="4"/>
  <c r="X24" i="4"/>
  <c r="X16" i="4"/>
  <c r="X41" i="4"/>
  <c r="X37" i="4"/>
  <c r="X33" i="4"/>
  <c r="X29" i="4"/>
  <c r="X20" i="4"/>
  <c r="X60" i="4"/>
  <c r="X51" i="4"/>
  <c r="X42" i="4"/>
  <c r="X38" i="4"/>
  <c r="X34" i="4"/>
  <c r="X30" i="4"/>
  <c r="X25" i="4"/>
  <c r="X21" i="4"/>
  <c r="X17" i="4"/>
  <c r="X13" i="4"/>
  <c r="X26" i="4"/>
  <c r="X22" i="4"/>
  <c r="X14" i="4"/>
  <c r="X12" i="4"/>
  <c r="X11" i="4"/>
  <c r="X43" i="4"/>
  <c r="X39" i="4"/>
  <c r="X35" i="4"/>
  <c r="X31" i="4"/>
  <c r="X18" i="4"/>
  <c r="Y80" i="4"/>
  <c r="Y77" i="4"/>
  <c r="Y73" i="4"/>
  <c r="Y69" i="4"/>
  <c r="Y65" i="4"/>
  <c r="Y64" i="4"/>
  <c r="Y95" i="4"/>
  <c r="Y93" i="4"/>
  <c r="Y91" i="4"/>
  <c r="Y89" i="4"/>
  <c r="Y87" i="4"/>
  <c r="Y85" i="4"/>
  <c r="Y83" i="4"/>
  <c r="Y81" i="4"/>
  <c r="Y78" i="4"/>
  <c r="Y74" i="4"/>
  <c r="Y70" i="4"/>
  <c r="Y66" i="4"/>
  <c r="Y63" i="4"/>
  <c r="Y79" i="4"/>
  <c r="Y75" i="4"/>
  <c r="Y71" i="4"/>
  <c r="Y67" i="4"/>
  <c r="Y62" i="4"/>
  <c r="Y94" i="4"/>
  <c r="Y92" i="4"/>
  <c r="Y90" i="4"/>
  <c r="Y88" i="4"/>
  <c r="Y86" i="4"/>
  <c r="Y84" i="4"/>
  <c r="Y82" i="4"/>
  <c r="Y76" i="4"/>
  <c r="Y72" i="4"/>
  <c r="Y68" i="4"/>
  <c r="Y61" i="4"/>
  <c r="Y96" i="4"/>
  <c r="Y97" i="4"/>
  <c r="Y98" i="4"/>
  <c r="Y99" i="4"/>
  <c r="Y100" i="4"/>
  <c r="Y101" i="4"/>
  <c r="Y10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Y133" i="4"/>
  <c r="Y134" i="4"/>
  <c r="Y135" i="4"/>
  <c r="Y136" i="4"/>
  <c r="Y137" i="4"/>
  <c r="Y138" i="4"/>
  <c r="V50" i="4"/>
  <c r="B51" i="4"/>
  <c r="B419" i="4"/>
  <c r="V418" i="4"/>
  <c r="F125" i="4"/>
  <c r="K109" i="4"/>
  <c r="B107" i="4"/>
  <c r="V106" i="4"/>
  <c r="G141" i="4"/>
  <c r="Y140" i="4"/>
  <c r="K422" i="4"/>
  <c r="L55" i="4"/>
  <c r="P54" i="4"/>
  <c r="B6" i="6"/>
  <c r="N7" i="6"/>
  <c r="O7" i="6" s="1"/>
  <c r="O6" i="6"/>
  <c r="O5" i="6"/>
  <c r="F6" i="6"/>
  <c r="I5" i="6"/>
  <c r="I6" i="6" s="1"/>
  <c r="R6" i="6"/>
  <c r="Z667" i="4" l="1"/>
  <c r="Z666" i="4"/>
  <c r="Z371" i="4"/>
  <c r="Z367" i="4"/>
  <c r="Z363" i="4"/>
  <c r="Z359" i="4"/>
  <c r="Z355" i="4"/>
  <c r="Z343" i="4"/>
  <c r="Z339" i="4"/>
  <c r="Z282" i="4"/>
  <c r="Z280" i="4"/>
  <c r="Z278" i="4"/>
  <c r="Z368" i="4"/>
  <c r="Z364" i="4"/>
  <c r="Z360" i="4"/>
  <c r="Z356" i="4"/>
  <c r="Z344" i="4"/>
  <c r="Z340" i="4"/>
  <c r="Z276" i="4"/>
  <c r="Z369" i="4"/>
  <c r="Z365" i="4"/>
  <c r="Z361" i="4"/>
  <c r="Z357" i="4"/>
  <c r="Z345" i="4"/>
  <c r="Z341" i="4"/>
  <c r="Z281" i="4"/>
  <c r="Z279" i="4"/>
  <c r="Z277" i="4"/>
  <c r="Z370" i="4"/>
  <c r="Z366" i="4"/>
  <c r="Z362" i="4"/>
  <c r="Z358" i="4"/>
  <c r="Z354" i="4"/>
  <c r="Z342" i="4"/>
  <c r="Z338" i="4"/>
  <c r="Z60" i="4"/>
  <c r="Z47" i="4"/>
  <c r="Z48" i="4"/>
  <c r="Z61" i="4"/>
  <c r="Z11" i="4"/>
  <c r="Z49" i="4"/>
  <c r="Z719" i="4"/>
  <c r="Z717" i="4"/>
  <c r="Z715" i="4"/>
  <c r="Z713" i="4"/>
  <c r="Z711" i="4"/>
  <c r="Z709" i="4"/>
  <c r="Z707" i="4"/>
  <c r="Z705" i="4"/>
  <c r="Z703" i="4"/>
  <c r="Z701" i="4"/>
  <c r="Z699" i="4"/>
  <c r="Z697" i="4"/>
  <c r="Z695" i="4"/>
  <c r="Z693" i="4"/>
  <c r="Z691" i="4"/>
  <c r="Z689" i="4"/>
  <c r="Z687" i="4"/>
  <c r="Z685" i="4"/>
  <c r="Z683" i="4"/>
  <c r="Z681" i="4"/>
  <c r="Z679" i="4"/>
  <c r="Z677" i="4"/>
  <c r="Z675" i="4"/>
  <c r="Z673" i="4"/>
  <c r="Z671" i="4"/>
  <c r="Z669" i="4"/>
  <c r="Z718" i="4"/>
  <c r="Z716" i="4"/>
  <c r="Z714" i="4"/>
  <c r="Z712" i="4"/>
  <c r="Z710" i="4"/>
  <c r="Z708" i="4"/>
  <c r="Z706" i="4"/>
  <c r="Z704" i="4"/>
  <c r="Z702" i="4"/>
  <c r="Z700" i="4"/>
  <c r="Z698" i="4"/>
  <c r="Z696" i="4"/>
  <c r="Z694" i="4"/>
  <c r="Z692" i="4"/>
  <c r="Z690" i="4"/>
  <c r="Z688" i="4"/>
  <c r="Z686" i="4"/>
  <c r="Z684" i="4"/>
  <c r="Z682" i="4"/>
  <c r="Z680" i="4"/>
  <c r="Z678" i="4"/>
  <c r="Z676" i="4"/>
  <c r="Z674" i="4"/>
  <c r="Z672" i="4"/>
  <c r="Z670" i="4"/>
  <c r="Z668" i="4"/>
  <c r="Z665" i="4"/>
  <c r="Z661" i="4"/>
  <c r="Z657" i="4"/>
  <c r="Z653" i="4"/>
  <c r="Z649" i="4"/>
  <c r="Z645" i="4"/>
  <c r="Z641" i="4"/>
  <c r="Z637" i="4"/>
  <c r="Z633" i="4"/>
  <c r="Z629" i="4"/>
  <c r="Z625" i="4"/>
  <c r="Z621" i="4"/>
  <c r="Z617" i="4"/>
  <c r="Z613" i="4"/>
  <c r="Z609" i="4"/>
  <c r="Z664" i="4"/>
  <c r="Z660" i="4"/>
  <c r="Z656" i="4"/>
  <c r="Z652" i="4"/>
  <c r="Z648" i="4"/>
  <c r="Z644" i="4"/>
  <c r="Z640" i="4"/>
  <c r="Z636" i="4"/>
  <c r="Z632" i="4"/>
  <c r="Z628" i="4"/>
  <c r="Z624" i="4"/>
  <c r="Z620" i="4"/>
  <c r="Z663" i="4"/>
  <c r="Z659" i="4"/>
  <c r="Z655" i="4"/>
  <c r="Z651" i="4"/>
  <c r="Z647" i="4"/>
  <c r="Z643" i="4"/>
  <c r="Z639" i="4"/>
  <c r="Z635" i="4"/>
  <c r="Z631" i="4"/>
  <c r="Z627" i="4"/>
  <c r="Z623" i="4"/>
  <c r="Z619" i="4"/>
  <c r="Z662" i="4"/>
  <c r="Z658" i="4"/>
  <c r="Z654" i="4"/>
  <c r="Z650" i="4"/>
  <c r="Z646" i="4"/>
  <c r="Z642" i="4"/>
  <c r="Z638" i="4"/>
  <c r="Z634" i="4"/>
  <c r="Z630" i="4"/>
  <c r="Z626" i="4"/>
  <c r="Z622" i="4"/>
  <c r="Z618" i="4"/>
  <c r="Z614" i="4"/>
  <c r="Z616" i="4"/>
  <c r="Z608" i="4"/>
  <c r="Z607" i="4"/>
  <c r="Z606" i="4"/>
  <c r="Z605" i="4"/>
  <c r="Z591" i="4"/>
  <c r="Z590" i="4"/>
  <c r="Z589" i="4"/>
  <c r="Z588" i="4"/>
  <c r="Z587" i="4"/>
  <c r="Z586" i="4"/>
  <c r="Z585" i="4"/>
  <c r="Z584" i="4"/>
  <c r="Z583" i="4"/>
  <c r="Z582" i="4"/>
  <c r="Z581" i="4"/>
  <c r="Z580" i="4"/>
  <c r="Z579" i="4"/>
  <c r="Z578" i="4"/>
  <c r="Z577" i="4"/>
  <c r="Z576" i="4"/>
  <c r="Z575" i="4"/>
  <c r="Z574" i="4"/>
  <c r="Z573" i="4"/>
  <c r="Z572" i="4"/>
  <c r="Z571" i="4"/>
  <c r="Z570" i="4"/>
  <c r="Z569" i="4"/>
  <c r="Z568" i="4"/>
  <c r="Z567" i="4"/>
  <c r="Z566" i="4"/>
  <c r="Z565" i="4"/>
  <c r="Z564" i="4"/>
  <c r="Z563" i="4"/>
  <c r="Z562" i="4"/>
  <c r="Z561" i="4"/>
  <c r="Z560" i="4"/>
  <c r="Z559" i="4"/>
  <c r="Z558" i="4"/>
  <c r="Z557" i="4"/>
  <c r="Z556" i="4"/>
  <c r="Z555" i="4"/>
  <c r="Z554" i="4"/>
  <c r="Z553" i="4"/>
  <c r="Z552" i="4"/>
  <c r="Z551" i="4"/>
  <c r="Z550" i="4"/>
  <c r="Z549" i="4"/>
  <c r="Z548" i="4"/>
  <c r="Z547" i="4"/>
  <c r="Z546" i="4"/>
  <c r="Z545" i="4"/>
  <c r="Z544" i="4"/>
  <c r="Z543" i="4"/>
  <c r="Z542" i="4"/>
  <c r="Z541" i="4"/>
  <c r="Z540" i="4"/>
  <c r="Z539" i="4"/>
  <c r="Z538" i="4"/>
  <c r="Z537" i="4"/>
  <c r="Z536" i="4"/>
  <c r="Z535" i="4"/>
  <c r="Z534" i="4"/>
  <c r="Z533" i="4"/>
  <c r="Z532" i="4"/>
  <c r="Z531" i="4"/>
  <c r="Z530" i="4"/>
  <c r="Z529" i="4"/>
  <c r="Z528" i="4"/>
  <c r="Z527" i="4"/>
  <c r="Z526" i="4"/>
  <c r="Z525" i="4"/>
  <c r="Z524" i="4"/>
  <c r="Z523" i="4"/>
  <c r="Z611" i="4"/>
  <c r="Z610" i="4"/>
  <c r="Z604" i="4"/>
  <c r="Z612" i="4"/>
  <c r="Z603" i="4"/>
  <c r="Z602" i="4"/>
  <c r="Z601" i="4"/>
  <c r="Z600" i="4"/>
  <c r="Z615" i="4"/>
  <c r="Z599" i="4"/>
  <c r="Z598" i="4"/>
  <c r="Z597" i="4"/>
  <c r="Z596" i="4"/>
  <c r="Z595" i="4"/>
  <c r="Z594" i="4"/>
  <c r="Z593" i="4"/>
  <c r="Z592" i="4"/>
  <c r="Z521" i="4"/>
  <c r="Z517" i="4"/>
  <c r="Z513" i="4"/>
  <c r="Z509" i="4"/>
  <c r="Z505" i="4"/>
  <c r="Z522" i="4"/>
  <c r="Z518" i="4"/>
  <c r="Z514" i="4"/>
  <c r="Z510" i="4"/>
  <c r="Z506" i="4"/>
  <c r="Z502" i="4"/>
  <c r="Z501" i="4"/>
  <c r="Z500" i="4"/>
  <c r="Z499" i="4"/>
  <c r="Z498" i="4"/>
  <c r="Z497" i="4"/>
  <c r="Z496" i="4"/>
  <c r="Z495" i="4"/>
  <c r="Z494" i="4"/>
  <c r="Z493" i="4"/>
  <c r="Z492" i="4"/>
  <c r="Z491" i="4"/>
  <c r="Z490" i="4"/>
  <c r="Z489" i="4"/>
  <c r="Z488" i="4"/>
  <c r="Z487" i="4"/>
  <c r="Z486" i="4"/>
  <c r="Z485" i="4"/>
  <c r="Z484" i="4"/>
  <c r="Z483" i="4"/>
  <c r="Z482" i="4"/>
  <c r="Z481" i="4"/>
  <c r="Z480" i="4"/>
  <c r="Z479" i="4"/>
  <c r="Z478" i="4"/>
  <c r="Z477" i="4"/>
  <c r="Z476" i="4"/>
  <c r="Z475" i="4"/>
  <c r="Z474" i="4"/>
  <c r="Z473" i="4"/>
  <c r="Z472" i="4"/>
  <c r="Z471" i="4"/>
  <c r="Z470" i="4"/>
  <c r="Z469" i="4"/>
  <c r="Z468" i="4"/>
  <c r="Z467" i="4"/>
  <c r="Z466" i="4"/>
  <c r="Z465" i="4"/>
  <c r="Z464" i="4"/>
  <c r="Z463" i="4"/>
  <c r="Z462" i="4"/>
  <c r="Z461" i="4"/>
  <c r="Z460" i="4"/>
  <c r="Z459" i="4"/>
  <c r="Z458" i="4"/>
  <c r="Z457" i="4"/>
  <c r="Z456" i="4"/>
  <c r="Z455" i="4"/>
  <c r="Z454" i="4"/>
  <c r="Z453" i="4"/>
  <c r="Z452" i="4"/>
  <c r="Z451" i="4"/>
  <c r="Z450" i="4"/>
  <c r="Z449" i="4"/>
  <c r="Z448" i="4"/>
  <c r="Z447" i="4"/>
  <c r="Z446" i="4"/>
  <c r="Z445" i="4"/>
  <c r="Z444" i="4"/>
  <c r="Z443" i="4"/>
  <c r="Z442" i="4"/>
  <c r="Z441" i="4"/>
  <c r="Z440" i="4"/>
  <c r="Z439" i="4"/>
  <c r="Z438" i="4"/>
  <c r="Z437" i="4"/>
  <c r="Z436" i="4"/>
  <c r="Z435" i="4"/>
  <c r="Z434" i="4"/>
  <c r="Z433" i="4"/>
  <c r="Z432" i="4"/>
  <c r="Z431" i="4"/>
  <c r="Z430" i="4"/>
  <c r="Z429" i="4"/>
  <c r="Z428" i="4"/>
  <c r="Z427" i="4"/>
  <c r="Z426" i="4"/>
  <c r="Z425" i="4"/>
  <c r="Z424" i="4"/>
  <c r="Z423" i="4"/>
  <c r="Z519" i="4"/>
  <c r="Z515" i="4"/>
  <c r="Z511" i="4"/>
  <c r="Z507" i="4"/>
  <c r="Z503" i="4"/>
  <c r="Z520" i="4"/>
  <c r="Z516" i="4"/>
  <c r="Z512" i="4"/>
  <c r="Z508" i="4"/>
  <c r="Z504" i="4"/>
  <c r="Z422" i="4"/>
  <c r="Z418" i="4"/>
  <c r="Z414" i="4"/>
  <c r="Z410" i="4"/>
  <c r="Z374" i="4"/>
  <c r="Z351" i="4"/>
  <c r="Z347" i="4"/>
  <c r="Z335" i="4"/>
  <c r="Z331" i="4"/>
  <c r="Z327" i="4"/>
  <c r="Z323" i="4"/>
  <c r="Z319" i="4"/>
  <c r="Z315" i="4"/>
  <c r="Z311" i="4"/>
  <c r="Z307" i="4"/>
  <c r="Z303" i="4"/>
  <c r="Z299" i="4"/>
  <c r="Z295" i="4"/>
  <c r="Z291" i="4"/>
  <c r="Z419" i="4"/>
  <c r="Z415" i="4"/>
  <c r="Z411" i="4"/>
  <c r="Z407" i="4"/>
  <c r="Z391" i="4"/>
  <c r="Z373" i="4"/>
  <c r="Z352" i="4"/>
  <c r="Z348" i="4"/>
  <c r="Z336" i="4"/>
  <c r="Z332" i="4"/>
  <c r="Z328" i="4"/>
  <c r="Z324" i="4"/>
  <c r="Z320" i="4"/>
  <c r="Z316" i="4"/>
  <c r="Z312" i="4"/>
  <c r="Z308" i="4"/>
  <c r="Z304" i="4"/>
  <c r="Z300" i="4"/>
  <c r="Z296" i="4"/>
  <c r="Z292" i="4"/>
  <c r="Z289" i="4"/>
  <c r="Z287" i="4"/>
  <c r="Z285" i="4"/>
  <c r="Z274" i="4"/>
  <c r="Z272" i="4"/>
  <c r="Z270" i="4"/>
  <c r="Z268" i="4"/>
  <c r="Z266" i="4"/>
  <c r="Z264" i="4"/>
  <c r="Z262" i="4"/>
  <c r="Z260" i="4"/>
  <c r="Z258" i="4"/>
  <c r="Z256" i="4"/>
  <c r="Z254" i="4"/>
  <c r="Z252" i="4"/>
  <c r="Z250" i="4"/>
  <c r="Z248" i="4"/>
  <c r="Z246" i="4"/>
  <c r="Z244" i="4"/>
  <c r="Z242" i="4"/>
  <c r="Z240" i="4"/>
  <c r="Z238" i="4"/>
  <c r="Z236" i="4"/>
  <c r="Z234" i="4"/>
  <c r="Z232" i="4"/>
  <c r="Z230" i="4"/>
  <c r="Z228" i="4"/>
  <c r="Z226" i="4"/>
  <c r="Z224" i="4"/>
  <c r="Z222" i="4"/>
  <c r="Z220" i="4"/>
  <c r="Z218" i="4"/>
  <c r="Z216" i="4"/>
  <c r="Z214" i="4"/>
  <c r="Z212" i="4"/>
  <c r="Z210" i="4"/>
  <c r="Z208" i="4"/>
  <c r="Z206" i="4"/>
  <c r="Z204" i="4"/>
  <c r="Z202" i="4"/>
  <c r="Z200" i="4"/>
  <c r="Z198" i="4"/>
  <c r="Z420" i="4"/>
  <c r="Z416" i="4"/>
  <c r="Z412" i="4"/>
  <c r="Z408" i="4"/>
  <c r="Z372" i="4"/>
  <c r="Z353" i="4"/>
  <c r="Z349" i="4"/>
  <c r="Z337" i="4"/>
  <c r="Z333" i="4"/>
  <c r="Z329" i="4"/>
  <c r="Z325" i="4"/>
  <c r="Z321" i="4"/>
  <c r="Z317" i="4"/>
  <c r="Z313" i="4"/>
  <c r="Z309" i="4"/>
  <c r="Z305" i="4"/>
  <c r="Z301" i="4"/>
  <c r="Z297" i="4"/>
  <c r="Z293" i="4"/>
  <c r="Z283" i="4"/>
  <c r="Z421" i="4"/>
  <c r="Z417" i="4"/>
  <c r="Z413" i="4"/>
  <c r="Z409" i="4"/>
  <c r="Z375" i="4"/>
  <c r="Z350" i="4"/>
  <c r="Z346" i="4"/>
  <c r="Z334" i="4"/>
  <c r="Z330" i="4"/>
  <c r="Z326" i="4"/>
  <c r="Z322" i="4"/>
  <c r="Z318" i="4"/>
  <c r="Z314" i="4"/>
  <c r="Z310" i="4"/>
  <c r="Z306" i="4"/>
  <c r="Z302" i="4"/>
  <c r="Z298" i="4"/>
  <c r="Z294" i="4"/>
  <c r="Z290" i="4"/>
  <c r="Z288" i="4"/>
  <c r="Z286" i="4"/>
  <c r="Z284" i="4"/>
  <c r="Z275" i="4"/>
  <c r="Z273" i="4"/>
  <c r="Z271" i="4"/>
  <c r="Z269" i="4"/>
  <c r="Z267" i="4"/>
  <c r="Z265" i="4"/>
  <c r="Z263" i="4"/>
  <c r="Z261" i="4"/>
  <c r="Z259" i="4"/>
  <c r="Z257" i="4"/>
  <c r="Z255" i="4"/>
  <c r="Z253" i="4"/>
  <c r="Z251" i="4"/>
  <c r="Z249" i="4"/>
  <c r="Z247" i="4"/>
  <c r="Z245" i="4"/>
  <c r="Z243" i="4"/>
  <c r="Z241" i="4"/>
  <c r="Z239" i="4"/>
  <c r="Z237" i="4"/>
  <c r="Z235" i="4"/>
  <c r="Z233" i="4"/>
  <c r="Z231" i="4"/>
  <c r="Z229" i="4"/>
  <c r="Z227" i="4"/>
  <c r="Z225" i="4"/>
  <c r="Z223" i="4"/>
  <c r="Z221" i="4"/>
  <c r="Z219" i="4"/>
  <c r="Z217" i="4"/>
  <c r="Z215" i="4"/>
  <c r="Z213" i="4"/>
  <c r="Z211" i="4"/>
  <c r="Z209" i="4"/>
  <c r="Z207" i="4"/>
  <c r="Z205" i="4"/>
  <c r="Z203" i="4"/>
  <c r="Z201" i="4"/>
  <c r="Z199" i="4"/>
  <c r="Z197" i="4"/>
  <c r="Z195" i="4"/>
  <c r="Z192" i="4"/>
  <c r="Z188" i="4"/>
  <c r="Z184" i="4"/>
  <c r="Z180" i="4"/>
  <c r="Z176" i="4"/>
  <c r="Z172" i="4"/>
  <c r="Z63" i="4"/>
  <c r="Z196" i="4"/>
  <c r="Z191" i="4"/>
  <c r="Z187" i="4"/>
  <c r="Z183" i="4"/>
  <c r="Z179" i="4"/>
  <c r="Z175" i="4"/>
  <c r="Z171" i="4"/>
  <c r="Z169" i="4"/>
  <c r="Z167" i="4"/>
  <c r="Z165" i="4"/>
  <c r="Z163" i="4"/>
  <c r="Z161" i="4"/>
  <c r="Z159" i="4"/>
  <c r="Z157" i="4"/>
  <c r="Z155" i="4"/>
  <c r="Z153" i="4"/>
  <c r="Z151" i="4"/>
  <c r="Z149" i="4"/>
  <c r="Z147" i="4"/>
  <c r="Z145" i="4"/>
  <c r="Z143" i="4"/>
  <c r="Z141" i="4"/>
  <c r="Z139" i="4"/>
  <c r="Z137" i="4"/>
  <c r="Z135" i="4"/>
  <c r="Z133" i="4"/>
  <c r="Z131" i="4"/>
  <c r="Z129" i="4"/>
  <c r="Z127" i="4"/>
  <c r="Z125" i="4"/>
  <c r="Z123" i="4"/>
  <c r="Z121" i="4"/>
  <c r="Z119" i="4"/>
  <c r="Z117" i="4"/>
  <c r="Z115" i="4"/>
  <c r="Z113" i="4"/>
  <c r="Z111" i="4"/>
  <c r="Z109" i="4"/>
  <c r="Z107" i="4"/>
  <c r="Z105" i="4"/>
  <c r="Z103" i="4"/>
  <c r="Z101" i="4"/>
  <c r="Z99" i="4"/>
  <c r="Z97" i="4"/>
  <c r="Z62" i="4"/>
  <c r="Z51" i="4"/>
  <c r="Z50" i="4"/>
  <c r="Z194" i="4"/>
  <c r="Z190" i="4"/>
  <c r="Z186" i="4"/>
  <c r="Z182" i="4"/>
  <c r="Z178" i="4"/>
  <c r="Z174" i="4"/>
  <c r="Z55" i="4"/>
  <c r="Z44" i="4"/>
  <c r="Z193" i="4"/>
  <c r="Z189" i="4"/>
  <c r="Z185" i="4"/>
  <c r="Z181" i="4"/>
  <c r="Z177" i="4"/>
  <c r="Z173" i="4"/>
  <c r="Z170" i="4"/>
  <c r="Z168" i="4"/>
  <c r="Z166" i="4"/>
  <c r="Z164" i="4"/>
  <c r="Z162" i="4"/>
  <c r="Z160" i="4"/>
  <c r="Z158" i="4"/>
  <c r="Z156" i="4"/>
  <c r="Z154" i="4"/>
  <c r="Z152" i="4"/>
  <c r="Z150" i="4"/>
  <c r="Z148" i="4"/>
  <c r="Z146" i="4"/>
  <c r="Z144" i="4"/>
  <c r="Z142" i="4"/>
  <c r="Z140" i="4"/>
  <c r="Z138" i="4"/>
  <c r="Z136" i="4"/>
  <c r="Z134" i="4"/>
  <c r="Z132" i="4"/>
  <c r="Z130" i="4"/>
  <c r="Z128" i="4"/>
  <c r="Z126" i="4"/>
  <c r="Z124" i="4"/>
  <c r="Z122" i="4"/>
  <c r="Z120" i="4"/>
  <c r="Z118" i="4"/>
  <c r="Z116" i="4"/>
  <c r="Z114" i="4"/>
  <c r="Z112" i="4"/>
  <c r="Z110" i="4"/>
  <c r="Z108" i="4"/>
  <c r="Z106" i="4"/>
  <c r="Z104" i="4"/>
  <c r="Z102" i="4"/>
  <c r="Z100" i="4"/>
  <c r="Z98" i="4"/>
  <c r="Z96" i="4"/>
  <c r="Z80" i="4"/>
  <c r="Z64" i="4"/>
  <c r="Z53" i="4"/>
  <c r="Z28" i="4"/>
  <c r="Z392" i="4"/>
  <c r="Z376" i="4"/>
  <c r="Z81" i="4"/>
  <c r="Z65" i="4"/>
  <c r="Z377" i="4"/>
  <c r="Z393" i="4"/>
  <c r="Z394" i="4"/>
  <c r="Z82" i="4"/>
  <c r="Z378" i="4"/>
  <c r="Z66" i="4"/>
  <c r="Z67" i="4"/>
  <c r="Z83" i="4"/>
  <c r="Z379" i="4"/>
  <c r="Z395" i="4"/>
  <c r="Z84" i="4"/>
  <c r="Z68" i="4"/>
  <c r="Z380" i="4"/>
  <c r="Z396" i="4"/>
  <c r="Z397" i="4"/>
  <c r="Z69" i="4"/>
  <c r="Z85" i="4"/>
  <c r="Z381" i="4"/>
  <c r="Z382" i="4"/>
  <c r="Z398" i="4"/>
  <c r="Z86" i="4"/>
  <c r="Z70" i="4"/>
  <c r="Z71" i="4"/>
  <c r="Z383" i="4"/>
  <c r="Z87" i="4"/>
  <c r="Z399" i="4"/>
  <c r="Z88" i="4"/>
  <c r="Z72" i="4"/>
  <c r="Z384" i="4"/>
  <c r="Z400" i="4"/>
  <c r="Z401" i="4"/>
  <c r="Z73" i="4"/>
  <c r="Z89" i="4"/>
  <c r="Z385" i="4"/>
  <c r="Z386" i="4"/>
  <c r="Z402" i="4"/>
  <c r="Z90" i="4"/>
  <c r="Z74" i="4"/>
  <c r="Z75" i="4"/>
  <c r="Z387" i="4"/>
  <c r="Z91" i="4"/>
  <c r="Z403" i="4"/>
  <c r="Z92" i="4"/>
  <c r="Z76" i="4"/>
  <c r="Z404" i="4"/>
  <c r="Z388" i="4"/>
  <c r="Z77" i="4"/>
  <c r="Z405" i="4"/>
  <c r="Z93" i="4"/>
  <c r="Z389" i="4"/>
  <c r="Z406" i="4"/>
  <c r="Z94" i="4"/>
  <c r="Z390" i="4"/>
  <c r="Z78" i="4"/>
  <c r="Z95" i="4"/>
  <c r="Z79" i="4"/>
  <c r="Z29" i="4"/>
  <c r="Z30" i="4"/>
  <c r="Z31" i="4"/>
  <c r="Z32" i="4"/>
  <c r="Z33" i="4"/>
  <c r="Z34" i="4"/>
  <c r="Z35" i="4"/>
  <c r="Z36" i="4"/>
  <c r="Z37" i="4"/>
  <c r="Z38" i="4"/>
  <c r="Z39" i="4"/>
  <c r="Z40" i="4"/>
  <c r="Z41" i="4"/>
  <c r="Z42" i="4"/>
  <c r="Z43" i="4"/>
  <c r="Z45" i="4"/>
  <c r="Z46" i="4"/>
  <c r="Z52" i="4"/>
  <c r="Z54" i="4"/>
  <c r="Z56" i="4"/>
  <c r="Z57" i="4"/>
  <c r="Z58" i="4"/>
  <c r="Z739" i="4"/>
  <c r="Z737" i="4"/>
  <c r="Z735" i="4"/>
  <c r="Z733" i="4"/>
  <c r="Z731" i="4"/>
  <c r="Z729" i="4"/>
  <c r="Z727" i="4"/>
  <c r="Z725" i="4"/>
  <c r="Z723" i="4"/>
  <c r="Z721" i="4"/>
  <c r="Z738" i="4"/>
  <c r="Z736" i="4"/>
  <c r="Z734" i="4"/>
  <c r="Z732" i="4"/>
  <c r="Z730" i="4"/>
  <c r="Z728" i="4"/>
  <c r="Z726" i="4"/>
  <c r="Z724" i="4"/>
  <c r="Z722" i="4"/>
  <c r="Z720" i="4"/>
  <c r="G142" i="4"/>
  <c r="Y141" i="4"/>
  <c r="K110" i="4"/>
  <c r="B420" i="4"/>
  <c r="V419" i="4"/>
  <c r="V51" i="4"/>
  <c r="B52" i="4"/>
  <c r="K423" i="4"/>
  <c r="B108" i="4"/>
  <c r="V107" i="4"/>
  <c r="F126" i="4"/>
  <c r="L56" i="4"/>
  <c r="P55" i="4"/>
  <c r="S6" i="6"/>
  <c r="R7" i="6"/>
  <c r="C6" i="6"/>
  <c r="X50" i="4" s="1"/>
  <c r="B7" i="6"/>
  <c r="N8" i="6"/>
  <c r="O8" i="6" s="1"/>
  <c r="F7" i="6"/>
  <c r="F8" i="6" s="1"/>
  <c r="G6" i="6"/>
  <c r="Y666" i="4" l="1"/>
  <c r="Y662" i="4"/>
  <c r="Y658" i="4"/>
  <c r="Y654" i="4"/>
  <c r="Y650" i="4"/>
  <c r="Y646" i="4"/>
  <c r="Y642" i="4"/>
  <c r="Y638" i="4"/>
  <c r="Y634" i="4"/>
  <c r="Y630" i="4"/>
  <c r="Y626" i="4"/>
  <c r="Y622" i="4"/>
  <c r="Y618" i="4"/>
  <c r="Y614" i="4"/>
  <c r="Y610" i="4"/>
  <c r="Y606" i="4"/>
  <c r="Y661" i="4"/>
  <c r="Y657" i="4"/>
  <c r="Y653" i="4"/>
  <c r="Y649" i="4"/>
  <c r="Y645" i="4"/>
  <c r="Y641" i="4"/>
  <c r="Y637" i="4"/>
  <c r="Y633" i="4"/>
  <c r="Y629" i="4"/>
  <c r="Y625" i="4"/>
  <c r="Y621" i="4"/>
  <c r="Y667" i="4"/>
  <c r="Y664" i="4"/>
  <c r="Y660" i="4"/>
  <c r="Y656" i="4"/>
  <c r="Y652" i="4"/>
  <c r="Y648" i="4"/>
  <c r="Y644" i="4"/>
  <c r="Y640" i="4"/>
  <c r="Y636" i="4"/>
  <c r="Y632" i="4"/>
  <c r="Y628" i="4"/>
  <c r="Y624" i="4"/>
  <c r="Y620" i="4"/>
  <c r="Y665" i="4"/>
  <c r="Y663" i="4"/>
  <c r="Y659" i="4"/>
  <c r="Y655" i="4"/>
  <c r="Y651" i="4"/>
  <c r="Y647" i="4"/>
  <c r="Y643" i="4"/>
  <c r="Y639" i="4"/>
  <c r="Y635" i="4"/>
  <c r="Y631" i="4"/>
  <c r="Y627" i="4"/>
  <c r="Y623" i="4"/>
  <c r="Y619" i="4"/>
  <c r="Y615" i="4"/>
  <c r="Y613" i="4"/>
  <c r="Y599" i="4"/>
  <c r="Y598" i="4"/>
  <c r="Y597" i="4"/>
  <c r="Y596" i="4"/>
  <c r="Y595" i="4"/>
  <c r="Y594" i="4"/>
  <c r="Y593" i="4"/>
  <c r="Y592" i="4"/>
  <c r="Y616" i="4"/>
  <c r="Y609" i="4"/>
  <c r="Y608" i="4"/>
  <c r="Y607" i="4"/>
  <c r="Y605" i="4"/>
  <c r="Y591" i="4"/>
  <c r="Y590" i="4"/>
  <c r="Y589" i="4"/>
  <c r="Y588" i="4"/>
  <c r="Y587" i="4"/>
  <c r="Y586" i="4"/>
  <c r="Y585" i="4"/>
  <c r="Y584" i="4"/>
  <c r="Y583" i="4"/>
  <c r="Y582" i="4"/>
  <c r="Y581" i="4"/>
  <c r="Y580" i="4"/>
  <c r="Y579" i="4"/>
  <c r="Y578" i="4"/>
  <c r="Y577" i="4"/>
  <c r="Y576" i="4"/>
  <c r="Y575" i="4"/>
  <c r="Y574" i="4"/>
  <c r="Y573" i="4"/>
  <c r="Y572" i="4"/>
  <c r="Y571" i="4"/>
  <c r="Y570" i="4"/>
  <c r="Y569" i="4"/>
  <c r="Y568" i="4"/>
  <c r="Y567" i="4"/>
  <c r="Y566" i="4"/>
  <c r="Y565" i="4"/>
  <c r="Y564" i="4"/>
  <c r="Y563" i="4"/>
  <c r="Y562" i="4"/>
  <c r="Y561" i="4"/>
  <c r="Y560" i="4"/>
  <c r="Y559" i="4"/>
  <c r="Y558" i="4"/>
  <c r="Y557" i="4"/>
  <c r="Y556" i="4"/>
  <c r="Y555" i="4"/>
  <c r="Y554" i="4"/>
  <c r="Y553" i="4"/>
  <c r="Y552" i="4"/>
  <c r="Y551" i="4"/>
  <c r="Y550" i="4"/>
  <c r="Y549" i="4"/>
  <c r="Y548" i="4"/>
  <c r="Y547" i="4"/>
  <c r="Y546" i="4"/>
  <c r="Y545" i="4"/>
  <c r="Y544" i="4"/>
  <c r="Y543" i="4"/>
  <c r="Y542" i="4"/>
  <c r="Y541" i="4"/>
  <c r="Y540" i="4"/>
  <c r="Y539" i="4"/>
  <c r="Y538" i="4"/>
  <c r="Y537" i="4"/>
  <c r="Y536" i="4"/>
  <c r="Y535" i="4"/>
  <c r="Y534" i="4"/>
  <c r="Y533" i="4"/>
  <c r="Y532" i="4"/>
  <c r="Y617" i="4"/>
  <c r="Y611" i="4"/>
  <c r="Y604" i="4"/>
  <c r="Y612" i="4"/>
  <c r="Y603" i="4"/>
  <c r="Y602" i="4"/>
  <c r="Y601" i="4"/>
  <c r="Y600" i="4"/>
  <c r="Y520" i="4"/>
  <c r="Y516" i="4"/>
  <c r="Y512" i="4"/>
  <c r="Y508" i="4"/>
  <c r="Y504" i="4"/>
  <c r="Y405" i="4"/>
  <c r="Y401" i="4"/>
  <c r="Y397" i="4"/>
  <c r="Y530" i="4"/>
  <c r="Y528" i="4"/>
  <c r="Y526" i="4"/>
  <c r="Y524" i="4"/>
  <c r="Y521" i="4"/>
  <c r="Y517" i="4"/>
  <c r="Y513" i="4"/>
  <c r="Y509" i="4"/>
  <c r="Y505" i="4"/>
  <c r="Y522" i="4"/>
  <c r="Y518" i="4"/>
  <c r="Y514" i="4"/>
  <c r="Y510" i="4"/>
  <c r="Y506" i="4"/>
  <c r="Y502" i="4"/>
  <c r="Y501" i="4"/>
  <c r="Y500" i="4"/>
  <c r="Y499" i="4"/>
  <c r="Y498" i="4"/>
  <c r="Y497" i="4"/>
  <c r="Y496" i="4"/>
  <c r="Y495" i="4"/>
  <c r="Y494" i="4"/>
  <c r="Y493" i="4"/>
  <c r="Y492" i="4"/>
  <c r="Y491" i="4"/>
  <c r="Y490" i="4"/>
  <c r="Y489" i="4"/>
  <c r="Y488" i="4"/>
  <c r="Y487" i="4"/>
  <c r="Y486" i="4"/>
  <c r="Y485" i="4"/>
  <c r="Y484" i="4"/>
  <c r="Y483" i="4"/>
  <c r="Y482" i="4"/>
  <c r="Y481" i="4"/>
  <c r="Y480" i="4"/>
  <c r="Y479" i="4"/>
  <c r="Y478" i="4"/>
  <c r="Y477" i="4"/>
  <c r="Y476" i="4"/>
  <c r="Y475" i="4"/>
  <c r="Y474" i="4"/>
  <c r="Y473" i="4"/>
  <c r="Y472" i="4"/>
  <c r="Y471" i="4"/>
  <c r="Y470" i="4"/>
  <c r="Y469" i="4"/>
  <c r="Y468" i="4"/>
  <c r="Y467" i="4"/>
  <c r="Y466" i="4"/>
  <c r="Y465" i="4"/>
  <c r="Y464" i="4"/>
  <c r="Y463" i="4"/>
  <c r="Y462" i="4"/>
  <c r="Y461" i="4"/>
  <c r="Y460" i="4"/>
  <c r="Y459" i="4"/>
  <c r="Y458" i="4"/>
  <c r="Y457" i="4"/>
  <c r="Y456" i="4"/>
  <c r="Y455" i="4"/>
  <c r="Y454" i="4"/>
  <c r="Y453" i="4"/>
  <c r="Y452" i="4"/>
  <c r="Y451" i="4"/>
  <c r="Y450" i="4"/>
  <c r="Y449" i="4"/>
  <c r="Y448" i="4"/>
  <c r="Y447" i="4"/>
  <c r="Y446" i="4"/>
  <c r="Y445" i="4"/>
  <c r="Y444" i="4"/>
  <c r="Y443" i="4"/>
  <c r="Y442" i="4"/>
  <c r="Y441" i="4"/>
  <c r="Y440" i="4"/>
  <c r="Y531" i="4"/>
  <c r="Y529" i="4"/>
  <c r="Y527" i="4"/>
  <c r="Y525" i="4"/>
  <c r="Y523" i="4"/>
  <c r="Y519" i="4"/>
  <c r="Y515" i="4"/>
  <c r="Y511" i="4"/>
  <c r="Y507" i="4"/>
  <c r="Y503" i="4"/>
  <c r="Y438" i="4"/>
  <c r="Y436" i="4"/>
  <c r="Y434" i="4"/>
  <c r="Y432" i="4"/>
  <c r="Y430" i="4"/>
  <c r="Y428" i="4"/>
  <c r="Y426" i="4"/>
  <c r="Y424" i="4"/>
  <c r="Y421" i="4"/>
  <c r="Y417" i="4"/>
  <c r="Y413" i="4"/>
  <c r="Y409" i="4"/>
  <c r="Y406" i="4"/>
  <c r="Y399" i="4"/>
  <c r="Y394" i="4"/>
  <c r="Y389" i="4"/>
  <c r="Y385" i="4"/>
  <c r="Y381" i="4"/>
  <c r="Y377" i="4"/>
  <c r="Y375" i="4"/>
  <c r="Y422" i="4"/>
  <c r="Y418" i="4"/>
  <c r="Y414" i="4"/>
  <c r="Y410" i="4"/>
  <c r="Y404" i="4"/>
  <c r="Y402" i="4"/>
  <c r="Y395" i="4"/>
  <c r="Y390" i="4"/>
  <c r="Y386" i="4"/>
  <c r="Y382" i="4"/>
  <c r="Y378" i="4"/>
  <c r="Y374" i="4"/>
  <c r="Y439" i="4"/>
  <c r="Y437" i="4"/>
  <c r="Y435" i="4"/>
  <c r="Y433" i="4"/>
  <c r="Y431" i="4"/>
  <c r="Y429" i="4"/>
  <c r="Y427" i="4"/>
  <c r="Y425" i="4"/>
  <c r="Y423" i="4"/>
  <c r="Y419" i="4"/>
  <c r="Y415" i="4"/>
  <c r="Y411" i="4"/>
  <c r="Y407" i="4"/>
  <c r="Y400" i="4"/>
  <c r="Y398" i="4"/>
  <c r="Y392" i="4"/>
  <c r="Y391" i="4"/>
  <c r="Y387" i="4"/>
  <c r="Y383" i="4"/>
  <c r="Y379" i="4"/>
  <c r="Y373" i="4"/>
  <c r="Y420" i="4"/>
  <c r="Y416" i="4"/>
  <c r="Y412" i="4"/>
  <c r="Y408" i="4"/>
  <c r="Y403" i="4"/>
  <c r="Y396" i="4"/>
  <c r="Y393" i="4"/>
  <c r="Y388" i="4"/>
  <c r="Y384" i="4"/>
  <c r="Y380" i="4"/>
  <c r="Y376" i="4"/>
  <c r="Y372" i="4"/>
  <c r="AA44" i="4"/>
  <c r="AA45" i="4"/>
  <c r="AA46" i="4"/>
  <c r="V52" i="4"/>
  <c r="B53" i="4"/>
  <c r="B109" i="4"/>
  <c r="V108" i="4"/>
  <c r="K111" i="4"/>
  <c r="F127" i="4"/>
  <c r="K424" i="4"/>
  <c r="B421" i="4"/>
  <c r="V420" i="4"/>
  <c r="G143" i="4"/>
  <c r="Y142" i="4"/>
  <c r="L57" i="4"/>
  <c r="P56" i="4"/>
  <c r="G8" i="6"/>
  <c r="Y719" i="4" s="1"/>
  <c r="F9" i="6"/>
  <c r="S7" i="6"/>
  <c r="R8" i="6"/>
  <c r="C7" i="6"/>
  <c r="B8" i="6"/>
  <c r="N9" i="6"/>
  <c r="O9" i="6" s="1"/>
  <c r="G7" i="6"/>
  <c r="X54" i="4" l="1"/>
  <c r="X52" i="4"/>
  <c r="Y718" i="4"/>
  <c r="Y716" i="4"/>
  <c r="Y714" i="4"/>
  <c r="Y712" i="4"/>
  <c r="Y710" i="4"/>
  <c r="Y708" i="4"/>
  <c r="Y706" i="4"/>
  <c r="Y704" i="4"/>
  <c r="Y702" i="4"/>
  <c r="Y700" i="4"/>
  <c r="Y698" i="4"/>
  <c r="Y696" i="4"/>
  <c r="Y694" i="4"/>
  <c r="Y692" i="4"/>
  <c r="Y690" i="4"/>
  <c r="Y688" i="4"/>
  <c r="Y686" i="4"/>
  <c r="Y684" i="4"/>
  <c r="Y717" i="4"/>
  <c r="Y715" i="4"/>
  <c r="Y713" i="4"/>
  <c r="Y711" i="4"/>
  <c r="Y709" i="4"/>
  <c r="Y707" i="4"/>
  <c r="Y705" i="4"/>
  <c r="Y703" i="4"/>
  <c r="Y701" i="4"/>
  <c r="Y699" i="4"/>
  <c r="Y697" i="4"/>
  <c r="Y695" i="4"/>
  <c r="Y693" i="4"/>
  <c r="Y691" i="4"/>
  <c r="Y689" i="4"/>
  <c r="Y687" i="4"/>
  <c r="Y685" i="4"/>
  <c r="Y683" i="4"/>
  <c r="Y682" i="4"/>
  <c r="Y681" i="4"/>
  <c r="Y680" i="4"/>
  <c r="Y679" i="4"/>
  <c r="Y678" i="4"/>
  <c r="Y677" i="4"/>
  <c r="Y676" i="4"/>
  <c r="Y675" i="4"/>
  <c r="Y674" i="4"/>
  <c r="Y673" i="4"/>
  <c r="Y672" i="4"/>
  <c r="Y671" i="4"/>
  <c r="Y670" i="4"/>
  <c r="Y669" i="4"/>
  <c r="Y668" i="4"/>
  <c r="AA51" i="4"/>
  <c r="AA47" i="4"/>
  <c r="AA48" i="4"/>
  <c r="AA49" i="4"/>
  <c r="AA52" i="4"/>
  <c r="AA53" i="4"/>
  <c r="AA54" i="4"/>
  <c r="AA55" i="4"/>
  <c r="AA56" i="4"/>
  <c r="AA57" i="4"/>
  <c r="AA58" i="4"/>
  <c r="B422" i="4"/>
  <c r="V421" i="4"/>
  <c r="F128" i="4"/>
  <c r="B110" i="4"/>
  <c r="V109" i="4"/>
  <c r="V53" i="4"/>
  <c r="B54" i="4"/>
  <c r="G144" i="4"/>
  <c r="Y143" i="4"/>
  <c r="K425" i="4"/>
  <c r="K112" i="4"/>
  <c r="L58" i="4"/>
  <c r="P58" i="4" s="1"/>
  <c r="P57" i="4"/>
  <c r="G9" i="6"/>
  <c r="F10" i="6"/>
  <c r="G10" i="6" s="1"/>
  <c r="S8" i="6"/>
  <c r="AA50" i="4" s="1"/>
  <c r="R9" i="6"/>
  <c r="C8" i="6"/>
  <c r="B9" i="6"/>
  <c r="Y738" i="4" l="1"/>
  <c r="Y736" i="4"/>
  <c r="Y734" i="4"/>
  <c r="Y732" i="4"/>
  <c r="Y730" i="4"/>
  <c r="Y739" i="4"/>
  <c r="Y737" i="4"/>
  <c r="Y735" i="4"/>
  <c r="Y733" i="4"/>
  <c r="Y731" i="4"/>
  <c r="X55" i="4"/>
  <c r="X56" i="4"/>
  <c r="X57" i="4"/>
  <c r="X58" i="4"/>
  <c r="Y728" i="4"/>
  <c r="Y726" i="4"/>
  <c r="Y724" i="4"/>
  <c r="Y722" i="4"/>
  <c r="Y720" i="4"/>
  <c r="Y729" i="4"/>
  <c r="Y727" i="4"/>
  <c r="Y725" i="4"/>
  <c r="Y723" i="4"/>
  <c r="Y721" i="4"/>
  <c r="K426" i="4"/>
  <c r="F129" i="4"/>
  <c r="X128" i="4"/>
  <c r="V54" i="4"/>
  <c r="B55" i="4"/>
  <c r="K113" i="4"/>
  <c r="AA112" i="4"/>
  <c r="G145" i="4"/>
  <c r="Y144" i="4"/>
  <c r="B111" i="4"/>
  <c r="V110" i="4"/>
  <c r="B423" i="4"/>
  <c r="V422" i="4"/>
  <c r="S9" i="6"/>
  <c r="R10" i="6"/>
  <c r="C9" i="6"/>
  <c r="B10" i="6"/>
  <c r="AA276" i="4" l="1"/>
  <c r="AA283" i="4"/>
  <c r="AA62" i="4"/>
  <c r="AA61" i="4"/>
  <c r="AA63" i="4"/>
  <c r="AA277" i="4"/>
  <c r="AA64" i="4"/>
  <c r="AA284" i="4"/>
  <c r="AA65" i="4"/>
  <c r="AA285" i="4"/>
  <c r="AA278" i="4"/>
  <c r="AA66" i="4"/>
  <c r="AA279" i="4"/>
  <c r="AA286" i="4"/>
  <c r="AA67" i="4"/>
  <c r="AA287" i="4"/>
  <c r="AA280" i="4"/>
  <c r="AA68" i="4"/>
  <c r="AA281" i="4"/>
  <c r="AA288" i="4"/>
  <c r="AA289" i="4"/>
  <c r="AA69" i="4"/>
  <c r="AA282" i="4"/>
  <c r="AA70" i="4"/>
  <c r="AA71" i="4"/>
  <c r="AA72" i="4"/>
  <c r="AA73" i="4"/>
  <c r="AA74" i="4"/>
  <c r="AA75" i="4"/>
  <c r="AA76" i="4"/>
  <c r="AA77" i="4"/>
  <c r="AA78" i="4"/>
  <c r="AA79" i="4"/>
  <c r="AA80" i="4"/>
  <c r="AA81" i="4"/>
  <c r="AA82" i="4"/>
  <c r="AA83" i="4"/>
  <c r="AA84" i="4"/>
  <c r="AA85" i="4"/>
  <c r="AA86" i="4"/>
  <c r="AA87" i="4"/>
  <c r="AA88" i="4"/>
  <c r="AA89" i="4"/>
  <c r="AA90" i="4"/>
  <c r="AA91" i="4"/>
  <c r="AA92" i="4"/>
  <c r="AA93" i="4"/>
  <c r="AA94" i="4"/>
  <c r="AA95" i="4"/>
  <c r="AA96" i="4"/>
  <c r="AA97" i="4"/>
  <c r="AA98" i="4"/>
  <c r="AA99" i="4"/>
  <c r="AA100" i="4"/>
  <c r="AA101" i="4"/>
  <c r="AA102" i="4"/>
  <c r="AA103" i="4"/>
  <c r="AA104" i="4"/>
  <c r="AA105" i="4"/>
  <c r="AA106" i="4"/>
  <c r="AA107" i="4"/>
  <c r="AA108" i="4"/>
  <c r="AA109" i="4"/>
  <c r="AA110" i="4"/>
  <c r="AA111" i="4"/>
  <c r="X76" i="4"/>
  <c r="X72" i="4"/>
  <c r="X68" i="4"/>
  <c r="X61" i="4"/>
  <c r="X77" i="4"/>
  <c r="X73" i="4"/>
  <c r="X69" i="4"/>
  <c r="X65" i="4"/>
  <c r="X64" i="4"/>
  <c r="X78" i="4"/>
  <c r="X74" i="4"/>
  <c r="X70" i="4"/>
  <c r="X66" i="4"/>
  <c r="X63" i="4"/>
  <c r="X79" i="4"/>
  <c r="X75" i="4"/>
  <c r="X71" i="4"/>
  <c r="X67" i="4"/>
  <c r="X62" i="4"/>
  <c r="X80" i="4"/>
  <c r="X81" i="4"/>
  <c r="X82" i="4"/>
  <c r="X83" i="4"/>
  <c r="X84" i="4"/>
  <c r="X85" i="4"/>
  <c r="X86" i="4"/>
  <c r="X87" i="4"/>
  <c r="X88" i="4"/>
  <c r="X89" i="4"/>
  <c r="X90" i="4"/>
  <c r="X91" i="4"/>
  <c r="X92" i="4"/>
  <c r="X93" i="4"/>
  <c r="X94" i="4"/>
  <c r="X95" i="4"/>
  <c r="X96" i="4"/>
  <c r="X97" i="4"/>
  <c r="X98" i="4"/>
  <c r="X99" i="4"/>
  <c r="X100" i="4"/>
  <c r="X101" i="4"/>
  <c r="X10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B112" i="4"/>
  <c r="V111" i="4"/>
  <c r="K114" i="4"/>
  <c r="AA113" i="4"/>
  <c r="F130" i="4"/>
  <c r="X129" i="4"/>
  <c r="V55" i="4"/>
  <c r="B56" i="4"/>
  <c r="B424" i="4"/>
  <c r="V423" i="4"/>
  <c r="G146" i="4"/>
  <c r="Y145" i="4"/>
  <c r="K427" i="4"/>
  <c r="R11" i="6"/>
  <c r="S10" i="6"/>
  <c r="C10" i="6"/>
  <c r="B11" i="6"/>
  <c r="K5" i="6"/>
  <c r="K6" i="6"/>
  <c r="AA352" i="4" l="1"/>
  <c r="AA348" i="4"/>
  <c r="AA344" i="4"/>
  <c r="AA340" i="4"/>
  <c r="AA336" i="4"/>
  <c r="AA332" i="4"/>
  <c r="AA328" i="4"/>
  <c r="AA324" i="4"/>
  <c r="AA320" i="4"/>
  <c r="AA316" i="4"/>
  <c r="AA312" i="4"/>
  <c r="AA308" i="4"/>
  <c r="AA304" i="4"/>
  <c r="AA300" i="4"/>
  <c r="AA296" i="4"/>
  <c r="AA292" i="4"/>
  <c r="AA353" i="4"/>
  <c r="AA349" i="4"/>
  <c r="AA345" i="4"/>
  <c r="AA341" i="4"/>
  <c r="AA337" i="4"/>
  <c r="AA333" i="4"/>
  <c r="AA329" i="4"/>
  <c r="AA325" i="4"/>
  <c r="AA321" i="4"/>
  <c r="AA317" i="4"/>
  <c r="AA313" i="4"/>
  <c r="AA309" i="4"/>
  <c r="AA305" i="4"/>
  <c r="AA301" i="4"/>
  <c r="AA297" i="4"/>
  <c r="AA293" i="4"/>
  <c r="AA350" i="4"/>
  <c r="AA346" i="4"/>
  <c r="AA342" i="4"/>
  <c r="AA338" i="4"/>
  <c r="AA334" i="4"/>
  <c r="AA330" i="4"/>
  <c r="AA326" i="4"/>
  <c r="AA322" i="4"/>
  <c r="AA318" i="4"/>
  <c r="AA314" i="4"/>
  <c r="AA310" i="4"/>
  <c r="AA306" i="4"/>
  <c r="AA302" i="4"/>
  <c r="AA298" i="4"/>
  <c r="AA294" i="4"/>
  <c r="AA290" i="4"/>
  <c r="AA351" i="4"/>
  <c r="AA347" i="4"/>
  <c r="AA343" i="4"/>
  <c r="AA339" i="4"/>
  <c r="AA335" i="4"/>
  <c r="AA331" i="4"/>
  <c r="AA327" i="4"/>
  <c r="AA323" i="4"/>
  <c r="AA319" i="4"/>
  <c r="AA315" i="4"/>
  <c r="AA311" i="4"/>
  <c r="AA307" i="4"/>
  <c r="AA303" i="4"/>
  <c r="AA299" i="4"/>
  <c r="AA295" i="4"/>
  <c r="AA291" i="4"/>
  <c r="X663" i="4"/>
  <c r="X651" i="4"/>
  <c r="X654" i="4"/>
  <c r="X653" i="4"/>
  <c r="X660" i="4"/>
  <c r="X652" i="4"/>
  <c r="X598" i="4"/>
  <c r="X597" i="4"/>
  <c r="X596" i="4"/>
  <c r="X590" i="4"/>
  <c r="X588" i="4"/>
  <c r="X587" i="4"/>
  <c r="X372" i="4"/>
  <c r="G147" i="4"/>
  <c r="Y146" i="4"/>
  <c r="K115" i="4"/>
  <c r="AA114" i="4"/>
  <c r="V56" i="4"/>
  <c r="B57" i="4"/>
  <c r="K428" i="4"/>
  <c r="B425" i="4"/>
  <c r="V424" i="4"/>
  <c r="F131" i="4"/>
  <c r="X130" i="4"/>
  <c r="B113" i="4"/>
  <c r="V112" i="4"/>
  <c r="S11" i="6"/>
  <c r="R12" i="6"/>
  <c r="C11" i="6"/>
  <c r="B12" i="6"/>
  <c r="U269" i="6"/>
  <c r="Y269" i="6" s="1"/>
  <c r="U120" i="6"/>
  <c r="Y120" i="6" s="1"/>
  <c r="U138" i="6"/>
  <c r="Y138" i="6" s="1"/>
  <c r="U202" i="6"/>
  <c r="Y202" i="6" s="1"/>
  <c r="U248" i="6"/>
  <c r="Y248" i="6" s="1"/>
  <c r="U38" i="6"/>
  <c r="Y38" i="6" s="1"/>
  <c r="U316" i="6"/>
  <c r="Y316" i="6" s="1"/>
  <c r="U236" i="6"/>
  <c r="Y236" i="6" s="1"/>
  <c r="U172" i="6"/>
  <c r="Y172" i="6" s="1"/>
  <c r="U108" i="6"/>
  <c r="Y108" i="6" s="1"/>
  <c r="U44" i="6"/>
  <c r="Y44" i="6" s="1"/>
  <c r="U265" i="6"/>
  <c r="Y265" i="6" s="1"/>
  <c r="U192" i="6"/>
  <c r="Y192" i="6" s="1"/>
  <c r="U119" i="6"/>
  <c r="Y119" i="6" s="1"/>
  <c r="U46" i="6"/>
  <c r="Y46" i="6" s="1"/>
  <c r="U307" i="6"/>
  <c r="Y307" i="6" s="1"/>
  <c r="U264" i="6"/>
  <c r="Y264" i="6" s="1"/>
  <c r="U191" i="6"/>
  <c r="Y191" i="6" s="1"/>
  <c r="U118" i="6"/>
  <c r="Y118" i="6" s="1"/>
  <c r="U35" i="6"/>
  <c r="Y35" i="6" s="1"/>
  <c r="U290" i="6"/>
  <c r="Y290" i="6" s="1"/>
  <c r="U199" i="6"/>
  <c r="Y199" i="6" s="1"/>
  <c r="U126" i="6"/>
  <c r="Y126" i="6" s="1"/>
  <c r="U53" i="6"/>
  <c r="Y53" i="6" s="1"/>
  <c r="U309" i="6"/>
  <c r="Y309" i="6" s="1"/>
  <c r="U216" i="6"/>
  <c r="Y216" i="6" s="1"/>
  <c r="U143" i="6"/>
  <c r="Y143" i="6" s="1"/>
  <c r="U70" i="6"/>
  <c r="Y70" i="6" s="1"/>
  <c r="U344" i="6"/>
  <c r="Y344" i="6" s="1"/>
  <c r="U288" i="6"/>
  <c r="Y288" i="6" s="1"/>
  <c r="U197" i="6"/>
  <c r="Y197" i="6" s="1"/>
  <c r="U123" i="6"/>
  <c r="Y123" i="6" s="1"/>
  <c r="U50" i="6"/>
  <c r="Y50" i="6" s="1"/>
  <c r="U305" i="6"/>
  <c r="Y305" i="6" s="1"/>
  <c r="U214" i="6"/>
  <c r="Y214" i="6" s="1"/>
  <c r="U141" i="6"/>
  <c r="Y141" i="6" s="1"/>
  <c r="U67" i="6"/>
  <c r="Y67" i="6" s="1"/>
  <c r="U334" i="6"/>
  <c r="Y334" i="6" s="1"/>
  <c r="U249" i="6"/>
  <c r="Y249" i="6" s="1"/>
  <c r="U176" i="6"/>
  <c r="Y176" i="6" s="1"/>
  <c r="U103" i="6"/>
  <c r="Y103" i="6" s="1"/>
  <c r="U30" i="6"/>
  <c r="Y30" i="6" s="1"/>
  <c r="U190" i="6"/>
  <c r="Y190" i="6" s="1"/>
  <c r="U298" i="6"/>
  <c r="Y298" i="6" s="1"/>
  <c r="U134" i="6"/>
  <c r="Y134" i="6" s="1"/>
  <c r="U336" i="6"/>
  <c r="Y336" i="6" s="1"/>
  <c r="U114" i="6"/>
  <c r="Y114" i="6" s="1"/>
  <c r="U205" i="6"/>
  <c r="Y205" i="6" s="1"/>
  <c r="U323" i="6"/>
  <c r="Y323" i="6" s="1"/>
  <c r="U94" i="6"/>
  <c r="Y94" i="6" s="1"/>
  <c r="U254" i="6"/>
  <c r="Y254" i="6" s="1"/>
  <c r="U289" i="6"/>
  <c r="Y289" i="6" s="1"/>
  <c r="U351" i="6"/>
  <c r="Y351" i="6" s="1"/>
  <c r="U32" i="6"/>
  <c r="Y32" i="6" s="1"/>
  <c r="U122" i="6"/>
  <c r="Y122" i="6" s="1"/>
  <c r="U158" i="6"/>
  <c r="Y158" i="6" s="1"/>
  <c r="U360" i="6"/>
  <c r="Y360" i="6" s="1"/>
  <c r="U86" i="6"/>
  <c r="Y86" i="6" s="1"/>
  <c r="U303" i="6"/>
  <c r="Y303" i="6" s="1"/>
  <c r="U65" i="6"/>
  <c r="Y65" i="6" s="1"/>
  <c r="U129" i="6"/>
  <c r="Y129" i="6" s="1"/>
  <c r="U175" i="6"/>
  <c r="Y175" i="6" s="1"/>
  <c r="U29" i="6"/>
  <c r="Y29" i="6" s="1"/>
  <c r="U308" i="6"/>
  <c r="Y308" i="6" s="1"/>
  <c r="U228" i="6"/>
  <c r="Y228" i="6" s="1"/>
  <c r="U164" i="6"/>
  <c r="Y164" i="6" s="1"/>
  <c r="U100" i="6"/>
  <c r="Y100" i="6" s="1"/>
  <c r="U36" i="6"/>
  <c r="Y36" i="6" s="1"/>
  <c r="U256" i="6"/>
  <c r="Y256" i="6" s="1"/>
  <c r="U183" i="6"/>
  <c r="Y183" i="6" s="1"/>
  <c r="U110" i="6"/>
  <c r="Y110" i="6" s="1"/>
  <c r="U37" i="6"/>
  <c r="Y37" i="6" s="1"/>
  <c r="U358" i="6"/>
  <c r="Y358" i="6" s="1"/>
  <c r="U255" i="6"/>
  <c r="Y255" i="6" s="1"/>
  <c r="U182" i="6"/>
  <c r="Y182" i="6" s="1"/>
  <c r="U109" i="6"/>
  <c r="Y109" i="6" s="1"/>
  <c r="U26" i="6"/>
  <c r="Y26" i="6" s="1"/>
  <c r="U263" i="6"/>
  <c r="Y263" i="6" s="1"/>
  <c r="U117" i="6"/>
  <c r="Y117" i="6" s="1"/>
  <c r="U43" i="6"/>
  <c r="Y43" i="6" s="1"/>
  <c r="U207" i="6"/>
  <c r="Y207" i="6" s="1"/>
  <c r="U61" i="6"/>
  <c r="Y61" i="6" s="1"/>
  <c r="U187" i="6"/>
  <c r="Y187" i="6" s="1"/>
  <c r="U41" i="6"/>
  <c r="Y41" i="6" s="1"/>
  <c r="U131" i="6"/>
  <c r="Y131" i="6" s="1"/>
  <c r="U240" i="6"/>
  <c r="Y240" i="6" s="1"/>
  <c r="U99" i="6"/>
  <c r="Y99" i="6" s="1"/>
  <c r="U107" i="6"/>
  <c r="Y107" i="6" s="1"/>
  <c r="U125" i="6"/>
  <c r="Y125" i="6" s="1"/>
  <c r="U178" i="6"/>
  <c r="Y178" i="6" s="1"/>
  <c r="U195" i="6"/>
  <c r="Y195" i="6" s="1"/>
  <c r="U231" i="6"/>
  <c r="Y231" i="6" s="1"/>
  <c r="U88" i="6"/>
  <c r="Y88" i="6" s="1"/>
  <c r="U159" i="6"/>
  <c r="Y159" i="6" s="1"/>
  <c r="U4" i="6"/>
  <c r="Y4" i="6" s="1"/>
  <c r="U221" i="6"/>
  <c r="Y221" i="6" s="1"/>
  <c r="U313" i="6"/>
  <c r="Y313" i="6" s="1"/>
  <c r="U56" i="6"/>
  <c r="Y56" i="6" s="1"/>
  <c r="U102" i="6"/>
  <c r="Y102" i="6" s="1"/>
  <c r="U364" i="6"/>
  <c r="Y364" i="6" s="1"/>
  <c r="U300" i="6"/>
  <c r="Y300" i="6" s="1"/>
  <c r="U220" i="6"/>
  <c r="Y220" i="6" s="1"/>
  <c r="U156" i="6"/>
  <c r="Y156" i="6" s="1"/>
  <c r="U92" i="6"/>
  <c r="Y92" i="6" s="1"/>
  <c r="U28" i="6"/>
  <c r="Y28" i="6" s="1"/>
  <c r="U247" i="6"/>
  <c r="Y247" i="6" s="1"/>
  <c r="U174" i="6"/>
  <c r="Y174" i="6" s="1"/>
  <c r="U101" i="6"/>
  <c r="Y101" i="6" s="1"/>
  <c r="U27" i="6"/>
  <c r="Y27" i="6" s="1"/>
  <c r="U342" i="6"/>
  <c r="Y342" i="6" s="1"/>
  <c r="U246" i="6"/>
  <c r="Y246" i="6" s="1"/>
  <c r="U173" i="6"/>
  <c r="Y173" i="6" s="1"/>
  <c r="U354" i="6"/>
  <c r="Y354" i="6" s="1"/>
  <c r="U34" i="6"/>
  <c r="Y34" i="6" s="1"/>
  <c r="U51" i="6"/>
  <c r="Y51" i="6" s="1"/>
  <c r="U105" i="6"/>
  <c r="Y105" i="6" s="1"/>
  <c r="U49" i="6"/>
  <c r="Y49" i="6" s="1"/>
  <c r="U85" i="6"/>
  <c r="Y85" i="6" s="1"/>
  <c r="U325" i="6"/>
  <c r="Y325" i="6" s="1"/>
  <c r="U121" i="6"/>
  <c r="Y121" i="6" s="1"/>
  <c r="U147" i="6"/>
  <c r="Y147" i="6" s="1"/>
  <c r="U230" i="6"/>
  <c r="Y230" i="6" s="1"/>
  <c r="U343" i="6"/>
  <c r="Y343" i="6" s="1"/>
  <c r="U322" i="6"/>
  <c r="Y322" i="6" s="1"/>
  <c r="U356" i="6"/>
  <c r="Y356" i="6" s="1"/>
  <c r="U292" i="6"/>
  <c r="Y292" i="6" s="1"/>
  <c r="U212" i="6"/>
  <c r="Y212" i="6" s="1"/>
  <c r="U148" i="6"/>
  <c r="Y148" i="6" s="1"/>
  <c r="U84" i="6"/>
  <c r="Y84" i="6" s="1"/>
  <c r="U330" i="6"/>
  <c r="Y330" i="6" s="1"/>
  <c r="U238" i="6"/>
  <c r="Y238" i="6" s="1"/>
  <c r="U165" i="6"/>
  <c r="Y165" i="6" s="1"/>
  <c r="U91" i="6"/>
  <c r="Y91" i="6" s="1"/>
  <c r="U363" i="6"/>
  <c r="Y363" i="6" s="1"/>
  <c r="U329" i="6"/>
  <c r="Y329" i="6" s="1"/>
  <c r="U237" i="6"/>
  <c r="Y237" i="6" s="1"/>
  <c r="U163" i="6"/>
  <c r="Y163" i="6" s="1"/>
  <c r="U90" i="6"/>
  <c r="Y90" i="6" s="1"/>
  <c r="U341" i="6"/>
  <c r="Y341" i="6" s="1"/>
  <c r="U245" i="6"/>
  <c r="Y245" i="6" s="1"/>
  <c r="U171" i="6"/>
  <c r="Y171" i="6" s="1"/>
  <c r="U98" i="6"/>
  <c r="Y98" i="6" s="1"/>
  <c r="U25" i="6"/>
  <c r="Y25" i="6" s="1"/>
  <c r="U262" i="6"/>
  <c r="Y262" i="6" s="1"/>
  <c r="U189" i="6"/>
  <c r="Y189" i="6" s="1"/>
  <c r="U115" i="6"/>
  <c r="Y115" i="6" s="1"/>
  <c r="U42" i="6"/>
  <c r="Y42" i="6" s="1"/>
  <c r="U337" i="6"/>
  <c r="Y337" i="6" s="1"/>
  <c r="U242" i="6"/>
  <c r="Y242" i="6" s="1"/>
  <c r="U169" i="6"/>
  <c r="Y169" i="6" s="1"/>
  <c r="U96" i="6"/>
  <c r="Y96" i="6" s="1"/>
  <c r="U23" i="6"/>
  <c r="Y23" i="6" s="1"/>
  <c r="U259" i="6"/>
  <c r="Y259" i="6" s="1"/>
  <c r="U186" i="6"/>
  <c r="Y186" i="6" s="1"/>
  <c r="U113" i="6"/>
  <c r="Y113" i="6" s="1"/>
  <c r="U40" i="6"/>
  <c r="Y40" i="6" s="1"/>
  <c r="U304" i="6"/>
  <c r="Y304" i="6" s="1"/>
  <c r="U222" i="6"/>
  <c r="Y222" i="6" s="1"/>
  <c r="U149" i="6"/>
  <c r="Y149" i="6" s="1"/>
  <c r="U75" i="6"/>
  <c r="Y75" i="6" s="1"/>
  <c r="U357" i="6"/>
  <c r="Y357" i="6" s="1"/>
  <c r="U266" i="6"/>
  <c r="Y266" i="6" s="1"/>
  <c r="U111" i="6"/>
  <c r="Y111" i="6" s="1"/>
  <c r="U188" i="6"/>
  <c r="Y188" i="6" s="1"/>
  <c r="U210" i="6"/>
  <c r="Y210" i="6" s="1"/>
  <c r="U301" i="6"/>
  <c r="Y301" i="6" s="1"/>
  <c r="U63" i="6"/>
  <c r="Y63" i="6" s="1"/>
  <c r="U71" i="6"/>
  <c r="Y71" i="6" s="1"/>
  <c r="U306" i="6"/>
  <c r="Y306" i="6" s="1"/>
  <c r="U267" i="6"/>
  <c r="Y267" i="6" s="1"/>
  <c r="U74" i="6"/>
  <c r="Y74" i="6" s="1"/>
  <c r="U157" i="6"/>
  <c r="Y157" i="6" s="1"/>
  <c r="U257" i="6"/>
  <c r="Y257" i="6" s="1"/>
  <c r="U239" i="6"/>
  <c r="Y239" i="6" s="1"/>
  <c r="U348" i="6"/>
  <c r="Y348" i="6" s="1"/>
  <c r="U284" i="6"/>
  <c r="Y284" i="6" s="1"/>
  <c r="U204" i="6"/>
  <c r="Y204" i="6" s="1"/>
  <c r="U140" i="6"/>
  <c r="Y140" i="6" s="1"/>
  <c r="U76" i="6"/>
  <c r="Y76" i="6" s="1"/>
  <c r="U321" i="6"/>
  <c r="Y321" i="6" s="1"/>
  <c r="U229" i="6"/>
  <c r="Y229" i="6" s="1"/>
  <c r="U155" i="6"/>
  <c r="Y155" i="6" s="1"/>
  <c r="U82" i="6"/>
  <c r="Y82" i="6" s="1"/>
  <c r="U355" i="6"/>
  <c r="Y355" i="6" s="1"/>
  <c r="U320" i="6"/>
  <c r="Y320" i="6" s="1"/>
  <c r="U227" i="6"/>
  <c r="Y227" i="6" s="1"/>
  <c r="U154" i="6"/>
  <c r="Y154" i="6" s="1"/>
  <c r="U81" i="6"/>
  <c r="Y81" i="6" s="1"/>
  <c r="U328" i="6"/>
  <c r="Y328" i="6" s="1"/>
  <c r="U235" i="6"/>
  <c r="Y235" i="6" s="1"/>
  <c r="U162" i="6"/>
  <c r="Y162" i="6" s="1"/>
  <c r="U89" i="6"/>
  <c r="Y89" i="6" s="1"/>
  <c r="U353" i="6"/>
  <c r="Y353" i="6" s="1"/>
  <c r="U253" i="6"/>
  <c r="Y253" i="6" s="1"/>
  <c r="U179" i="6"/>
  <c r="Y179" i="6" s="1"/>
  <c r="U106" i="6"/>
  <c r="Y106" i="6" s="1"/>
  <c r="U33" i="6"/>
  <c r="Y33" i="6" s="1"/>
  <c r="U326" i="6"/>
  <c r="Y326" i="6" s="1"/>
  <c r="U233" i="6"/>
  <c r="Y233" i="6" s="1"/>
  <c r="U160" i="6"/>
  <c r="Y160" i="6" s="1"/>
  <c r="U87" i="6"/>
  <c r="Y87" i="6" s="1"/>
  <c r="U350" i="6"/>
  <c r="Y350" i="6" s="1"/>
  <c r="U250" i="6"/>
  <c r="Y250" i="6" s="1"/>
  <c r="U177" i="6"/>
  <c r="Y177" i="6" s="1"/>
  <c r="U104" i="6"/>
  <c r="Y104" i="6" s="1"/>
  <c r="U31" i="6"/>
  <c r="Y31" i="6" s="1"/>
  <c r="U295" i="6"/>
  <c r="Y295" i="6" s="1"/>
  <c r="U213" i="6"/>
  <c r="Y213" i="6" s="1"/>
  <c r="U139" i="6"/>
  <c r="Y139" i="6" s="1"/>
  <c r="U66" i="6"/>
  <c r="Y66" i="6" s="1"/>
  <c r="U349" i="6"/>
  <c r="Y349" i="6" s="1"/>
  <c r="U335" i="6"/>
  <c r="Y335" i="6" s="1"/>
  <c r="U168" i="6"/>
  <c r="Y168" i="6" s="1"/>
  <c r="U22" i="6"/>
  <c r="Y22" i="6" s="1"/>
  <c r="U286" i="6"/>
  <c r="Y286" i="6" s="1"/>
  <c r="U130" i="6"/>
  <c r="Y130" i="6" s="1"/>
  <c r="U359" i="6"/>
  <c r="Y359" i="6" s="1"/>
  <c r="U93" i="6"/>
  <c r="Y93" i="6" s="1"/>
  <c r="U124" i="6"/>
  <c r="Y124" i="6" s="1"/>
  <c r="U137" i="6"/>
  <c r="Y137" i="6" s="1"/>
  <c r="U209" i="6"/>
  <c r="Y209" i="6" s="1"/>
  <c r="U217" i="6"/>
  <c r="Y217" i="6" s="1"/>
  <c r="U234" i="6"/>
  <c r="Y234" i="6" s="1"/>
  <c r="U215" i="6"/>
  <c r="Y215" i="6" s="1"/>
  <c r="U362" i="6"/>
  <c r="Y362" i="6" s="1"/>
  <c r="U345" i="6"/>
  <c r="Y345" i="6" s="1"/>
  <c r="U361" i="6"/>
  <c r="Y361" i="6" s="1"/>
  <c r="U83" i="6"/>
  <c r="Y83" i="6" s="1"/>
  <c r="U184" i="6"/>
  <c r="Y184" i="6" s="1"/>
  <c r="U166" i="6"/>
  <c r="Y166" i="6" s="1"/>
  <c r="U340" i="6"/>
  <c r="Y340" i="6" s="1"/>
  <c r="U260" i="6"/>
  <c r="Y260" i="6" s="1"/>
  <c r="U196" i="6"/>
  <c r="Y196" i="6" s="1"/>
  <c r="U132" i="6"/>
  <c r="Y132" i="6" s="1"/>
  <c r="U68" i="6"/>
  <c r="Y68" i="6" s="1"/>
  <c r="U312" i="6"/>
  <c r="Y312" i="6" s="1"/>
  <c r="U219" i="6"/>
  <c r="Y219" i="6" s="1"/>
  <c r="U146" i="6"/>
  <c r="Y146" i="6" s="1"/>
  <c r="U73" i="6"/>
  <c r="Y73" i="6" s="1"/>
  <c r="U347" i="6"/>
  <c r="Y347" i="6" s="1"/>
  <c r="U311" i="6"/>
  <c r="Y311" i="6" s="1"/>
  <c r="U218" i="6"/>
  <c r="Y218" i="6" s="1"/>
  <c r="U145" i="6"/>
  <c r="Y145" i="6" s="1"/>
  <c r="U72" i="6"/>
  <c r="Y72" i="6" s="1"/>
  <c r="U319" i="6"/>
  <c r="Y319" i="6" s="1"/>
  <c r="U226" i="6"/>
  <c r="Y226" i="6" s="1"/>
  <c r="U153" i="6"/>
  <c r="Y153" i="6" s="1"/>
  <c r="U80" i="6"/>
  <c r="Y80" i="6" s="1"/>
  <c r="U338" i="6"/>
  <c r="Y338" i="6" s="1"/>
  <c r="U243" i="6"/>
  <c r="Y243" i="6" s="1"/>
  <c r="U170" i="6"/>
  <c r="Y170" i="6" s="1"/>
  <c r="U97" i="6"/>
  <c r="Y97" i="6" s="1"/>
  <c r="U24" i="6"/>
  <c r="Y24" i="6" s="1"/>
  <c r="U317" i="6"/>
  <c r="Y317" i="6" s="1"/>
  <c r="U224" i="6"/>
  <c r="Y224" i="6" s="1"/>
  <c r="U151" i="6"/>
  <c r="Y151" i="6" s="1"/>
  <c r="U78" i="6"/>
  <c r="Y78" i="6" s="1"/>
  <c r="U241" i="6"/>
  <c r="Y241" i="6" s="1"/>
  <c r="U95" i="6"/>
  <c r="Y95" i="6" s="1"/>
  <c r="U203" i="6"/>
  <c r="Y203" i="6" s="1"/>
  <c r="U57" i="6"/>
  <c r="Y57" i="6" s="1"/>
  <c r="U294" i="6"/>
  <c r="Y294" i="6" s="1"/>
  <c r="U332" i="6"/>
  <c r="Y332" i="6" s="1"/>
  <c r="U60" i="6"/>
  <c r="Y60" i="6" s="1"/>
  <c r="U64" i="6"/>
  <c r="Y64" i="6" s="1"/>
  <c r="U136" i="6"/>
  <c r="Y136" i="6" s="1"/>
  <c r="U144" i="6"/>
  <c r="Y144" i="6" s="1"/>
  <c r="U161" i="6"/>
  <c r="Y161" i="6" s="1"/>
  <c r="U232" i="6"/>
  <c r="Y232" i="6" s="1"/>
  <c r="U252" i="6"/>
  <c r="Y252" i="6" s="1"/>
  <c r="U302" i="6"/>
  <c r="Y302" i="6" s="1"/>
  <c r="U339" i="6"/>
  <c r="Y339" i="6" s="1"/>
  <c r="U310" i="6"/>
  <c r="Y310" i="6" s="1"/>
  <c r="U327" i="6"/>
  <c r="Y327" i="6" s="1"/>
  <c r="U142" i="6"/>
  <c r="Y142" i="6" s="1"/>
  <c r="U48" i="6"/>
  <c r="Y48" i="6" s="1"/>
  <c r="U193" i="6"/>
  <c r="Y193" i="6" s="1"/>
  <c r="U211" i="6"/>
  <c r="Y211" i="6" s="1"/>
  <c r="U285" i="6"/>
  <c r="Y285" i="6" s="1"/>
  <c r="U333" i="6"/>
  <c r="Y333" i="6" s="1"/>
  <c r="U47" i="6"/>
  <c r="Y47" i="6" s="1"/>
  <c r="U324" i="6"/>
  <c r="Y324" i="6" s="1"/>
  <c r="U244" i="6"/>
  <c r="Y244" i="6" s="1"/>
  <c r="U180" i="6"/>
  <c r="Y180" i="6" s="1"/>
  <c r="U116" i="6"/>
  <c r="Y116" i="6" s="1"/>
  <c r="U52" i="6"/>
  <c r="Y52" i="6" s="1"/>
  <c r="U293" i="6"/>
  <c r="Y293" i="6" s="1"/>
  <c r="U201" i="6"/>
  <c r="Y201" i="6" s="1"/>
  <c r="U128" i="6"/>
  <c r="Y128" i="6" s="1"/>
  <c r="U55" i="6"/>
  <c r="Y55" i="6" s="1"/>
  <c r="U331" i="6"/>
  <c r="Y331" i="6" s="1"/>
  <c r="U291" i="6"/>
  <c r="Y291" i="6" s="1"/>
  <c r="U200" i="6"/>
  <c r="Y200" i="6" s="1"/>
  <c r="U127" i="6"/>
  <c r="Y127" i="6" s="1"/>
  <c r="U54" i="6"/>
  <c r="Y54" i="6" s="1"/>
  <c r="U299" i="6"/>
  <c r="Y299" i="6" s="1"/>
  <c r="U208" i="6"/>
  <c r="Y208" i="6" s="1"/>
  <c r="U135" i="6"/>
  <c r="Y135" i="6" s="1"/>
  <c r="U62" i="6"/>
  <c r="Y62" i="6" s="1"/>
  <c r="U318" i="6"/>
  <c r="Y318" i="6" s="1"/>
  <c r="U225" i="6"/>
  <c r="Y225" i="6" s="1"/>
  <c r="U152" i="6"/>
  <c r="Y152" i="6" s="1"/>
  <c r="U79" i="6"/>
  <c r="Y79" i="6" s="1"/>
  <c r="U352" i="6"/>
  <c r="Y352" i="6" s="1"/>
  <c r="U297" i="6"/>
  <c r="Y297" i="6" s="1"/>
  <c r="U206" i="6"/>
  <c r="Y206" i="6" s="1"/>
  <c r="U133" i="6"/>
  <c r="Y133" i="6" s="1"/>
  <c r="U59" i="6"/>
  <c r="Y59" i="6" s="1"/>
  <c r="U315" i="6"/>
  <c r="Y315" i="6" s="1"/>
  <c r="U223" i="6"/>
  <c r="Y223" i="6" s="1"/>
  <c r="U150" i="6"/>
  <c r="Y150" i="6" s="1"/>
  <c r="U77" i="6"/>
  <c r="Y77" i="6" s="1"/>
  <c r="U346" i="6"/>
  <c r="Y346" i="6" s="1"/>
  <c r="U258" i="6"/>
  <c r="Y258" i="6" s="1"/>
  <c r="U185" i="6"/>
  <c r="Y185" i="6" s="1"/>
  <c r="U112" i="6"/>
  <c r="Y112" i="6" s="1"/>
  <c r="U39" i="6"/>
  <c r="Y39" i="6" s="1"/>
  <c r="U261" i="6"/>
  <c r="Y261" i="6" s="1"/>
  <c r="U296" i="6"/>
  <c r="Y296" i="6" s="1"/>
  <c r="U58" i="6"/>
  <c r="Y58" i="6" s="1"/>
  <c r="U167" i="6"/>
  <c r="Y167" i="6" s="1"/>
  <c r="U21" i="6"/>
  <c r="Y21" i="6" s="1"/>
  <c r="U181" i="6"/>
  <c r="Y181" i="6" s="1"/>
  <c r="U198" i="6"/>
  <c r="Y198" i="6" s="1"/>
  <c r="U251" i="6"/>
  <c r="Y251" i="6" s="1"/>
  <c r="U287" i="6"/>
  <c r="Y287" i="6" s="1"/>
  <c r="U314" i="6"/>
  <c r="Y314" i="6" s="1"/>
  <c r="U365" i="6"/>
  <c r="Y365" i="6" s="1"/>
  <c r="U69" i="6"/>
  <c r="Y69" i="6" s="1"/>
  <c r="U194" i="6"/>
  <c r="Y194" i="6" s="1"/>
  <c r="U45" i="6"/>
  <c r="Y45" i="6" s="1"/>
  <c r="U8" i="6"/>
  <c r="Y8" i="6" s="1"/>
  <c r="U6" i="6"/>
  <c r="Y6" i="6" s="1"/>
  <c r="U5" i="6"/>
  <c r="Y5" i="6" s="1"/>
  <c r="U11" i="6"/>
  <c r="Y11" i="6" s="1"/>
  <c r="U19" i="6"/>
  <c r="Y19" i="6" s="1"/>
  <c r="U10" i="6"/>
  <c r="Y10" i="6" s="1"/>
  <c r="U16" i="6"/>
  <c r="Y16" i="6" s="1"/>
  <c r="U13" i="6"/>
  <c r="Y13" i="6" s="1"/>
  <c r="U20" i="6"/>
  <c r="Y20" i="6" s="1"/>
  <c r="U7" i="6"/>
  <c r="Y7" i="6" s="1"/>
  <c r="U12" i="6"/>
  <c r="Y12" i="6" s="1"/>
  <c r="U18" i="6"/>
  <c r="Y18" i="6" s="1"/>
  <c r="U9" i="6"/>
  <c r="Y9" i="6" s="1"/>
  <c r="U17" i="6"/>
  <c r="Y17" i="6" s="1"/>
  <c r="U15" i="6"/>
  <c r="Y15" i="6" s="1"/>
  <c r="U14" i="6"/>
  <c r="Y14" i="6" s="1"/>
  <c r="U270" i="6"/>
  <c r="Y270" i="6" s="1"/>
  <c r="U282" i="6"/>
  <c r="Y282" i="6" s="1"/>
  <c r="U268" i="6"/>
  <c r="Y268" i="6" s="1"/>
  <c r="U277" i="6"/>
  <c r="Y277" i="6" s="1"/>
  <c r="U279" i="6"/>
  <c r="Y279" i="6" s="1"/>
  <c r="U278" i="6"/>
  <c r="Y278" i="6" s="1"/>
  <c r="U366" i="6"/>
  <c r="Y366" i="6" s="1"/>
  <c r="U272" i="6"/>
  <c r="Y272" i="6" s="1"/>
  <c r="U271" i="6"/>
  <c r="Y271" i="6" s="1"/>
  <c r="U276" i="6"/>
  <c r="Y276" i="6" s="1"/>
  <c r="U283" i="6"/>
  <c r="Y283" i="6" s="1"/>
  <c r="U281" i="6"/>
  <c r="Y281" i="6" s="1"/>
  <c r="U280" i="6"/>
  <c r="Y280" i="6" s="1"/>
  <c r="U275" i="6"/>
  <c r="Y275" i="6" s="1"/>
  <c r="U274" i="6"/>
  <c r="Y274" i="6" s="1"/>
  <c r="U273" i="6"/>
  <c r="Y273" i="6" s="1"/>
  <c r="W437" i="4" l="1"/>
  <c r="W421" i="4"/>
  <c r="W126" i="4"/>
  <c r="W110" i="4"/>
  <c r="W94" i="4"/>
  <c r="W26" i="4"/>
  <c r="W42" i="4"/>
  <c r="W717" i="4"/>
  <c r="W701" i="4"/>
  <c r="W405" i="4"/>
  <c r="W389" i="4"/>
  <c r="W78" i="4"/>
  <c r="W684" i="4"/>
  <c r="W649" i="4"/>
  <c r="W633" i="4"/>
  <c r="W617" i="4"/>
  <c r="W519" i="4"/>
  <c r="W336" i="4"/>
  <c r="W320" i="4"/>
  <c r="W304" i="4"/>
  <c r="W208" i="4"/>
  <c r="W199" i="4"/>
  <c r="W327" i="4"/>
  <c r="W311" i="4"/>
  <c r="W295" i="4"/>
  <c r="W17" i="4"/>
  <c r="W428" i="4"/>
  <c r="W412" i="4"/>
  <c r="W117" i="4"/>
  <c r="W101" i="4"/>
  <c r="W85" i="4"/>
  <c r="W708" i="4"/>
  <c r="W692" i="4"/>
  <c r="W640" i="4"/>
  <c r="W624" i="4"/>
  <c r="W608" i="4"/>
  <c r="W675" i="4"/>
  <c r="W380" i="4"/>
  <c r="W69" i="4"/>
  <c r="W33" i="4"/>
  <c r="W510" i="4"/>
  <c r="W396" i="4"/>
  <c r="W433" i="4"/>
  <c r="W417" i="4"/>
  <c r="W680" i="4"/>
  <c r="W204" i="4"/>
  <c r="W22" i="4"/>
  <c r="W38" i="4"/>
  <c r="W515" i="4"/>
  <c r="W401" i="4"/>
  <c r="W385" i="4"/>
  <c r="W122" i="4"/>
  <c r="W106" i="4"/>
  <c r="W90" i="4"/>
  <c r="W74" i="4"/>
  <c r="W713" i="4"/>
  <c r="W697" i="4"/>
  <c r="W645" i="4"/>
  <c r="W629" i="4"/>
  <c r="W613" i="4"/>
  <c r="W332" i="4"/>
  <c r="W316" i="4"/>
  <c r="W300" i="4"/>
  <c r="W673" i="4"/>
  <c r="W606" i="4"/>
  <c r="W394" i="4"/>
  <c r="W378" i="4"/>
  <c r="W638" i="4"/>
  <c r="W622" i="4"/>
  <c r="W508" i="4"/>
  <c r="W197" i="4"/>
  <c r="W325" i="4"/>
  <c r="W309" i="4"/>
  <c r="W293" i="4"/>
  <c r="W67" i="4"/>
  <c r="W15" i="4"/>
  <c r="W115" i="4"/>
  <c r="W99" i="4"/>
  <c r="W83" i="4"/>
  <c r="W706" i="4"/>
  <c r="W690" i="4"/>
  <c r="W426" i="4"/>
  <c r="W410" i="4"/>
  <c r="W31" i="4"/>
  <c r="W58" i="4"/>
  <c r="AA666" i="4"/>
  <c r="AA360" i="4"/>
  <c r="AA356" i="4"/>
  <c r="AA361" i="4"/>
  <c r="AA357" i="4"/>
  <c r="AA370" i="4"/>
  <c r="AA362" i="4"/>
  <c r="AA358" i="4"/>
  <c r="AA354" i="4"/>
  <c r="AA359" i="4"/>
  <c r="AA355" i="4"/>
  <c r="W703" i="4"/>
  <c r="W687" i="4"/>
  <c r="W505" i="4"/>
  <c r="W12" i="4"/>
  <c r="W64" i="4"/>
  <c r="W28" i="4"/>
  <c r="W391" i="4"/>
  <c r="W375" i="4"/>
  <c r="W55" i="4"/>
  <c r="W635" i="4"/>
  <c r="W619" i="4"/>
  <c r="W423" i="4"/>
  <c r="W407" i="4"/>
  <c r="W322" i="4"/>
  <c r="W306" i="4"/>
  <c r="W290" i="4"/>
  <c r="W194" i="4"/>
  <c r="W670" i="4"/>
  <c r="W603" i="4"/>
  <c r="W112" i="4"/>
  <c r="W96" i="4"/>
  <c r="W80" i="4"/>
  <c r="W509" i="4"/>
  <c r="W379" i="4"/>
  <c r="W198" i="4"/>
  <c r="W395" i="4"/>
  <c r="W639" i="4"/>
  <c r="W623" i="4"/>
  <c r="W326" i="4"/>
  <c r="W310" i="4"/>
  <c r="W294" i="4"/>
  <c r="W116" i="4"/>
  <c r="W100" i="4"/>
  <c r="W84" i="4"/>
  <c r="W707" i="4"/>
  <c r="W691" i="4"/>
  <c r="W427" i="4"/>
  <c r="W411" i="4"/>
  <c r="W68" i="4"/>
  <c r="W32" i="4"/>
  <c r="W674" i="4"/>
  <c r="W607" i="4"/>
  <c r="W44" i="4"/>
  <c r="W16" i="4"/>
  <c r="W425" i="4"/>
  <c r="W409" i="4"/>
  <c r="W377" i="4"/>
  <c r="W57" i="4"/>
  <c r="W66" i="4"/>
  <c r="W672" i="4"/>
  <c r="W637" i="4"/>
  <c r="W621" i="4"/>
  <c r="W605" i="4"/>
  <c r="W324" i="4"/>
  <c r="W308" i="4"/>
  <c r="W292" i="4"/>
  <c r="W196" i="4"/>
  <c r="W507" i="4"/>
  <c r="W114" i="4"/>
  <c r="W98" i="4"/>
  <c r="W82" i="4"/>
  <c r="W705" i="4"/>
  <c r="W689" i="4"/>
  <c r="W393" i="4"/>
  <c r="W14" i="4"/>
  <c r="W30" i="4"/>
  <c r="W642" i="4"/>
  <c r="W626" i="4"/>
  <c r="W677" i="4"/>
  <c r="W329" i="4"/>
  <c r="W313" i="4"/>
  <c r="W297" i="4"/>
  <c r="W119" i="4"/>
  <c r="W103" i="4"/>
  <c r="W87" i="4"/>
  <c r="W710" i="4"/>
  <c r="W694" i="4"/>
  <c r="W512" i="4"/>
  <c r="W71" i="4"/>
  <c r="W19" i="4"/>
  <c r="W398" i="4"/>
  <c r="W35" i="4"/>
  <c r="W610" i="4"/>
  <c r="W430" i="4"/>
  <c r="W414" i="4"/>
  <c r="W201" i="4"/>
  <c r="W382" i="4"/>
  <c r="W46" i="4"/>
  <c r="W648" i="4"/>
  <c r="W632" i="4"/>
  <c r="W616" i="4"/>
  <c r="W207" i="4"/>
  <c r="W388" i="4"/>
  <c r="W77" i="4"/>
  <c r="W41" i="4"/>
  <c r="W25" i="4"/>
  <c r="W436" i="4"/>
  <c r="W420" i="4"/>
  <c r="W125" i="4"/>
  <c r="W109" i="4"/>
  <c r="W93" i="4"/>
  <c r="W716" i="4"/>
  <c r="W700" i="4"/>
  <c r="W683" i="4"/>
  <c r="W335" i="4"/>
  <c r="W319" i="4"/>
  <c r="W303" i="4"/>
  <c r="W404" i="4"/>
  <c r="W518" i="4"/>
  <c r="W681" i="4"/>
  <c r="W75" i="4"/>
  <c r="W23" i="4"/>
  <c r="W614" i="4"/>
  <c r="W516" i="4"/>
  <c r="W205" i="4"/>
  <c r="W39" i="4"/>
  <c r="W402" i="4"/>
  <c r="W386" i="4"/>
  <c r="W123" i="4"/>
  <c r="W107" i="4"/>
  <c r="W91" i="4"/>
  <c r="W714" i="4"/>
  <c r="W698" i="4"/>
  <c r="W646" i="4"/>
  <c r="W630" i="4"/>
  <c r="W434" i="4"/>
  <c r="W418" i="4"/>
  <c r="W333" i="4"/>
  <c r="W317" i="4"/>
  <c r="W301" i="4"/>
  <c r="W711" i="4"/>
  <c r="W695" i="4"/>
  <c r="W643" i="4"/>
  <c r="W627" i="4"/>
  <c r="W513" i="4"/>
  <c r="W399" i="4"/>
  <c r="W330" i="4"/>
  <c r="W314" i="4"/>
  <c r="W298" i="4"/>
  <c r="W72" i="4"/>
  <c r="W36" i="4"/>
  <c r="W611" i="4"/>
  <c r="W431" i="4"/>
  <c r="W415" i="4"/>
  <c r="W202" i="4"/>
  <c r="W20" i="4"/>
  <c r="W678" i="4"/>
  <c r="W383" i="4"/>
  <c r="W120" i="4"/>
  <c r="W104" i="4"/>
  <c r="W88" i="4"/>
  <c r="W704" i="4"/>
  <c r="W688" i="4"/>
  <c r="W392" i="4"/>
  <c r="W604" i="4"/>
  <c r="W424" i="4"/>
  <c r="W408" i="4"/>
  <c r="W323" i="4"/>
  <c r="W307" i="4"/>
  <c r="W291" i="4"/>
  <c r="W56" i="4"/>
  <c r="W671" i="4"/>
  <c r="W195" i="4"/>
  <c r="W13" i="4"/>
  <c r="W636" i="4"/>
  <c r="W620" i="4"/>
  <c r="W506" i="4"/>
  <c r="W376" i="4"/>
  <c r="W113" i="4"/>
  <c r="W97" i="4"/>
  <c r="W81" i="4"/>
  <c r="W65" i="4"/>
  <c r="W29" i="4"/>
  <c r="X659" i="4"/>
  <c r="X655" i="4"/>
  <c r="X661" i="4"/>
  <c r="X664" i="4"/>
  <c r="X599" i="4"/>
  <c r="X591" i="4"/>
  <c r="X373" i="4"/>
  <c r="W735" i="4"/>
  <c r="W727" i="4"/>
  <c r="W719" i="4"/>
  <c r="W736" i="4"/>
  <c r="W728" i="4"/>
  <c r="W720" i="4"/>
  <c r="W669" i="4"/>
  <c r="W59" i="4"/>
  <c r="W733" i="4"/>
  <c r="W725" i="4"/>
  <c r="W734" i="4"/>
  <c r="W726" i="4"/>
  <c r="W686" i="4"/>
  <c r="W668" i="4"/>
  <c r="W11" i="4"/>
  <c r="W63" i="4"/>
  <c r="W739" i="4"/>
  <c r="W731" i="4"/>
  <c r="W723" i="4"/>
  <c r="W666" i="4"/>
  <c r="W732" i="4"/>
  <c r="W724" i="4"/>
  <c r="W667" i="4"/>
  <c r="W60" i="4"/>
  <c r="W50" i="4"/>
  <c r="W737" i="4"/>
  <c r="W729" i="4"/>
  <c r="W721" i="4"/>
  <c r="W738" i="4"/>
  <c r="W730" i="4"/>
  <c r="W722" i="4"/>
  <c r="W62" i="4"/>
  <c r="W61" i="4"/>
  <c r="W641" i="4"/>
  <c r="W625" i="4"/>
  <c r="W609" i="4"/>
  <c r="W429" i="4"/>
  <c r="W413" i="4"/>
  <c r="W328" i="4"/>
  <c r="W312" i="4"/>
  <c r="W296" i="4"/>
  <c r="W118" i="4"/>
  <c r="W102" i="4"/>
  <c r="W86" i="4"/>
  <c r="W709" i="4"/>
  <c r="W693" i="4"/>
  <c r="W676" i="4"/>
  <c r="W511" i="4"/>
  <c r="W18" i="4"/>
  <c r="W34" i="4"/>
  <c r="W397" i="4"/>
  <c r="W381" i="4"/>
  <c r="W200" i="4"/>
  <c r="W70" i="4"/>
  <c r="W712" i="4"/>
  <c r="W696" i="4"/>
  <c r="W644" i="4"/>
  <c r="W628" i="4"/>
  <c r="W612" i="4"/>
  <c r="W432" i="4"/>
  <c r="W416" i="4"/>
  <c r="W384" i="4"/>
  <c r="W73" i="4"/>
  <c r="W37" i="4"/>
  <c r="W21" i="4"/>
  <c r="W679" i="4"/>
  <c r="W203" i="4"/>
  <c r="W514" i="4"/>
  <c r="W331" i="4"/>
  <c r="W315" i="4"/>
  <c r="W299" i="4"/>
  <c r="W400" i="4"/>
  <c r="W121" i="4"/>
  <c r="W105" i="4"/>
  <c r="W89" i="4"/>
  <c r="W43" i="4"/>
  <c r="W127" i="4"/>
  <c r="W111" i="4"/>
  <c r="W95" i="4"/>
  <c r="W685" i="4"/>
  <c r="W718" i="4"/>
  <c r="W702" i="4"/>
  <c r="W520" i="4"/>
  <c r="W406" i="4"/>
  <c r="W390" i="4"/>
  <c r="W650" i="4"/>
  <c r="W634" i="4"/>
  <c r="W618" i="4"/>
  <c r="W337" i="4"/>
  <c r="W321" i="4"/>
  <c r="W305" i="4"/>
  <c r="W438" i="4"/>
  <c r="W422" i="4"/>
  <c r="W209" i="4"/>
  <c r="W79" i="4"/>
  <c r="W27" i="4"/>
  <c r="W615" i="4"/>
  <c r="W517" i="4"/>
  <c r="W206" i="4"/>
  <c r="W76" i="4"/>
  <c r="W40" i="4"/>
  <c r="W124" i="4"/>
  <c r="W108" i="4"/>
  <c r="W92" i="4"/>
  <c r="W24" i="4"/>
  <c r="W715" i="4"/>
  <c r="W699" i="4"/>
  <c r="W435" i="4"/>
  <c r="W419" i="4"/>
  <c r="W387" i="4"/>
  <c r="W647" i="4"/>
  <c r="W631" i="4"/>
  <c r="W682" i="4"/>
  <c r="W403" i="4"/>
  <c r="W334" i="4"/>
  <c r="W318" i="4"/>
  <c r="W302" i="4"/>
  <c r="W45" i="4"/>
  <c r="F132" i="4"/>
  <c r="X131" i="4"/>
  <c r="K429" i="4"/>
  <c r="K116" i="4"/>
  <c r="AA115" i="4"/>
  <c r="V57" i="4"/>
  <c r="B58" i="4"/>
  <c r="V58" i="4" s="1"/>
  <c r="B114" i="4"/>
  <c r="V113" i="4"/>
  <c r="B426" i="4"/>
  <c r="V425" i="4"/>
  <c r="G148" i="4"/>
  <c r="Y147" i="4"/>
  <c r="S12" i="6"/>
  <c r="R13" i="6"/>
  <c r="C12" i="6"/>
  <c r="B13" i="6"/>
  <c r="X665" i="4" l="1"/>
  <c r="X662" i="4"/>
  <c r="X658" i="4"/>
  <c r="X657" i="4"/>
  <c r="X656" i="4"/>
  <c r="X602" i="4"/>
  <c r="X601" i="4"/>
  <c r="X600" i="4"/>
  <c r="X595" i="4"/>
  <c r="X594" i="4"/>
  <c r="X593" i="4"/>
  <c r="X592" i="4"/>
  <c r="X589" i="4"/>
  <c r="X374" i="4"/>
  <c r="AA667" i="4"/>
  <c r="AA368" i="4"/>
  <c r="AA364" i="4"/>
  <c r="AA369" i="4"/>
  <c r="AA365" i="4"/>
  <c r="AA366" i="4"/>
  <c r="AA371" i="4"/>
  <c r="AA367" i="4"/>
  <c r="AA363" i="4"/>
  <c r="B427" i="4"/>
  <c r="V426" i="4"/>
  <c r="K430" i="4"/>
  <c r="G149" i="4"/>
  <c r="Y148" i="4"/>
  <c r="B115" i="4"/>
  <c r="V114" i="4"/>
  <c r="K117" i="4"/>
  <c r="AA116" i="4"/>
  <c r="F133" i="4"/>
  <c r="X132" i="4"/>
  <c r="C13" i="6"/>
  <c r="B14" i="6"/>
  <c r="S13" i="6"/>
  <c r="AA429" i="4" s="1"/>
  <c r="R14" i="6"/>
  <c r="X667" i="4" l="1"/>
  <c r="X631" i="4"/>
  <c r="X627" i="4"/>
  <c r="X623" i="4"/>
  <c r="X619" i="4"/>
  <c r="X615" i="4"/>
  <c r="X611" i="4"/>
  <c r="X607" i="4"/>
  <c r="X666" i="4"/>
  <c r="X634" i="4"/>
  <c r="X630" i="4"/>
  <c r="X626" i="4"/>
  <c r="X622" i="4"/>
  <c r="X633" i="4"/>
  <c r="X629" i="4"/>
  <c r="X625" i="4"/>
  <c r="X621" i="4"/>
  <c r="X632" i="4"/>
  <c r="X628" i="4"/>
  <c r="X624" i="4"/>
  <c r="X620" i="4"/>
  <c r="X616" i="4"/>
  <c r="X612" i="4"/>
  <c r="X618" i="4"/>
  <c r="X603" i="4"/>
  <c r="X613" i="4"/>
  <c r="X606" i="4"/>
  <c r="X614" i="4"/>
  <c r="X610" i="4"/>
  <c r="X609" i="4"/>
  <c r="X608" i="4"/>
  <c r="X605" i="4"/>
  <c r="X586" i="4"/>
  <c r="X585" i="4"/>
  <c r="X584" i="4"/>
  <c r="X583" i="4"/>
  <c r="X582" i="4"/>
  <c r="X581" i="4"/>
  <c r="X580" i="4"/>
  <c r="X579" i="4"/>
  <c r="X578" i="4"/>
  <c r="X577" i="4"/>
  <c r="X576" i="4"/>
  <c r="X575" i="4"/>
  <c r="X574" i="4"/>
  <c r="X573" i="4"/>
  <c r="X572" i="4"/>
  <c r="X571" i="4"/>
  <c r="X570" i="4"/>
  <c r="X569" i="4"/>
  <c r="X568" i="4"/>
  <c r="X567" i="4"/>
  <c r="X566" i="4"/>
  <c r="X565" i="4"/>
  <c r="X564" i="4"/>
  <c r="X563" i="4"/>
  <c r="X562" i="4"/>
  <c r="X561" i="4"/>
  <c r="X560" i="4"/>
  <c r="X559" i="4"/>
  <c r="X558" i="4"/>
  <c r="X557" i="4"/>
  <c r="X556" i="4"/>
  <c r="X555" i="4"/>
  <c r="X554" i="4"/>
  <c r="X553" i="4"/>
  <c r="X552" i="4"/>
  <c r="X551" i="4"/>
  <c r="X550" i="4"/>
  <c r="X549" i="4"/>
  <c r="X548" i="4"/>
  <c r="X547" i="4"/>
  <c r="X546" i="4"/>
  <c r="X545" i="4"/>
  <c r="X544" i="4"/>
  <c r="X543" i="4"/>
  <c r="X617" i="4"/>
  <c r="X604" i="4"/>
  <c r="X542" i="4"/>
  <c r="X538" i="4"/>
  <c r="X534" i="4"/>
  <c r="X531" i="4"/>
  <c r="X529" i="4"/>
  <c r="X527" i="4"/>
  <c r="X525" i="4"/>
  <c r="X523" i="4"/>
  <c r="X519" i="4"/>
  <c r="X515" i="4"/>
  <c r="X511" i="4"/>
  <c r="X507" i="4"/>
  <c r="X503" i="4"/>
  <c r="X404" i="4"/>
  <c r="X400" i="4"/>
  <c r="X396" i="4"/>
  <c r="X541" i="4"/>
  <c r="X537" i="4"/>
  <c r="X533" i="4"/>
  <c r="X520" i="4"/>
  <c r="X516" i="4"/>
  <c r="X512" i="4"/>
  <c r="X508" i="4"/>
  <c r="X504" i="4"/>
  <c r="X540" i="4"/>
  <c r="X536" i="4"/>
  <c r="X532" i="4"/>
  <c r="X530" i="4"/>
  <c r="X528" i="4"/>
  <c r="X526" i="4"/>
  <c r="X524" i="4"/>
  <c r="X521" i="4"/>
  <c r="X517" i="4"/>
  <c r="X513" i="4"/>
  <c r="X509" i="4"/>
  <c r="X505" i="4"/>
  <c r="X539" i="4"/>
  <c r="X535" i="4"/>
  <c r="X522" i="4"/>
  <c r="X518" i="4"/>
  <c r="X514" i="4"/>
  <c r="X510" i="4"/>
  <c r="X506" i="4"/>
  <c r="X502" i="4"/>
  <c r="X501" i="4"/>
  <c r="X500" i="4"/>
  <c r="X499" i="4"/>
  <c r="X498" i="4"/>
  <c r="X497" i="4"/>
  <c r="X496" i="4"/>
  <c r="X495" i="4"/>
  <c r="X494" i="4"/>
  <c r="X493" i="4"/>
  <c r="X492" i="4"/>
  <c r="X491" i="4"/>
  <c r="X490" i="4"/>
  <c r="X489" i="4"/>
  <c r="X488" i="4"/>
  <c r="X487" i="4"/>
  <c r="X486" i="4"/>
  <c r="X485" i="4"/>
  <c r="X484" i="4"/>
  <c r="X483" i="4"/>
  <c r="X482" i="4"/>
  <c r="X481" i="4"/>
  <c r="X480" i="4"/>
  <c r="X479" i="4"/>
  <c r="X478" i="4"/>
  <c r="X477" i="4"/>
  <c r="X476" i="4"/>
  <c r="X475" i="4"/>
  <c r="X474" i="4"/>
  <c r="X473" i="4"/>
  <c r="X472" i="4"/>
  <c r="X471" i="4"/>
  <c r="X470" i="4"/>
  <c r="X469" i="4"/>
  <c r="X468" i="4"/>
  <c r="X467" i="4"/>
  <c r="X466" i="4"/>
  <c r="X465" i="4"/>
  <c r="X464" i="4"/>
  <c r="X463" i="4"/>
  <c r="X462" i="4"/>
  <c r="X461" i="4"/>
  <c r="X460" i="4"/>
  <c r="X459" i="4"/>
  <c r="X458" i="4"/>
  <c r="X457" i="4"/>
  <c r="X456" i="4"/>
  <c r="X455" i="4"/>
  <c r="X454" i="4"/>
  <c r="X453" i="4"/>
  <c r="X452" i="4"/>
  <c r="X451" i="4"/>
  <c r="X450" i="4"/>
  <c r="X449" i="4"/>
  <c r="X448" i="4"/>
  <c r="X447" i="4"/>
  <c r="X446" i="4"/>
  <c r="X445" i="4"/>
  <c r="X441" i="4"/>
  <c r="X420" i="4"/>
  <c r="X416" i="4"/>
  <c r="X412" i="4"/>
  <c r="X408" i="4"/>
  <c r="X403" i="4"/>
  <c r="X401" i="4"/>
  <c r="X393" i="4"/>
  <c r="X388" i="4"/>
  <c r="X384" i="4"/>
  <c r="X380" i="4"/>
  <c r="X376" i="4"/>
  <c r="X444" i="4"/>
  <c r="X440" i="4"/>
  <c r="X438" i="4"/>
  <c r="X436" i="4"/>
  <c r="X434" i="4"/>
  <c r="X432" i="4"/>
  <c r="X430" i="4"/>
  <c r="X428" i="4"/>
  <c r="X426" i="4"/>
  <c r="X424" i="4"/>
  <c r="X421" i="4"/>
  <c r="X417" i="4"/>
  <c r="X413" i="4"/>
  <c r="X409" i="4"/>
  <c r="X406" i="4"/>
  <c r="X399" i="4"/>
  <c r="X397" i="4"/>
  <c r="X394" i="4"/>
  <c r="X389" i="4"/>
  <c r="X385" i="4"/>
  <c r="X381" i="4"/>
  <c r="X377" i="4"/>
  <c r="X375" i="4"/>
  <c r="X443" i="4"/>
  <c r="X422" i="4"/>
  <c r="X418" i="4"/>
  <c r="X414" i="4"/>
  <c r="X410" i="4"/>
  <c r="X402" i="4"/>
  <c r="X395" i="4"/>
  <c r="X390" i="4"/>
  <c r="X386" i="4"/>
  <c r="X382" i="4"/>
  <c r="X378" i="4"/>
  <c r="X442" i="4"/>
  <c r="X439" i="4"/>
  <c r="X437" i="4"/>
  <c r="X435" i="4"/>
  <c r="X433" i="4"/>
  <c r="X431" i="4"/>
  <c r="X429" i="4"/>
  <c r="X427" i="4"/>
  <c r="X425" i="4"/>
  <c r="X423" i="4"/>
  <c r="X419" i="4"/>
  <c r="X415" i="4"/>
  <c r="X411" i="4"/>
  <c r="X407" i="4"/>
  <c r="X405" i="4"/>
  <c r="X398" i="4"/>
  <c r="X392" i="4"/>
  <c r="X391" i="4"/>
  <c r="X387" i="4"/>
  <c r="X383" i="4"/>
  <c r="X379" i="4"/>
  <c r="AA664" i="4"/>
  <c r="AA660" i="4"/>
  <c r="AA663" i="4"/>
  <c r="AA665" i="4"/>
  <c r="AA662" i="4"/>
  <c r="AA661" i="4"/>
  <c r="AA599" i="4"/>
  <c r="AA591" i="4"/>
  <c r="AA373" i="4"/>
  <c r="AA372" i="4"/>
  <c r="AA375" i="4"/>
  <c r="AA374" i="4"/>
  <c r="AA600" i="4"/>
  <c r="AA592" i="4"/>
  <c r="AA376" i="4"/>
  <c r="AA377" i="4"/>
  <c r="AA601" i="4"/>
  <c r="AA593" i="4"/>
  <c r="AA602" i="4"/>
  <c r="AA378" i="4"/>
  <c r="AA594" i="4"/>
  <c r="AA379" i="4"/>
  <c r="AA595" i="4"/>
  <c r="AA380" i="4"/>
  <c r="AA596" i="4"/>
  <c r="AA381" i="4"/>
  <c r="AA597" i="4"/>
  <c r="AA382" i="4"/>
  <c r="AA598" i="4"/>
  <c r="AA383" i="4"/>
  <c r="AA384" i="4"/>
  <c r="AA385" i="4"/>
  <c r="AA386" i="4"/>
  <c r="AA387" i="4"/>
  <c r="AA388" i="4"/>
  <c r="AA389" i="4"/>
  <c r="AA390" i="4"/>
  <c r="AA391" i="4"/>
  <c r="AA392" i="4"/>
  <c r="AA393" i="4"/>
  <c r="AA394" i="4"/>
  <c r="AA395" i="4"/>
  <c r="AA396" i="4"/>
  <c r="AA397" i="4"/>
  <c r="AA398" i="4"/>
  <c r="AA399" i="4"/>
  <c r="AA400" i="4"/>
  <c r="AA401" i="4"/>
  <c r="AA402" i="4"/>
  <c r="AA403" i="4"/>
  <c r="AA404" i="4"/>
  <c r="AA405" i="4"/>
  <c r="AA406" i="4"/>
  <c r="AA407" i="4"/>
  <c r="AA408" i="4"/>
  <c r="AA409" i="4"/>
  <c r="AA410" i="4"/>
  <c r="AA411" i="4"/>
  <c r="AA412" i="4"/>
  <c r="AA413" i="4"/>
  <c r="AA414" i="4"/>
  <c r="AA415" i="4"/>
  <c r="AA416" i="4"/>
  <c r="AA417" i="4"/>
  <c r="AA418" i="4"/>
  <c r="AA419" i="4"/>
  <c r="AA420" i="4"/>
  <c r="AA421" i="4"/>
  <c r="AA422" i="4"/>
  <c r="AA423" i="4"/>
  <c r="AA424" i="4"/>
  <c r="AA425" i="4"/>
  <c r="AA426" i="4"/>
  <c r="AA427" i="4"/>
  <c r="AA428" i="4"/>
  <c r="F134" i="4"/>
  <c r="X133" i="4"/>
  <c r="B116" i="4"/>
  <c r="V115" i="4"/>
  <c r="K431" i="4"/>
  <c r="AA430" i="4"/>
  <c r="K118" i="4"/>
  <c r="AA117" i="4"/>
  <c r="G150" i="4"/>
  <c r="Y149" i="4"/>
  <c r="B428" i="4"/>
  <c r="V427" i="4"/>
  <c r="C14" i="6"/>
  <c r="B15" i="6"/>
  <c r="S14" i="6"/>
  <c r="R15" i="6"/>
  <c r="AA656" i="4" l="1"/>
  <c r="AA652" i="4"/>
  <c r="AA648" i="4"/>
  <c r="AA644" i="4"/>
  <c r="AA640" i="4"/>
  <c r="AA636" i="4"/>
  <c r="AA632" i="4"/>
  <c r="AA628" i="4"/>
  <c r="AA624" i="4"/>
  <c r="AA620" i="4"/>
  <c r="AA616" i="4"/>
  <c r="AA612" i="4"/>
  <c r="AA608" i="4"/>
  <c r="AA659" i="4"/>
  <c r="AA655" i="4"/>
  <c r="AA651" i="4"/>
  <c r="AA647" i="4"/>
  <c r="AA643" i="4"/>
  <c r="AA639" i="4"/>
  <c r="AA635" i="4"/>
  <c r="AA631" i="4"/>
  <c r="AA627" i="4"/>
  <c r="AA623" i="4"/>
  <c r="AA619" i="4"/>
  <c r="AA658" i="4"/>
  <c r="AA654" i="4"/>
  <c r="AA650" i="4"/>
  <c r="AA646" i="4"/>
  <c r="AA642" i="4"/>
  <c r="AA638" i="4"/>
  <c r="AA634" i="4"/>
  <c r="AA630" i="4"/>
  <c r="AA626" i="4"/>
  <c r="AA622" i="4"/>
  <c r="AA618" i="4"/>
  <c r="AA657" i="4"/>
  <c r="AA653" i="4"/>
  <c r="AA649" i="4"/>
  <c r="AA645" i="4"/>
  <c r="AA641" i="4"/>
  <c r="AA637" i="4"/>
  <c r="AA633" i="4"/>
  <c r="AA629" i="4"/>
  <c r="AA625" i="4"/>
  <c r="AA621" i="4"/>
  <c r="AA617" i="4"/>
  <c r="AA613" i="4"/>
  <c r="AA611" i="4"/>
  <c r="AA610" i="4"/>
  <c r="AA609" i="4"/>
  <c r="AA604" i="4"/>
  <c r="AA614" i="4"/>
  <c r="AA603" i="4"/>
  <c r="AA615" i="4"/>
  <c r="AA607" i="4"/>
  <c r="AA606" i="4"/>
  <c r="AA605" i="4"/>
  <c r="X647" i="4"/>
  <c r="X643" i="4"/>
  <c r="X639" i="4"/>
  <c r="X635" i="4"/>
  <c r="X650" i="4"/>
  <c r="X646" i="4"/>
  <c r="X642" i="4"/>
  <c r="X638" i="4"/>
  <c r="X649" i="4"/>
  <c r="X645" i="4"/>
  <c r="X641" i="4"/>
  <c r="X637" i="4"/>
  <c r="X648" i="4"/>
  <c r="X644" i="4"/>
  <c r="X640" i="4"/>
  <c r="X636" i="4"/>
  <c r="B429" i="4"/>
  <c r="V428" i="4"/>
  <c r="K119" i="4"/>
  <c r="AA118" i="4"/>
  <c r="B117" i="4"/>
  <c r="V116" i="4"/>
  <c r="G151" i="4"/>
  <c r="Y150" i="4"/>
  <c r="K432" i="4"/>
  <c r="AA431" i="4"/>
  <c r="F135" i="4"/>
  <c r="X134" i="4"/>
  <c r="C15" i="6"/>
  <c r="B16" i="6"/>
  <c r="S15" i="6"/>
  <c r="R16" i="6"/>
  <c r="AA717" i="4" l="1"/>
  <c r="AA715" i="4"/>
  <c r="AA713" i="4"/>
  <c r="AA711" i="4"/>
  <c r="AA709" i="4"/>
  <c r="AA707" i="4"/>
  <c r="AA705" i="4"/>
  <c r="AA703" i="4"/>
  <c r="AA701" i="4"/>
  <c r="AA699" i="4"/>
  <c r="AA697" i="4"/>
  <c r="AA695" i="4"/>
  <c r="AA693" i="4"/>
  <c r="AA691" i="4"/>
  <c r="AA689" i="4"/>
  <c r="AA687" i="4"/>
  <c r="AA685" i="4"/>
  <c r="AA683" i="4"/>
  <c r="AA718" i="4"/>
  <c r="AA716" i="4"/>
  <c r="AA714" i="4"/>
  <c r="AA712" i="4"/>
  <c r="AA710" i="4"/>
  <c r="AA708" i="4"/>
  <c r="AA706" i="4"/>
  <c r="AA704" i="4"/>
  <c r="AA702" i="4"/>
  <c r="AA700" i="4"/>
  <c r="AA698" i="4"/>
  <c r="AA696" i="4"/>
  <c r="AA694" i="4"/>
  <c r="AA692" i="4"/>
  <c r="AA690" i="4"/>
  <c r="AA688" i="4"/>
  <c r="AA686" i="4"/>
  <c r="AA682" i="4"/>
  <c r="AA681" i="4"/>
  <c r="AA680" i="4"/>
  <c r="AA679" i="4"/>
  <c r="AA678" i="4"/>
  <c r="AA677" i="4"/>
  <c r="AA676" i="4"/>
  <c r="AA675" i="4"/>
  <c r="AA674" i="4"/>
  <c r="AA673" i="4"/>
  <c r="AA672" i="4"/>
  <c r="AA671" i="4"/>
  <c r="AA670" i="4"/>
  <c r="AA669" i="4"/>
  <c r="AA668" i="4"/>
  <c r="AA684" i="4"/>
  <c r="X718" i="4"/>
  <c r="X716" i="4"/>
  <c r="X714" i="4"/>
  <c r="X712" i="4"/>
  <c r="X710" i="4"/>
  <c r="X708" i="4"/>
  <c r="X706" i="4"/>
  <c r="X704" i="4"/>
  <c r="X668" i="4"/>
  <c r="X717" i="4"/>
  <c r="X715" i="4"/>
  <c r="X713" i="4"/>
  <c r="X711" i="4"/>
  <c r="X709" i="4"/>
  <c r="X707" i="4"/>
  <c r="X705" i="4"/>
  <c r="X703" i="4"/>
  <c r="G152" i="4"/>
  <c r="Y151" i="4"/>
  <c r="K120" i="4"/>
  <c r="AA119" i="4"/>
  <c r="F136" i="4"/>
  <c r="X135" i="4"/>
  <c r="K433" i="4"/>
  <c r="AA432" i="4"/>
  <c r="B118" i="4"/>
  <c r="V117" i="4"/>
  <c r="B430" i="4"/>
  <c r="V429" i="4"/>
  <c r="C16" i="6"/>
  <c r="B17" i="6"/>
  <c r="S16" i="6"/>
  <c r="AA719" i="4" s="1"/>
  <c r="R17" i="6"/>
  <c r="X684" i="4" l="1"/>
  <c r="X682" i="4"/>
  <c r="X680" i="4"/>
  <c r="X678" i="4"/>
  <c r="X676" i="4"/>
  <c r="X674" i="4"/>
  <c r="X672" i="4"/>
  <c r="X670" i="4"/>
  <c r="X685" i="4"/>
  <c r="X683" i="4"/>
  <c r="X681" i="4"/>
  <c r="X679" i="4"/>
  <c r="X677" i="4"/>
  <c r="X675" i="4"/>
  <c r="X673" i="4"/>
  <c r="X671" i="4"/>
  <c r="X669" i="4"/>
  <c r="B431" i="4"/>
  <c r="V430" i="4"/>
  <c r="K434" i="4"/>
  <c r="AA433" i="4"/>
  <c r="K121" i="4"/>
  <c r="AA120" i="4"/>
  <c r="B119" i="4"/>
  <c r="V118" i="4"/>
  <c r="F137" i="4"/>
  <c r="X136" i="4"/>
  <c r="G153" i="4"/>
  <c r="Y152" i="4"/>
  <c r="C17" i="6"/>
  <c r="B18" i="6"/>
  <c r="S17" i="6"/>
  <c r="AA720" i="4" s="1"/>
  <c r="R18" i="6"/>
  <c r="X702" i="4" l="1"/>
  <c r="X700" i="4"/>
  <c r="X698" i="4"/>
  <c r="X696" i="4"/>
  <c r="X694" i="4"/>
  <c r="X692" i="4"/>
  <c r="X690" i="4"/>
  <c r="X688" i="4"/>
  <c r="X686" i="4"/>
  <c r="X701" i="4"/>
  <c r="X699" i="4"/>
  <c r="X697" i="4"/>
  <c r="X695" i="4"/>
  <c r="X693" i="4"/>
  <c r="X691" i="4"/>
  <c r="X689" i="4"/>
  <c r="X687" i="4"/>
  <c r="G154" i="4"/>
  <c r="Y153" i="4"/>
  <c r="B120" i="4"/>
  <c r="V119" i="4"/>
  <c r="K435" i="4"/>
  <c r="AA434" i="4"/>
  <c r="F138" i="4"/>
  <c r="X137" i="4"/>
  <c r="K122" i="4"/>
  <c r="AA121" i="4"/>
  <c r="B432" i="4"/>
  <c r="V431" i="4"/>
  <c r="C18" i="6"/>
  <c r="X719" i="4" s="1"/>
  <c r="B19" i="6"/>
  <c r="S18" i="6"/>
  <c r="R19" i="6"/>
  <c r="AA731" i="4" l="1"/>
  <c r="AA721" i="4"/>
  <c r="B433" i="4"/>
  <c r="V432" i="4"/>
  <c r="F139" i="4"/>
  <c r="X138" i="4"/>
  <c r="B121" i="4"/>
  <c r="V120" i="4"/>
  <c r="K123" i="4"/>
  <c r="AA122" i="4"/>
  <c r="K436" i="4"/>
  <c r="AA435" i="4"/>
  <c r="G155" i="4"/>
  <c r="Y154" i="4"/>
  <c r="C19" i="6"/>
  <c r="B20" i="6"/>
  <c r="S19" i="6"/>
  <c r="R20" i="6"/>
  <c r="AA732" i="4" l="1"/>
  <c r="AA722" i="4"/>
  <c r="G156" i="4"/>
  <c r="Y155" i="4"/>
  <c r="F140" i="4"/>
  <c r="X139" i="4"/>
  <c r="K124" i="4"/>
  <c r="AA123" i="4"/>
  <c r="K437" i="4"/>
  <c r="AA436" i="4"/>
  <c r="B122" i="4"/>
  <c r="V121" i="4"/>
  <c r="B434" i="4"/>
  <c r="V433" i="4"/>
  <c r="S20" i="6"/>
  <c r="R21" i="6"/>
  <c r="C20" i="6"/>
  <c r="B21" i="6"/>
  <c r="AA733" i="4" l="1"/>
  <c r="AA723" i="4"/>
  <c r="B435" i="4"/>
  <c r="V434" i="4"/>
  <c r="K438" i="4"/>
  <c r="AA437" i="4"/>
  <c r="F141" i="4"/>
  <c r="X140" i="4"/>
  <c r="B123" i="4"/>
  <c r="V122" i="4"/>
  <c r="K125" i="4"/>
  <c r="AA124" i="4"/>
  <c r="G157" i="4"/>
  <c r="Y156" i="4"/>
  <c r="S21" i="6"/>
  <c r="R22" i="6"/>
  <c r="C21" i="6"/>
  <c r="B22" i="6"/>
  <c r="AA734" i="4" l="1"/>
  <c r="AA724" i="4"/>
  <c r="G158" i="4"/>
  <c r="Y157" i="4"/>
  <c r="B124" i="4"/>
  <c r="V123" i="4"/>
  <c r="K439" i="4"/>
  <c r="AA438" i="4"/>
  <c r="K126" i="4"/>
  <c r="AA125" i="4"/>
  <c r="F142" i="4"/>
  <c r="X141" i="4"/>
  <c r="B436" i="4"/>
  <c r="V435" i="4"/>
  <c r="C22" i="6"/>
  <c r="B23" i="6"/>
  <c r="S22" i="6"/>
  <c r="AA725" i="4" s="1"/>
  <c r="R23" i="6"/>
  <c r="B437" i="4" l="1"/>
  <c r="V436" i="4"/>
  <c r="K127" i="4"/>
  <c r="AA126" i="4"/>
  <c r="B125" i="4"/>
  <c r="V124" i="4"/>
  <c r="F143" i="4"/>
  <c r="X142" i="4"/>
  <c r="K440" i="4"/>
  <c r="AA439" i="4"/>
  <c r="G159" i="4"/>
  <c r="Y158" i="4"/>
  <c r="S23" i="6"/>
  <c r="AA726" i="4" s="1"/>
  <c r="R24" i="6"/>
  <c r="C23" i="6"/>
  <c r="B24" i="6"/>
  <c r="G160" i="4" l="1"/>
  <c r="Y159" i="4"/>
  <c r="F144" i="4"/>
  <c r="X143" i="4"/>
  <c r="K128" i="4"/>
  <c r="AA127" i="4"/>
  <c r="K441" i="4"/>
  <c r="AA440" i="4"/>
  <c r="B126" i="4"/>
  <c r="V125" i="4"/>
  <c r="B438" i="4"/>
  <c r="V437" i="4"/>
  <c r="C24" i="6"/>
  <c r="B25" i="6"/>
  <c r="S24" i="6"/>
  <c r="AA727" i="4" s="1"/>
  <c r="R25" i="6"/>
  <c r="B439" i="4" l="1"/>
  <c r="V438" i="4"/>
  <c r="K442" i="4"/>
  <c r="AA441" i="4"/>
  <c r="F145" i="4"/>
  <c r="X144" i="4"/>
  <c r="B127" i="4"/>
  <c r="V126" i="4"/>
  <c r="K129" i="4"/>
  <c r="AA128" i="4"/>
  <c r="G161" i="4"/>
  <c r="Y160" i="4"/>
  <c r="C25" i="6"/>
  <c r="B26" i="6"/>
  <c r="S25" i="6"/>
  <c r="AA728" i="4" s="1"/>
  <c r="R26" i="6"/>
  <c r="G162" i="4" l="1"/>
  <c r="Y161" i="4"/>
  <c r="B128" i="4"/>
  <c r="V127" i="4"/>
  <c r="K443" i="4"/>
  <c r="AA442" i="4"/>
  <c r="K130" i="4"/>
  <c r="AA129" i="4"/>
  <c r="F146" i="4"/>
  <c r="X145" i="4"/>
  <c r="B440" i="4"/>
  <c r="V439" i="4"/>
  <c r="C26" i="6"/>
  <c r="B27" i="6"/>
  <c r="S26" i="6"/>
  <c r="AA729" i="4" s="1"/>
  <c r="R27" i="6"/>
  <c r="B441" i="4" l="1"/>
  <c r="V440" i="4"/>
  <c r="K131" i="4"/>
  <c r="AA130" i="4"/>
  <c r="B129" i="4"/>
  <c r="V128" i="4"/>
  <c r="F147" i="4"/>
  <c r="X146" i="4"/>
  <c r="K444" i="4"/>
  <c r="AA443" i="4"/>
  <c r="G163" i="4"/>
  <c r="Y162" i="4"/>
  <c r="S27" i="6"/>
  <c r="AA730" i="4" s="1"/>
  <c r="R28" i="6"/>
  <c r="C27" i="6"/>
  <c r="B28" i="6"/>
  <c r="C28" i="6" s="1"/>
  <c r="F148" i="4" l="1"/>
  <c r="X147" i="4"/>
  <c r="K132" i="4"/>
  <c r="AA131" i="4"/>
  <c r="G164" i="4"/>
  <c r="Y163" i="4"/>
  <c r="K445" i="4"/>
  <c r="AA444" i="4"/>
  <c r="B130" i="4"/>
  <c r="V129" i="4"/>
  <c r="B442" i="4"/>
  <c r="V441" i="4"/>
  <c r="S28" i="6"/>
  <c r="AA735" i="4" s="1"/>
  <c r="R29" i="6"/>
  <c r="B443" i="4" l="1"/>
  <c r="V442" i="4"/>
  <c r="K446" i="4"/>
  <c r="AA445" i="4"/>
  <c r="K133" i="4"/>
  <c r="AA132" i="4"/>
  <c r="B131" i="4"/>
  <c r="V130" i="4"/>
  <c r="G165" i="4"/>
  <c r="Y164" i="4"/>
  <c r="F149" i="4"/>
  <c r="X148" i="4"/>
  <c r="S29" i="6"/>
  <c r="AA736" i="4" s="1"/>
  <c r="R30" i="6"/>
  <c r="F150" i="4" l="1"/>
  <c r="X149" i="4"/>
  <c r="B132" i="4"/>
  <c r="V131" i="4"/>
  <c r="K447" i="4"/>
  <c r="AA446" i="4"/>
  <c r="G166" i="4"/>
  <c r="Y165" i="4"/>
  <c r="K134" i="4"/>
  <c r="AA133" i="4"/>
  <c r="B444" i="4"/>
  <c r="V443" i="4"/>
  <c r="S30" i="6"/>
  <c r="AA737" i="4" s="1"/>
  <c r="R31" i="6"/>
  <c r="B445" i="4" l="1"/>
  <c r="V444" i="4"/>
  <c r="G167" i="4"/>
  <c r="Y166" i="4"/>
  <c r="B133" i="4"/>
  <c r="V132" i="4"/>
  <c r="K135" i="4"/>
  <c r="AA134" i="4"/>
  <c r="K448" i="4"/>
  <c r="AA447" i="4"/>
  <c r="F151" i="4"/>
  <c r="X150" i="4"/>
  <c r="S31" i="6"/>
  <c r="AA738" i="4" s="1"/>
  <c r="R32" i="6"/>
  <c r="S32" i="6" s="1"/>
  <c r="AA739" i="4" s="1"/>
  <c r="K136" i="4" l="1"/>
  <c r="AA135" i="4"/>
  <c r="G168" i="4"/>
  <c r="Y167" i="4"/>
  <c r="F152" i="4"/>
  <c r="X151" i="4"/>
  <c r="K449" i="4"/>
  <c r="AA448" i="4"/>
  <c r="B134" i="4"/>
  <c r="V133" i="4"/>
  <c r="B446" i="4"/>
  <c r="V445" i="4"/>
  <c r="B447" i="4" l="1"/>
  <c r="V446" i="4"/>
  <c r="K450" i="4"/>
  <c r="AA449" i="4"/>
  <c r="G169" i="4"/>
  <c r="Y168" i="4"/>
  <c r="B135" i="4"/>
  <c r="V134" i="4"/>
  <c r="F153" i="4"/>
  <c r="X152" i="4"/>
  <c r="K137" i="4"/>
  <c r="AA136" i="4"/>
  <c r="K138" i="4" l="1"/>
  <c r="AA137" i="4"/>
  <c r="B136" i="4"/>
  <c r="V135" i="4"/>
  <c r="K451" i="4"/>
  <c r="AA450" i="4"/>
  <c r="F154" i="4"/>
  <c r="X153" i="4"/>
  <c r="G170" i="4"/>
  <c r="Y169" i="4"/>
  <c r="B448" i="4"/>
  <c r="V447" i="4"/>
  <c r="B449" i="4" l="1"/>
  <c r="V448" i="4"/>
  <c r="F155" i="4"/>
  <c r="X154" i="4"/>
  <c r="B137" i="4"/>
  <c r="V136" i="4"/>
  <c r="G171" i="4"/>
  <c r="Y170" i="4"/>
  <c r="K452" i="4"/>
  <c r="AA451" i="4"/>
  <c r="K139" i="4"/>
  <c r="AA138" i="4"/>
  <c r="G172" i="4" l="1"/>
  <c r="Y171" i="4"/>
  <c r="F156" i="4"/>
  <c r="X155" i="4"/>
  <c r="K140" i="4"/>
  <c r="AA139" i="4"/>
  <c r="K453" i="4"/>
  <c r="AA452" i="4"/>
  <c r="B138" i="4"/>
  <c r="V137" i="4"/>
  <c r="B450" i="4"/>
  <c r="V449" i="4"/>
  <c r="K454" i="4" l="1"/>
  <c r="AA453" i="4"/>
  <c r="F157" i="4"/>
  <c r="X156" i="4"/>
  <c r="B451" i="4"/>
  <c r="V450" i="4"/>
  <c r="B139" i="4"/>
  <c r="V138" i="4"/>
  <c r="K141" i="4"/>
  <c r="AA140" i="4"/>
  <c r="G173" i="4"/>
  <c r="Y172" i="4"/>
  <c r="G174" i="4" l="1"/>
  <c r="Y173" i="4"/>
  <c r="B140" i="4"/>
  <c r="V139" i="4"/>
  <c r="F158" i="4"/>
  <c r="X157" i="4"/>
  <c r="K142" i="4"/>
  <c r="AA141" i="4"/>
  <c r="B452" i="4"/>
  <c r="V451" i="4"/>
  <c r="K455" i="4"/>
  <c r="AA454" i="4"/>
  <c r="K456" i="4" l="1"/>
  <c r="AA455" i="4"/>
  <c r="K143" i="4"/>
  <c r="AA142" i="4"/>
  <c r="B141" i="4"/>
  <c r="V140" i="4"/>
  <c r="B453" i="4"/>
  <c r="V452" i="4"/>
  <c r="F159" i="4"/>
  <c r="X158" i="4"/>
  <c r="G175" i="4"/>
  <c r="Y174" i="4"/>
  <c r="G176" i="4" l="1"/>
  <c r="Y175" i="4"/>
  <c r="B454" i="4"/>
  <c r="V453" i="4"/>
  <c r="K144" i="4"/>
  <c r="AA143" i="4"/>
  <c r="F160" i="4"/>
  <c r="X159" i="4"/>
  <c r="B142" i="4"/>
  <c r="V141" i="4"/>
  <c r="K457" i="4"/>
  <c r="AA456" i="4"/>
  <c r="K458" i="4" l="1"/>
  <c r="AA457" i="4"/>
  <c r="F161" i="4"/>
  <c r="X160" i="4"/>
  <c r="B455" i="4"/>
  <c r="V454" i="4"/>
  <c r="B143" i="4"/>
  <c r="V142" i="4"/>
  <c r="K145" i="4"/>
  <c r="AA144" i="4"/>
  <c r="G177" i="4"/>
  <c r="Y176" i="4"/>
  <c r="G178" i="4" l="1"/>
  <c r="Y177" i="4"/>
  <c r="B144" i="4"/>
  <c r="V143" i="4"/>
  <c r="F162" i="4"/>
  <c r="X161" i="4"/>
  <c r="K146" i="4"/>
  <c r="AA145" i="4"/>
  <c r="B456" i="4"/>
  <c r="V455" i="4"/>
  <c r="K459" i="4"/>
  <c r="AA458" i="4"/>
  <c r="K460" i="4" l="1"/>
  <c r="AA459" i="4"/>
  <c r="K147" i="4"/>
  <c r="AA146" i="4"/>
  <c r="B145" i="4"/>
  <c r="V144" i="4"/>
  <c r="B457" i="4"/>
  <c r="V456" i="4"/>
  <c r="F163" i="4"/>
  <c r="X162" i="4"/>
  <c r="G179" i="4"/>
  <c r="Y178" i="4"/>
  <c r="G180" i="4" l="1"/>
  <c r="Y179" i="4"/>
  <c r="B458" i="4"/>
  <c r="V457" i="4"/>
  <c r="K148" i="4"/>
  <c r="AA147" i="4"/>
  <c r="F164" i="4"/>
  <c r="X163" i="4"/>
  <c r="B146" i="4"/>
  <c r="V145" i="4"/>
  <c r="K461" i="4"/>
  <c r="AA460" i="4"/>
  <c r="K462" i="4" l="1"/>
  <c r="AA461" i="4"/>
  <c r="F165" i="4"/>
  <c r="X164" i="4"/>
  <c r="B459" i="4"/>
  <c r="V458" i="4"/>
  <c r="B147" i="4"/>
  <c r="V146" i="4"/>
  <c r="K149" i="4"/>
  <c r="AA148" i="4"/>
  <c r="G181" i="4"/>
  <c r="Y180" i="4"/>
  <c r="G182" i="4" l="1"/>
  <c r="Y181" i="4"/>
  <c r="B148" i="4"/>
  <c r="V147" i="4"/>
  <c r="F166" i="4"/>
  <c r="X165" i="4"/>
  <c r="K150" i="4"/>
  <c r="AA149" i="4"/>
  <c r="B460" i="4"/>
  <c r="V459" i="4"/>
  <c r="K463" i="4"/>
  <c r="AA462" i="4"/>
  <c r="K464" i="4" l="1"/>
  <c r="AA463" i="4"/>
  <c r="K151" i="4"/>
  <c r="AA150" i="4"/>
  <c r="B149" i="4"/>
  <c r="V148" i="4"/>
  <c r="B461" i="4"/>
  <c r="V460" i="4"/>
  <c r="F167" i="4"/>
  <c r="X166" i="4"/>
  <c r="G183" i="4"/>
  <c r="Y182" i="4"/>
  <c r="G184" i="4" l="1"/>
  <c r="Y183" i="4"/>
  <c r="B462" i="4"/>
  <c r="V461" i="4"/>
  <c r="K152" i="4"/>
  <c r="AA151" i="4"/>
  <c r="F168" i="4"/>
  <c r="X167" i="4"/>
  <c r="B150" i="4"/>
  <c r="V149" i="4"/>
  <c r="K465" i="4"/>
  <c r="AA464" i="4"/>
  <c r="K466" i="4" l="1"/>
  <c r="AA465" i="4"/>
  <c r="F169" i="4"/>
  <c r="X168" i="4"/>
  <c r="B463" i="4"/>
  <c r="V462" i="4"/>
  <c r="B151" i="4"/>
  <c r="V150" i="4"/>
  <c r="K153" i="4"/>
  <c r="AA152" i="4"/>
  <c r="G185" i="4"/>
  <c r="Y184" i="4"/>
  <c r="G186" i="4" l="1"/>
  <c r="Y185" i="4"/>
  <c r="B152" i="4"/>
  <c r="V151" i="4"/>
  <c r="F170" i="4"/>
  <c r="X169" i="4"/>
  <c r="K154" i="4"/>
  <c r="AA153" i="4"/>
  <c r="B464" i="4"/>
  <c r="V463" i="4"/>
  <c r="K467" i="4"/>
  <c r="AA466" i="4"/>
  <c r="K468" i="4" l="1"/>
  <c r="AA467" i="4"/>
  <c r="K155" i="4"/>
  <c r="AA154" i="4"/>
  <c r="B153" i="4"/>
  <c r="V152" i="4"/>
  <c r="B465" i="4"/>
  <c r="V464" i="4"/>
  <c r="F171" i="4"/>
  <c r="X170" i="4"/>
  <c r="G187" i="4"/>
  <c r="Y186" i="4"/>
  <c r="G188" i="4" l="1"/>
  <c r="Y187" i="4"/>
  <c r="B466" i="4"/>
  <c r="V465" i="4"/>
  <c r="K156" i="4"/>
  <c r="AA155" i="4"/>
  <c r="F172" i="4"/>
  <c r="X171" i="4"/>
  <c r="B154" i="4"/>
  <c r="V153" i="4"/>
  <c r="K469" i="4"/>
  <c r="AA468" i="4"/>
  <c r="K470" i="4" l="1"/>
  <c r="AA469" i="4"/>
  <c r="F173" i="4"/>
  <c r="X172" i="4"/>
  <c r="B467" i="4"/>
  <c r="V466" i="4"/>
  <c r="B155" i="4"/>
  <c r="V154" i="4"/>
  <c r="K157" i="4"/>
  <c r="AA156" i="4"/>
  <c r="G189" i="4"/>
  <c r="Y188" i="4"/>
  <c r="G190" i="4" l="1"/>
  <c r="Y189" i="4"/>
  <c r="B156" i="4"/>
  <c r="V155" i="4"/>
  <c r="F174" i="4"/>
  <c r="X173" i="4"/>
  <c r="K158" i="4"/>
  <c r="AA157" i="4"/>
  <c r="B468" i="4"/>
  <c r="V467" i="4"/>
  <c r="K471" i="4"/>
  <c r="AA470" i="4"/>
  <c r="K472" i="4" l="1"/>
  <c r="AA471" i="4"/>
  <c r="K159" i="4"/>
  <c r="AA158" i="4"/>
  <c r="B157" i="4"/>
  <c r="V156" i="4"/>
  <c r="B469" i="4"/>
  <c r="V468" i="4"/>
  <c r="F175" i="4"/>
  <c r="X174" i="4"/>
  <c r="G191" i="4"/>
  <c r="Y190" i="4"/>
  <c r="G192" i="4" l="1"/>
  <c r="Y191" i="4"/>
  <c r="B470" i="4"/>
  <c r="V469" i="4"/>
  <c r="K160" i="4"/>
  <c r="AA159" i="4"/>
  <c r="F176" i="4"/>
  <c r="X175" i="4"/>
  <c r="B158" i="4"/>
  <c r="V157" i="4"/>
  <c r="K473" i="4"/>
  <c r="AA472" i="4"/>
  <c r="K474" i="4" l="1"/>
  <c r="AA473" i="4"/>
  <c r="F177" i="4"/>
  <c r="X176" i="4"/>
  <c r="B471" i="4"/>
  <c r="V470" i="4"/>
  <c r="B159" i="4"/>
  <c r="V158" i="4"/>
  <c r="K161" i="4"/>
  <c r="AA160" i="4"/>
  <c r="G193" i="4"/>
  <c r="Y192" i="4"/>
  <c r="B160" i="4" l="1"/>
  <c r="V159" i="4"/>
  <c r="F178" i="4"/>
  <c r="X177" i="4"/>
  <c r="G194" i="4"/>
  <c r="Y193" i="4"/>
  <c r="K162" i="4"/>
  <c r="AA161" i="4"/>
  <c r="B472" i="4"/>
  <c r="V471" i="4"/>
  <c r="K475" i="4"/>
  <c r="AA474" i="4"/>
  <c r="K476" i="4" l="1"/>
  <c r="AA475" i="4"/>
  <c r="K163" i="4"/>
  <c r="AA162" i="4"/>
  <c r="F179" i="4"/>
  <c r="X178" i="4"/>
  <c r="B473" i="4"/>
  <c r="V472" i="4"/>
  <c r="G195" i="4"/>
  <c r="Y194" i="4"/>
  <c r="B161" i="4"/>
  <c r="V160" i="4"/>
  <c r="B162" i="4" l="1"/>
  <c r="V161" i="4"/>
  <c r="B474" i="4"/>
  <c r="V473" i="4"/>
  <c r="K164" i="4"/>
  <c r="AA163" i="4"/>
  <c r="G196" i="4"/>
  <c r="Y195" i="4"/>
  <c r="F180" i="4"/>
  <c r="X179" i="4"/>
  <c r="K477" i="4"/>
  <c r="AA476" i="4"/>
  <c r="K478" i="4" l="1"/>
  <c r="AA477" i="4"/>
  <c r="G197" i="4"/>
  <c r="Y196" i="4"/>
  <c r="B475" i="4"/>
  <c r="V474" i="4"/>
  <c r="F181" i="4"/>
  <c r="X180" i="4"/>
  <c r="K165" i="4"/>
  <c r="AA164" i="4"/>
  <c r="B163" i="4"/>
  <c r="V162" i="4"/>
  <c r="B164" i="4" l="1"/>
  <c r="V163" i="4"/>
  <c r="F182" i="4"/>
  <c r="X181" i="4"/>
  <c r="G198" i="4"/>
  <c r="Y197" i="4"/>
  <c r="K166" i="4"/>
  <c r="AA165" i="4"/>
  <c r="B476" i="4"/>
  <c r="V475" i="4"/>
  <c r="K479" i="4"/>
  <c r="AA478" i="4"/>
  <c r="K167" i="4" l="1"/>
  <c r="AA166" i="4"/>
  <c r="K480" i="4"/>
  <c r="AA479" i="4"/>
  <c r="F183" i="4"/>
  <c r="X182" i="4"/>
  <c r="B477" i="4"/>
  <c r="V476" i="4"/>
  <c r="G199" i="4"/>
  <c r="Y198" i="4"/>
  <c r="B165" i="4"/>
  <c r="V164" i="4"/>
  <c r="K481" i="4" l="1"/>
  <c r="AA480" i="4"/>
  <c r="B166" i="4"/>
  <c r="V165" i="4"/>
  <c r="B478" i="4"/>
  <c r="V477" i="4"/>
  <c r="G200" i="4"/>
  <c r="Y199" i="4"/>
  <c r="F184" i="4"/>
  <c r="X183" i="4"/>
  <c r="K168" i="4"/>
  <c r="AA167" i="4"/>
  <c r="K169" i="4" l="1"/>
  <c r="AA168" i="4"/>
  <c r="G201" i="4"/>
  <c r="Y200" i="4"/>
  <c r="B167" i="4"/>
  <c r="V166" i="4"/>
  <c r="F185" i="4"/>
  <c r="X184" i="4"/>
  <c r="B479" i="4"/>
  <c r="V478" i="4"/>
  <c r="K482" i="4"/>
  <c r="AA481" i="4"/>
  <c r="K483" i="4" l="1"/>
  <c r="AA482" i="4"/>
  <c r="G202" i="4"/>
  <c r="Y201" i="4"/>
  <c r="F186" i="4"/>
  <c r="X185" i="4"/>
  <c r="B480" i="4"/>
  <c r="V479" i="4"/>
  <c r="B168" i="4"/>
  <c r="V167" i="4"/>
  <c r="K170" i="4"/>
  <c r="AA169" i="4"/>
  <c r="K171" i="4" l="1"/>
  <c r="AA170" i="4"/>
  <c r="B481" i="4"/>
  <c r="V480" i="4"/>
  <c r="G203" i="4"/>
  <c r="Y202" i="4"/>
  <c r="B169" i="4"/>
  <c r="V168" i="4"/>
  <c r="F187" i="4"/>
  <c r="X186" i="4"/>
  <c r="K484" i="4"/>
  <c r="AA483" i="4"/>
  <c r="K485" i="4" l="1"/>
  <c r="AA484" i="4"/>
  <c r="B170" i="4"/>
  <c r="V169" i="4"/>
  <c r="B482" i="4"/>
  <c r="V481" i="4"/>
  <c r="F188" i="4"/>
  <c r="X187" i="4"/>
  <c r="G204" i="4"/>
  <c r="Y203" i="4"/>
  <c r="K172" i="4"/>
  <c r="AA171" i="4"/>
  <c r="K173" i="4" l="1"/>
  <c r="AA172" i="4"/>
  <c r="B171" i="4"/>
  <c r="V170" i="4"/>
  <c r="F189" i="4"/>
  <c r="X188" i="4"/>
  <c r="G205" i="4"/>
  <c r="Y204" i="4"/>
  <c r="B483" i="4"/>
  <c r="V482" i="4"/>
  <c r="K486" i="4"/>
  <c r="AA485" i="4"/>
  <c r="G206" i="4" l="1"/>
  <c r="Y205" i="4"/>
  <c r="B172" i="4"/>
  <c r="V171" i="4"/>
  <c r="K487" i="4"/>
  <c r="AA486" i="4"/>
  <c r="B484" i="4"/>
  <c r="V483" i="4"/>
  <c r="F190" i="4"/>
  <c r="X189" i="4"/>
  <c r="K174" i="4"/>
  <c r="AA173" i="4"/>
  <c r="K175" i="4" l="1"/>
  <c r="AA174" i="4"/>
  <c r="B485" i="4"/>
  <c r="V484" i="4"/>
  <c r="B173" i="4"/>
  <c r="V172" i="4"/>
  <c r="F191" i="4"/>
  <c r="X190" i="4"/>
  <c r="K488" i="4"/>
  <c r="AA487" i="4"/>
  <c r="G207" i="4"/>
  <c r="Y206" i="4"/>
  <c r="F192" i="4" l="1"/>
  <c r="X191" i="4"/>
  <c r="B486" i="4"/>
  <c r="V485" i="4"/>
  <c r="G208" i="4"/>
  <c r="Y207" i="4"/>
  <c r="K489" i="4"/>
  <c r="AA488" i="4"/>
  <c r="B174" i="4"/>
  <c r="V173" i="4"/>
  <c r="K176" i="4"/>
  <c r="AA175" i="4"/>
  <c r="K177" i="4" l="1"/>
  <c r="AA176" i="4"/>
  <c r="K490" i="4"/>
  <c r="AA489" i="4"/>
  <c r="B487" i="4"/>
  <c r="V486" i="4"/>
  <c r="B175" i="4"/>
  <c r="V174" i="4"/>
  <c r="G209" i="4"/>
  <c r="Y208" i="4"/>
  <c r="F193" i="4"/>
  <c r="X192" i="4"/>
  <c r="F194" i="4" l="1"/>
  <c r="X193" i="4"/>
  <c r="K491" i="4"/>
  <c r="AA490" i="4"/>
  <c r="B176" i="4"/>
  <c r="V175" i="4"/>
  <c r="G210" i="4"/>
  <c r="Y209" i="4"/>
  <c r="B488" i="4"/>
  <c r="V487" i="4"/>
  <c r="K178" i="4"/>
  <c r="AA177" i="4"/>
  <c r="K492" i="4" l="1"/>
  <c r="AA491" i="4"/>
  <c r="G211" i="4"/>
  <c r="Y210" i="4"/>
  <c r="K179" i="4"/>
  <c r="AA178" i="4"/>
  <c r="B489" i="4"/>
  <c r="V488" i="4"/>
  <c r="B177" i="4"/>
  <c r="V176" i="4"/>
  <c r="F195" i="4"/>
  <c r="X194" i="4"/>
  <c r="F196" i="4" l="1"/>
  <c r="X195" i="4"/>
  <c r="B490" i="4"/>
  <c r="V489" i="4"/>
  <c r="G212" i="4"/>
  <c r="Y211" i="4"/>
  <c r="B178" i="4"/>
  <c r="V177" i="4"/>
  <c r="K180" i="4"/>
  <c r="AA179" i="4"/>
  <c r="K493" i="4"/>
  <c r="AA492" i="4"/>
  <c r="K494" i="4" l="1"/>
  <c r="AA493" i="4"/>
  <c r="B179" i="4"/>
  <c r="V178" i="4"/>
  <c r="B491" i="4"/>
  <c r="V490" i="4"/>
  <c r="K181" i="4"/>
  <c r="AA180" i="4"/>
  <c r="G213" i="4"/>
  <c r="Y212" i="4"/>
  <c r="F197" i="4"/>
  <c r="X196" i="4"/>
  <c r="K182" i="4" l="1"/>
  <c r="AA181" i="4"/>
  <c r="B180" i="4"/>
  <c r="V179" i="4"/>
  <c r="F198" i="4"/>
  <c r="X197" i="4"/>
  <c r="G214" i="4"/>
  <c r="Y213" i="4"/>
  <c r="B492" i="4"/>
  <c r="V491" i="4"/>
  <c r="K495" i="4"/>
  <c r="AA494" i="4"/>
  <c r="K496" i="4" l="1"/>
  <c r="AA495" i="4"/>
  <c r="G215" i="4"/>
  <c r="Y214" i="4"/>
  <c r="B181" i="4"/>
  <c r="V180" i="4"/>
  <c r="B493" i="4"/>
  <c r="V492" i="4"/>
  <c r="F199" i="4"/>
  <c r="X198" i="4"/>
  <c r="K183" i="4"/>
  <c r="AA182" i="4"/>
  <c r="K184" i="4" l="1"/>
  <c r="AA183" i="4"/>
  <c r="B494" i="4"/>
  <c r="V493" i="4"/>
  <c r="G216" i="4"/>
  <c r="Y215" i="4"/>
  <c r="F200" i="4"/>
  <c r="X199" i="4"/>
  <c r="B182" i="4"/>
  <c r="V181" i="4"/>
  <c r="K497" i="4"/>
  <c r="AA496" i="4"/>
  <c r="F201" i="4" l="1"/>
  <c r="X200" i="4"/>
  <c r="B495" i="4"/>
  <c r="V494" i="4"/>
  <c r="K498" i="4"/>
  <c r="AA497" i="4"/>
  <c r="B183" i="4"/>
  <c r="V182" i="4"/>
  <c r="G217" i="4"/>
  <c r="Y216" i="4"/>
  <c r="K185" i="4"/>
  <c r="AA184" i="4"/>
  <c r="K186" i="4" l="1"/>
  <c r="AA185" i="4"/>
  <c r="B184" i="4"/>
  <c r="V183" i="4"/>
  <c r="B496" i="4"/>
  <c r="V495" i="4"/>
  <c r="G218" i="4"/>
  <c r="Y217" i="4"/>
  <c r="K499" i="4"/>
  <c r="AA498" i="4"/>
  <c r="F202" i="4"/>
  <c r="X201" i="4"/>
  <c r="F203" i="4" l="1"/>
  <c r="X202" i="4"/>
  <c r="G219" i="4"/>
  <c r="Y218" i="4"/>
  <c r="B185" i="4"/>
  <c r="V184" i="4"/>
  <c r="K500" i="4"/>
  <c r="AA499" i="4"/>
  <c r="B497" i="4"/>
  <c r="V496" i="4"/>
  <c r="K187" i="4"/>
  <c r="AA186" i="4"/>
  <c r="K501" i="4" l="1"/>
  <c r="AA500" i="4"/>
  <c r="K188" i="4"/>
  <c r="AA187" i="4"/>
  <c r="G220" i="4"/>
  <c r="Y219" i="4"/>
  <c r="B498" i="4"/>
  <c r="V497" i="4"/>
  <c r="B186" i="4"/>
  <c r="V185" i="4"/>
  <c r="F204" i="4"/>
  <c r="X203" i="4"/>
  <c r="F205" i="4" l="1"/>
  <c r="X204" i="4"/>
  <c r="B499" i="4"/>
  <c r="V498" i="4"/>
  <c r="K189" i="4"/>
  <c r="AA188" i="4"/>
  <c r="B187" i="4"/>
  <c r="V186" i="4"/>
  <c r="G221" i="4"/>
  <c r="Y220" i="4"/>
  <c r="K502" i="4"/>
  <c r="AA501" i="4"/>
  <c r="K503" i="4" l="1"/>
  <c r="AA502" i="4"/>
  <c r="B188" i="4"/>
  <c r="V187" i="4"/>
  <c r="B500" i="4"/>
  <c r="V499" i="4"/>
  <c r="G222" i="4"/>
  <c r="Y221" i="4"/>
  <c r="K190" i="4"/>
  <c r="AA189" i="4"/>
  <c r="F206" i="4"/>
  <c r="X205" i="4"/>
  <c r="F207" i="4" l="1"/>
  <c r="X206" i="4"/>
  <c r="G223" i="4"/>
  <c r="Y222" i="4"/>
  <c r="B189" i="4"/>
  <c r="V188" i="4"/>
  <c r="K191" i="4"/>
  <c r="AA190" i="4"/>
  <c r="B501" i="4"/>
  <c r="V500" i="4"/>
  <c r="K504" i="4"/>
  <c r="AA503" i="4"/>
  <c r="K505" i="4" l="1"/>
  <c r="AA504" i="4"/>
  <c r="G224" i="4"/>
  <c r="Y223" i="4"/>
  <c r="K192" i="4"/>
  <c r="AA191" i="4"/>
  <c r="B502" i="4"/>
  <c r="V501" i="4"/>
  <c r="B190" i="4"/>
  <c r="V189" i="4"/>
  <c r="F208" i="4"/>
  <c r="X207" i="4"/>
  <c r="F209" i="4" l="1"/>
  <c r="X208" i="4"/>
  <c r="B503" i="4"/>
  <c r="V502" i="4"/>
  <c r="G225" i="4"/>
  <c r="Y224" i="4"/>
  <c r="B191" i="4"/>
  <c r="V190" i="4"/>
  <c r="K193" i="4"/>
  <c r="AA192" i="4"/>
  <c r="K506" i="4"/>
  <c r="AA505" i="4"/>
  <c r="K507" i="4" l="1"/>
  <c r="AA506" i="4"/>
  <c r="B192" i="4"/>
  <c r="V191" i="4"/>
  <c r="B504" i="4"/>
  <c r="V503" i="4"/>
  <c r="K194" i="4"/>
  <c r="AA193" i="4"/>
  <c r="G226" i="4"/>
  <c r="Y225" i="4"/>
  <c r="F210" i="4"/>
  <c r="X209" i="4"/>
  <c r="F211" i="4" l="1"/>
  <c r="X210" i="4"/>
  <c r="K195" i="4"/>
  <c r="AA194" i="4"/>
  <c r="B193" i="4"/>
  <c r="V192" i="4"/>
  <c r="G227" i="4"/>
  <c r="Y226" i="4"/>
  <c r="B505" i="4"/>
  <c r="V504" i="4"/>
  <c r="K508" i="4"/>
  <c r="AA507" i="4"/>
  <c r="K196" i="4" l="1"/>
  <c r="AA195" i="4"/>
  <c r="G228" i="4"/>
  <c r="Y227" i="4"/>
  <c r="K509" i="4"/>
  <c r="AA508" i="4"/>
  <c r="B506" i="4"/>
  <c r="V505" i="4"/>
  <c r="B194" i="4"/>
  <c r="V193" i="4"/>
  <c r="F212" i="4"/>
  <c r="X211" i="4"/>
  <c r="F213" i="4" l="1"/>
  <c r="X212" i="4"/>
  <c r="B507" i="4"/>
  <c r="V506" i="4"/>
  <c r="G229" i="4"/>
  <c r="Y228" i="4"/>
  <c r="B195" i="4"/>
  <c r="V194" i="4"/>
  <c r="K510" i="4"/>
  <c r="AA509" i="4"/>
  <c r="K197" i="4"/>
  <c r="AA196" i="4"/>
  <c r="K198" i="4" l="1"/>
  <c r="AA197" i="4"/>
  <c r="B196" i="4"/>
  <c r="V195" i="4"/>
  <c r="B508" i="4"/>
  <c r="V507" i="4"/>
  <c r="K511" i="4"/>
  <c r="AA510" i="4"/>
  <c r="G230" i="4"/>
  <c r="Y229" i="4"/>
  <c r="F214" i="4"/>
  <c r="X213" i="4"/>
  <c r="K512" i="4" l="1"/>
  <c r="AA511" i="4"/>
  <c r="B197" i="4"/>
  <c r="V196" i="4"/>
  <c r="F215" i="4"/>
  <c r="X214" i="4"/>
  <c r="G231" i="4"/>
  <c r="Y230" i="4"/>
  <c r="B509" i="4"/>
  <c r="V508" i="4"/>
  <c r="K199" i="4"/>
  <c r="AA198" i="4"/>
  <c r="G232" i="4" l="1"/>
  <c r="Y231" i="4"/>
  <c r="B198" i="4"/>
  <c r="V197" i="4"/>
  <c r="K200" i="4"/>
  <c r="AA199" i="4"/>
  <c r="B510" i="4"/>
  <c r="V509" i="4"/>
  <c r="F216" i="4"/>
  <c r="X215" i="4"/>
  <c r="K513" i="4"/>
  <c r="AA512" i="4"/>
  <c r="K514" i="4" l="1"/>
  <c r="AA513" i="4"/>
  <c r="B511" i="4"/>
  <c r="V510" i="4"/>
  <c r="B199" i="4"/>
  <c r="V198" i="4"/>
  <c r="F217" i="4"/>
  <c r="X216" i="4"/>
  <c r="K201" i="4"/>
  <c r="AA200" i="4"/>
  <c r="G233" i="4"/>
  <c r="Y232" i="4"/>
  <c r="G234" i="4" l="1"/>
  <c r="Y233" i="4"/>
  <c r="F218" i="4"/>
  <c r="X217" i="4"/>
  <c r="B512" i="4"/>
  <c r="V511" i="4"/>
  <c r="K202" i="4"/>
  <c r="AA201" i="4"/>
  <c r="B200" i="4"/>
  <c r="V199" i="4"/>
  <c r="K515" i="4"/>
  <c r="AA514" i="4"/>
  <c r="F219" i="4" l="1"/>
  <c r="X218" i="4"/>
  <c r="K516" i="4"/>
  <c r="AA515" i="4"/>
  <c r="K203" i="4"/>
  <c r="AA202" i="4"/>
  <c r="B201" i="4"/>
  <c r="V200" i="4"/>
  <c r="B513" i="4"/>
  <c r="V512" i="4"/>
  <c r="G235" i="4"/>
  <c r="Y234" i="4"/>
  <c r="B202" i="4" l="1"/>
  <c r="V201" i="4"/>
  <c r="K517" i="4"/>
  <c r="AA516" i="4"/>
  <c r="G236" i="4"/>
  <c r="Y235" i="4"/>
  <c r="B514" i="4"/>
  <c r="V513" i="4"/>
  <c r="K204" i="4"/>
  <c r="AA203" i="4"/>
  <c r="F220" i="4"/>
  <c r="X219" i="4"/>
  <c r="F221" i="4" l="1"/>
  <c r="X220" i="4"/>
  <c r="K518" i="4"/>
  <c r="AA517" i="4"/>
  <c r="B515" i="4"/>
  <c r="V514" i="4"/>
  <c r="K205" i="4"/>
  <c r="AA204" i="4"/>
  <c r="G237" i="4"/>
  <c r="Y236" i="4"/>
  <c r="B203" i="4"/>
  <c r="V202" i="4"/>
  <c r="K206" i="4" l="1"/>
  <c r="AA205" i="4"/>
  <c r="K519" i="4"/>
  <c r="AA518" i="4"/>
  <c r="B204" i="4"/>
  <c r="V203" i="4"/>
  <c r="G238" i="4"/>
  <c r="Y237" i="4"/>
  <c r="B516" i="4"/>
  <c r="V515" i="4"/>
  <c r="F222" i="4"/>
  <c r="X221" i="4"/>
  <c r="G239" i="4" l="1"/>
  <c r="Y238" i="4"/>
  <c r="F223" i="4"/>
  <c r="X222" i="4"/>
  <c r="K520" i="4"/>
  <c r="AA519" i="4"/>
  <c r="B517" i="4"/>
  <c r="V516" i="4"/>
  <c r="B205" i="4"/>
  <c r="V204" i="4"/>
  <c r="K207" i="4"/>
  <c r="AA206" i="4"/>
  <c r="K208" i="4" l="1"/>
  <c r="AA207" i="4"/>
  <c r="B518" i="4"/>
  <c r="V517" i="4"/>
  <c r="F224" i="4"/>
  <c r="X223" i="4"/>
  <c r="B206" i="4"/>
  <c r="V205" i="4"/>
  <c r="K521" i="4"/>
  <c r="AA520" i="4"/>
  <c r="G240" i="4"/>
  <c r="Y239" i="4"/>
  <c r="G241" i="4" l="1"/>
  <c r="Y240" i="4"/>
  <c r="B207" i="4"/>
  <c r="V206" i="4"/>
  <c r="B519" i="4"/>
  <c r="V518" i="4"/>
  <c r="K522" i="4"/>
  <c r="AA521" i="4"/>
  <c r="F225" i="4"/>
  <c r="X224" i="4"/>
  <c r="K209" i="4"/>
  <c r="AA208" i="4"/>
  <c r="K523" i="4" l="1"/>
  <c r="AA522" i="4"/>
  <c r="B208" i="4"/>
  <c r="V207" i="4"/>
  <c r="K210" i="4"/>
  <c r="AA209" i="4"/>
  <c r="F226" i="4"/>
  <c r="X225" i="4"/>
  <c r="B520" i="4"/>
  <c r="V519" i="4"/>
  <c r="G242" i="4"/>
  <c r="Y241" i="4"/>
  <c r="G243" i="4" l="1"/>
  <c r="Y242" i="4"/>
  <c r="F227" i="4"/>
  <c r="X226" i="4"/>
  <c r="B209" i="4"/>
  <c r="V208" i="4"/>
  <c r="B521" i="4"/>
  <c r="V520" i="4"/>
  <c r="K211" i="4"/>
  <c r="AA210" i="4"/>
  <c r="K524" i="4"/>
  <c r="AA523" i="4"/>
  <c r="K525" i="4" l="1"/>
  <c r="AA524" i="4"/>
  <c r="B522" i="4"/>
  <c r="V521" i="4"/>
  <c r="F228" i="4"/>
  <c r="X227" i="4"/>
  <c r="K212" i="4"/>
  <c r="AA211" i="4"/>
  <c r="B210" i="4"/>
  <c r="V209" i="4"/>
  <c r="G244" i="4"/>
  <c r="Y243" i="4"/>
  <c r="G245" i="4" l="1"/>
  <c r="Y244" i="4"/>
  <c r="K213" i="4"/>
  <c r="AA212" i="4"/>
  <c r="B523" i="4"/>
  <c r="V522" i="4"/>
  <c r="B211" i="4"/>
  <c r="V210" i="4"/>
  <c r="F229" i="4"/>
  <c r="X228" i="4"/>
  <c r="K526" i="4"/>
  <c r="AA525" i="4"/>
  <c r="K214" i="4" l="1"/>
  <c r="AA213" i="4"/>
  <c r="K527" i="4"/>
  <c r="AA526" i="4"/>
  <c r="B212" i="4"/>
  <c r="V211" i="4"/>
  <c r="F230" i="4"/>
  <c r="X229" i="4"/>
  <c r="B524" i="4"/>
  <c r="V523" i="4"/>
  <c r="G246" i="4"/>
  <c r="Y245" i="4"/>
  <c r="G247" i="4" l="1"/>
  <c r="Y246" i="4"/>
  <c r="K528" i="4"/>
  <c r="AA527" i="4"/>
  <c r="F231" i="4"/>
  <c r="X230" i="4"/>
  <c r="B525" i="4"/>
  <c r="V524" i="4"/>
  <c r="B213" i="4"/>
  <c r="V212" i="4"/>
  <c r="K215" i="4"/>
  <c r="AA214" i="4"/>
  <c r="K529" i="4" l="1"/>
  <c r="AA528" i="4"/>
  <c r="K216" i="4"/>
  <c r="AA215" i="4"/>
  <c r="B526" i="4"/>
  <c r="V525" i="4"/>
  <c r="B214" i="4"/>
  <c r="V213" i="4"/>
  <c r="F232" i="4"/>
  <c r="X231" i="4"/>
  <c r="G248" i="4"/>
  <c r="Y247" i="4"/>
  <c r="G249" i="4" l="1"/>
  <c r="Y248" i="4"/>
  <c r="B215" i="4"/>
  <c r="V214" i="4"/>
  <c r="K217" i="4"/>
  <c r="AA216" i="4"/>
  <c r="F233" i="4"/>
  <c r="X232" i="4"/>
  <c r="B527" i="4"/>
  <c r="V526" i="4"/>
  <c r="K530" i="4"/>
  <c r="AA529" i="4"/>
  <c r="K531" i="4" l="1"/>
  <c r="AA530" i="4"/>
  <c r="F234" i="4"/>
  <c r="X233" i="4"/>
  <c r="B216" i="4"/>
  <c r="V215" i="4"/>
  <c r="B528" i="4"/>
  <c r="V527" i="4"/>
  <c r="K218" i="4"/>
  <c r="AA217" i="4"/>
  <c r="G250" i="4"/>
  <c r="Y249" i="4"/>
  <c r="B529" i="4" l="1"/>
  <c r="V528" i="4"/>
  <c r="F235" i="4"/>
  <c r="X234" i="4"/>
  <c r="G251" i="4"/>
  <c r="Y250" i="4"/>
  <c r="K219" i="4"/>
  <c r="AA218" i="4"/>
  <c r="B217" i="4"/>
  <c r="V216" i="4"/>
  <c r="K532" i="4"/>
  <c r="AA531" i="4"/>
  <c r="K533" i="4" l="1"/>
  <c r="AA532" i="4"/>
  <c r="K220" i="4"/>
  <c r="AA219" i="4"/>
  <c r="F236" i="4"/>
  <c r="X235" i="4"/>
  <c r="B218" i="4"/>
  <c r="V217" i="4"/>
  <c r="G252" i="4"/>
  <c r="Y251" i="4"/>
  <c r="B530" i="4"/>
  <c r="V529" i="4"/>
  <c r="B531" i="4" l="1"/>
  <c r="V530" i="4"/>
  <c r="B219" i="4"/>
  <c r="V218" i="4"/>
  <c r="K221" i="4"/>
  <c r="AA220" i="4"/>
  <c r="G253" i="4"/>
  <c r="Y252" i="4"/>
  <c r="F237" i="4"/>
  <c r="X236" i="4"/>
  <c r="K534" i="4"/>
  <c r="AA533" i="4"/>
  <c r="K535" i="4" l="1"/>
  <c r="AA534" i="4"/>
  <c r="G254" i="4"/>
  <c r="Y253" i="4"/>
  <c r="B220" i="4"/>
  <c r="V219" i="4"/>
  <c r="F238" i="4"/>
  <c r="X237" i="4"/>
  <c r="K222" i="4"/>
  <c r="AA221" i="4"/>
  <c r="B532" i="4"/>
  <c r="V531" i="4"/>
  <c r="B533" i="4" l="1"/>
  <c r="V532" i="4"/>
  <c r="F239" i="4"/>
  <c r="X238" i="4"/>
  <c r="G255" i="4"/>
  <c r="Y254" i="4"/>
  <c r="K223" i="4"/>
  <c r="AA222" i="4"/>
  <c r="B221" i="4"/>
  <c r="V220" i="4"/>
  <c r="K536" i="4"/>
  <c r="AA535" i="4"/>
  <c r="K537" i="4" l="1"/>
  <c r="AA536" i="4"/>
  <c r="K224" i="4"/>
  <c r="AA223" i="4"/>
  <c r="F240" i="4"/>
  <c r="X239" i="4"/>
  <c r="B222" i="4"/>
  <c r="V221" i="4"/>
  <c r="G256" i="4"/>
  <c r="Y255" i="4"/>
  <c r="B534" i="4"/>
  <c r="V533" i="4"/>
  <c r="B535" i="4" l="1"/>
  <c r="V534" i="4"/>
  <c r="B223" i="4"/>
  <c r="V222" i="4"/>
  <c r="K225" i="4"/>
  <c r="AA224" i="4"/>
  <c r="G257" i="4"/>
  <c r="Y256" i="4"/>
  <c r="F241" i="4"/>
  <c r="X240" i="4"/>
  <c r="K538" i="4"/>
  <c r="AA537" i="4"/>
  <c r="K539" i="4" l="1"/>
  <c r="AA538" i="4"/>
  <c r="B224" i="4"/>
  <c r="V223" i="4"/>
  <c r="G258" i="4"/>
  <c r="Y257" i="4"/>
  <c r="F242" i="4"/>
  <c r="X241" i="4"/>
  <c r="K226" i="4"/>
  <c r="AA225" i="4"/>
  <c r="B536" i="4"/>
  <c r="V535" i="4"/>
  <c r="B537" i="4" l="1"/>
  <c r="V536" i="4"/>
  <c r="F243" i="4"/>
  <c r="X242" i="4"/>
  <c r="B225" i="4"/>
  <c r="V224" i="4"/>
  <c r="K227" i="4"/>
  <c r="AA226" i="4"/>
  <c r="G259" i="4"/>
  <c r="Y258" i="4"/>
  <c r="K540" i="4"/>
  <c r="AA539" i="4"/>
  <c r="K541" i="4" l="1"/>
  <c r="AA540" i="4"/>
  <c r="K228" i="4"/>
  <c r="AA227" i="4"/>
  <c r="F244" i="4"/>
  <c r="X243" i="4"/>
  <c r="G260" i="4"/>
  <c r="Y259" i="4"/>
  <c r="B226" i="4"/>
  <c r="V225" i="4"/>
  <c r="B538" i="4"/>
  <c r="V537" i="4"/>
  <c r="B539" i="4" l="1"/>
  <c r="V538" i="4"/>
  <c r="G261" i="4"/>
  <c r="Y260" i="4"/>
  <c r="K229" i="4"/>
  <c r="AA228" i="4"/>
  <c r="B227" i="4"/>
  <c r="V226" i="4"/>
  <c r="F245" i="4"/>
  <c r="X244" i="4"/>
  <c r="K542" i="4"/>
  <c r="AA541" i="4"/>
  <c r="G262" i="4" l="1"/>
  <c r="Y261" i="4"/>
  <c r="K543" i="4"/>
  <c r="AA542" i="4"/>
  <c r="B228" i="4"/>
  <c r="V227" i="4"/>
  <c r="F246" i="4"/>
  <c r="X245" i="4"/>
  <c r="K230" i="4"/>
  <c r="AA229" i="4"/>
  <c r="B540" i="4"/>
  <c r="V539" i="4"/>
  <c r="B541" i="4" l="1"/>
  <c r="V540" i="4"/>
  <c r="K544" i="4"/>
  <c r="AA543" i="4"/>
  <c r="F247" i="4"/>
  <c r="X246" i="4"/>
  <c r="K231" i="4"/>
  <c r="AA230" i="4"/>
  <c r="B229" i="4"/>
  <c r="V228" i="4"/>
  <c r="G263" i="4"/>
  <c r="Y262" i="4"/>
  <c r="K232" i="4" l="1"/>
  <c r="AA231" i="4"/>
  <c r="G264" i="4"/>
  <c r="Y263" i="4"/>
  <c r="K545" i="4"/>
  <c r="AA544" i="4"/>
  <c r="B230" i="4"/>
  <c r="V229" i="4"/>
  <c r="F248" i="4"/>
  <c r="X247" i="4"/>
  <c r="B542" i="4"/>
  <c r="V541" i="4"/>
  <c r="G265" i="4" l="1"/>
  <c r="Y264" i="4"/>
  <c r="B543" i="4"/>
  <c r="V542" i="4"/>
  <c r="B231" i="4"/>
  <c r="V230" i="4"/>
  <c r="F249" i="4"/>
  <c r="X248" i="4"/>
  <c r="K546" i="4"/>
  <c r="AA545" i="4"/>
  <c r="K233" i="4"/>
  <c r="AA232" i="4"/>
  <c r="F250" i="4" l="1"/>
  <c r="X249" i="4"/>
  <c r="B544" i="4"/>
  <c r="V543" i="4"/>
  <c r="K234" i="4"/>
  <c r="AA233" i="4"/>
  <c r="K547" i="4"/>
  <c r="AA546" i="4"/>
  <c r="B232" i="4"/>
  <c r="V231" i="4"/>
  <c r="G266" i="4"/>
  <c r="Y265" i="4"/>
  <c r="G267" i="4" l="1"/>
  <c r="Y266" i="4"/>
  <c r="K548" i="4"/>
  <c r="AA547" i="4"/>
  <c r="B545" i="4"/>
  <c r="V544" i="4"/>
  <c r="B233" i="4"/>
  <c r="V232" i="4"/>
  <c r="K235" i="4"/>
  <c r="AA234" i="4"/>
  <c r="F251" i="4"/>
  <c r="X250" i="4"/>
  <c r="B234" i="4" l="1"/>
  <c r="V233" i="4"/>
  <c r="K549" i="4"/>
  <c r="AA548" i="4"/>
  <c r="F252" i="4"/>
  <c r="X251" i="4"/>
  <c r="K236" i="4"/>
  <c r="AA235" i="4"/>
  <c r="B546" i="4"/>
  <c r="V545" i="4"/>
  <c r="G268" i="4"/>
  <c r="Y267" i="4"/>
  <c r="K237" i="4" l="1"/>
  <c r="AA236" i="4"/>
  <c r="K550" i="4"/>
  <c r="AA549" i="4"/>
  <c r="G269" i="4"/>
  <c r="Y268" i="4"/>
  <c r="B547" i="4"/>
  <c r="V546" i="4"/>
  <c r="F253" i="4"/>
  <c r="X252" i="4"/>
  <c r="B235" i="4"/>
  <c r="V234" i="4"/>
  <c r="B236" i="4" l="1"/>
  <c r="V235" i="4"/>
  <c r="B548" i="4"/>
  <c r="V547" i="4"/>
  <c r="K551" i="4"/>
  <c r="AA550" i="4"/>
  <c r="F254" i="4"/>
  <c r="X253" i="4"/>
  <c r="G270" i="4"/>
  <c r="Y269" i="4"/>
  <c r="K238" i="4"/>
  <c r="AA237" i="4"/>
  <c r="K239" i="4" l="1"/>
  <c r="AA238" i="4"/>
  <c r="B549" i="4"/>
  <c r="V548" i="4"/>
  <c r="F255" i="4"/>
  <c r="X254" i="4"/>
  <c r="G271" i="4"/>
  <c r="Y270" i="4"/>
  <c r="K552" i="4"/>
  <c r="AA551" i="4"/>
  <c r="B237" i="4"/>
  <c r="V236" i="4"/>
  <c r="B238" i="4" l="1"/>
  <c r="V237" i="4"/>
  <c r="G272" i="4"/>
  <c r="Y271" i="4"/>
  <c r="B550" i="4"/>
  <c r="V549" i="4"/>
  <c r="K553" i="4"/>
  <c r="AA552" i="4"/>
  <c r="F256" i="4"/>
  <c r="X255" i="4"/>
  <c r="K240" i="4"/>
  <c r="AA239" i="4"/>
  <c r="K241" i="4" l="1"/>
  <c r="AA240" i="4"/>
  <c r="G273" i="4"/>
  <c r="Y272" i="4"/>
  <c r="K554" i="4"/>
  <c r="AA553" i="4"/>
  <c r="F257" i="4"/>
  <c r="X256" i="4"/>
  <c r="B551" i="4"/>
  <c r="V550" i="4"/>
  <c r="B239" i="4"/>
  <c r="V238" i="4"/>
  <c r="B240" i="4" l="1"/>
  <c r="V239" i="4"/>
  <c r="G274" i="4"/>
  <c r="Y273" i="4"/>
  <c r="F258" i="4"/>
  <c r="X257" i="4"/>
  <c r="B552" i="4"/>
  <c r="V551" i="4"/>
  <c r="K555" i="4"/>
  <c r="AA554" i="4"/>
  <c r="K242" i="4"/>
  <c r="AA241" i="4"/>
  <c r="B553" i="4" l="1"/>
  <c r="V552" i="4"/>
  <c r="G275" i="4"/>
  <c r="Y274" i="4"/>
  <c r="K243" i="4"/>
  <c r="AA242" i="4"/>
  <c r="K556" i="4"/>
  <c r="AA555" i="4"/>
  <c r="F259" i="4"/>
  <c r="X258" i="4"/>
  <c r="B241" i="4"/>
  <c r="V240" i="4"/>
  <c r="B242" i="4" l="1"/>
  <c r="V241" i="4"/>
  <c r="K557" i="4"/>
  <c r="AA556" i="4"/>
  <c r="G276" i="4"/>
  <c r="Y275" i="4"/>
  <c r="F260" i="4"/>
  <c r="X259" i="4"/>
  <c r="K244" i="4"/>
  <c r="AA243" i="4"/>
  <c r="B554" i="4"/>
  <c r="V553" i="4"/>
  <c r="B555" i="4" l="1"/>
  <c r="V554" i="4"/>
  <c r="F261" i="4"/>
  <c r="X260" i="4"/>
  <c r="K558" i="4"/>
  <c r="AA557" i="4"/>
  <c r="K245" i="4"/>
  <c r="AA244" i="4"/>
  <c r="G277" i="4"/>
  <c r="Y276" i="4"/>
  <c r="B243" i="4"/>
  <c r="V242" i="4"/>
  <c r="B244" i="4" l="1"/>
  <c r="V243" i="4"/>
  <c r="K246" i="4"/>
  <c r="AA245" i="4"/>
  <c r="F262" i="4"/>
  <c r="X261" i="4"/>
  <c r="G278" i="4"/>
  <c r="Y277" i="4"/>
  <c r="K559" i="4"/>
  <c r="AA558" i="4"/>
  <c r="B556" i="4"/>
  <c r="V555" i="4"/>
  <c r="B557" i="4" l="1"/>
  <c r="V556" i="4"/>
  <c r="G279" i="4"/>
  <c r="Y278" i="4"/>
  <c r="K247" i="4"/>
  <c r="AA246" i="4"/>
  <c r="K560" i="4"/>
  <c r="AA559" i="4"/>
  <c r="F263" i="4"/>
  <c r="X262" i="4"/>
  <c r="B245" i="4"/>
  <c r="V244" i="4"/>
  <c r="B246" i="4" l="1"/>
  <c r="V245" i="4"/>
  <c r="K561" i="4"/>
  <c r="AA560" i="4"/>
  <c r="G280" i="4"/>
  <c r="Y279" i="4"/>
  <c r="F264" i="4"/>
  <c r="X263" i="4"/>
  <c r="K248" i="4"/>
  <c r="AA247" i="4"/>
  <c r="B558" i="4"/>
  <c r="V557" i="4"/>
  <c r="F265" i="4" l="1"/>
  <c r="X264" i="4"/>
  <c r="B559" i="4"/>
  <c r="V558" i="4"/>
  <c r="K562" i="4"/>
  <c r="AA561" i="4"/>
  <c r="K249" i="4"/>
  <c r="AA248" i="4"/>
  <c r="G281" i="4"/>
  <c r="Y280" i="4"/>
  <c r="B247" i="4"/>
  <c r="V246" i="4"/>
  <c r="B248" i="4" l="1"/>
  <c r="V247" i="4"/>
  <c r="K250" i="4"/>
  <c r="AA249" i="4"/>
  <c r="B560" i="4"/>
  <c r="V559" i="4"/>
  <c r="G282" i="4"/>
  <c r="Y281" i="4"/>
  <c r="K563" i="4"/>
  <c r="AA562" i="4"/>
  <c r="F266" i="4"/>
  <c r="X265" i="4"/>
  <c r="F267" i="4" l="1"/>
  <c r="X266" i="4"/>
  <c r="K251" i="4"/>
  <c r="AA250" i="4"/>
  <c r="G283" i="4"/>
  <c r="Y282" i="4"/>
  <c r="K564" i="4"/>
  <c r="AA563" i="4"/>
  <c r="B561" i="4"/>
  <c r="V560" i="4"/>
  <c r="B249" i="4"/>
  <c r="V248" i="4"/>
  <c r="K565" i="4" l="1"/>
  <c r="AA564" i="4"/>
  <c r="K252" i="4"/>
  <c r="AA251" i="4"/>
  <c r="B250" i="4"/>
  <c r="V249" i="4"/>
  <c r="B562" i="4"/>
  <c r="V561" i="4"/>
  <c r="G284" i="4"/>
  <c r="Y283" i="4"/>
  <c r="F268" i="4"/>
  <c r="X267" i="4"/>
  <c r="F269" i="4" l="1"/>
  <c r="X268" i="4"/>
  <c r="B563" i="4"/>
  <c r="V562" i="4"/>
  <c r="K253" i="4"/>
  <c r="AA252" i="4"/>
  <c r="G285" i="4"/>
  <c r="Y284" i="4"/>
  <c r="B251" i="4"/>
  <c r="V250" i="4"/>
  <c r="K566" i="4"/>
  <c r="AA565" i="4"/>
  <c r="G286" i="4" l="1"/>
  <c r="Y285" i="4"/>
  <c r="B564" i="4"/>
  <c r="V563" i="4"/>
  <c r="K567" i="4"/>
  <c r="AA566" i="4"/>
  <c r="B252" i="4"/>
  <c r="V251" i="4"/>
  <c r="K254" i="4"/>
  <c r="AA253" i="4"/>
  <c r="F270" i="4"/>
  <c r="X269" i="4"/>
  <c r="F271" i="4" l="1"/>
  <c r="X270" i="4"/>
  <c r="B253" i="4"/>
  <c r="V252" i="4"/>
  <c r="B565" i="4"/>
  <c r="V564" i="4"/>
  <c r="K255" i="4"/>
  <c r="AA254" i="4"/>
  <c r="K568" i="4"/>
  <c r="AA567" i="4"/>
  <c r="G287" i="4"/>
  <c r="Y286" i="4"/>
  <c r="K256" i="4" l="1"/>
  <c r="AA255" i="4"/>
  <c r="B254" i="4"/>
  <c r="V253" i="4"/>
  <c r="G288" i="4"/>
  <c r="Y287" i="4"/>
  <c r="K569" i="4"/>
  <c r="AA568" i="4"/>
  <c r="B566" i="4"/>
  <c r="V565" i="4"/>
  <c r="F272" i="4"/>
  <c r="X271" i="4"/>
  <c r="F273" i="4" l="1"/>
  <c r="X272" i="4"/>
  <c r="K570" i="4"/>
  <c r="AA569" i="4"/>
  <c r="B255" i="4"/>
  <c r="V254" i="4"/>
  <c r="B567" i="4"/>
  <c r="V566" i="4"/>
  <c r="G289" i="4"/>
  <c r="Y288" i="4"/>
  <c r="K257" i="4"/>
  <c r="AA256" i="4"/>
  <c r="B568" i="4" l="1"/>
  <c r="V567" i="4"/>
  <c r="K571" i="4"/>
  <c r="AA570" i="4"/>
  <c r="K258" i="4"/>
  <c r="AA257" i="4"/>
  <c r="G290" i="4"/>
  <c r="Y289" i="4"/>
  <c r="B256" i="4"/>
  <c r="V255" i="4"/>
  <c r="F274" i="4"/>
  <c r="X273" i="4"/>
  <c r="F275" i="4" l="1"/>
  <c r="X274" i="4"/>
  <c r="K572" i="4"/>
  <c r="AA571" i="4"/>
  <c r="G291" i="4"/>
  <c r="Y290" i="4"/>
  <c r="B257" i="4"/>
  <c r="V256" i="4"/>
  <c r="K259" i="4"/>
  <c r="AA258" i="4"/>
  <c r="B569" i="4"/>
  <c r="V568" i="4"/>
  <c r="B570" i="4" l="1"/>
  <c r="V569" i="4"/>
  <c r="B258" i="4"/>
  <c r="V257" i="4"/>
  <c r="K573" i="4"/>
  <c r="AA572" i="4"/>
  <c r="K260" i="4"/>
  <c r="AA259" i="4"/>
  <c r="G292" i="4"/>
  <c r="Y291" i="4"/>
  <c r="F276" i="4"/>
  <c r="X275" i="4"/>
  <c r="K261" i="4" l="1"/>
  <c r="AA260" i="4"/>
  <c r="B259" i="4"/>
  <c r="V258" i="4"/>
  <c r="F277" i="4"/>
  <c r="X276" i="4"/>
  <c r="G293" i="4"/>
  <c r="Y292" i="4"/>
  <c r="K574" i="4"/>
  <c r="AA573" i="4"/>
  <c r="B571" i="4"/>
  <c r="V570" i="4"/>
  <c r="B572" i="4" l="1"/>
  <c r="V571" i="4"/>
  <c r="G294" i="4"/>
  <c r="Y293" i="4"/>
  <c r="B260" i="4"/>
  <c r="V259" i="4"/>
  <c r="K575" i="4"/>
  <c r="AA574" i="4"/>
  <c r="F278" i="4"/>
  <c r="X277" i="4"/>
  <c r="K262" i="4"/>
  <c r="AA261" i="4"/>
  <c r="K576" i="4" l="1"/>
  <c r="AA575" i="4"/>
  <c r="G295" i="4"/>
  <c r="Y294" i="4"/>
  <c r="K263" i="4"/>
  <c r="AA262" i="4"/>
  <c r="F279" i="4"/>
  <c r="X278" i="4"/>
  <c r="B261" i="4"/>
  <c r="V260" i="4"/>
  <c r="B573" i="4"/>
  <c r="V572" i="4"/>
  <c r="B574" i="4" l="1"/>
  <c r="V573" i="4"/>
  <c r="F280" i="4"/>
  <c r="X279" i="4"/>
  <c r="G296" i="4"/>
  <c r="Y295" i="4"/>
  <c r="B262" i="4"/>
  <c r="V261" i="4"/>
  <c r="K264" i="4"/>
  <c r="AA263" i="4"/>
  <c r="K577" i="4"/>
  <c r="AA576" i="4"/>
  <c r="K578" i="4" l="1"/>
  <c r="AA577" i="4"/>
  <c r="B263" i="4"/>
  <c r="V262" i="4"/>
  <c r="F281" i="4"/>
  <c r="X280" i="4"/>
  <c r="K265" i="4"/>
  <c r="AA264" i="4"/>
  <c r="G297" i="4"/>
  <c r="Y296" i="4"/>
  <c r="B575" i="4"/>
  <c r="V574" i="4"/>
  <c r="B576" i="4" l="1"/>
  <c r="V575" i="4"/>
  <c r="K266" i="4"/>
  <c r="AA265" i="4"/>
  <c r="B264" i="4"/>
  <c r="V263" i="4"/>
  <c r="G298" i="4"/>
  <c r="Y297" i="4"/>
  <c r="F282" i="4"/>
  <c r="X281" i="4"/>
  <c r="K579" i="4"/>
  <c r="AA578" i="4"/>
  <c r="K580" i="4" l="1"/>
  <c r="AA579" i="4"/>
  <c r="K267" i="4"/>
  <c r="AA266" i="4"/>
  <c r="G299" i="4"/>
  <c r="Y298" i="4"/>
  <c r="F283" i="4"/>
  <c r="X282" i="4"/>
  <c r="B265" i="4"/>
  <c r="V264" i="4"/>
  <c r="B577" i="4"/>
  <c r="V576" i="4"/>
  <c r="B578" i="4" l="1"/>
  <c r="V577" i="4"/>
  <c r="F284" i="4"/>
  <c r="X283" i="4"/>
  <c r="K268" i="4"/>
  <c r="AA267" i="4"/>
  <c r="B266" i="4"/>
  <c r="V265" i="4"/>
  <c r="G300" i="4"/>
  <c r="Y299" i="4"/>
  <c r="K581" i="4"/>
  <c r="AA580" i="4"/>
  <c r="K582" i="4" l="1"/>
  <c r="AA581" i="4"/>
  <c r="B267" i="4"/>
  <c r="V266" i="4"/>
  <c r="F285" i="4"/>
  <c r="X284" i="4"/>
  <c r="G301" i="4"/>
  <c r="Y300" i="4"/>
  <c r="K269" i="4"/>
  <c r="AA268" i="4"/>
  <c r="B579" i="4"/>
  <c r="V578" i="4"/>
  <c r="B580" i="4" l="1"/>
  <c r="V579" i="4"/>
  <c r="G302" i="4"/>
  <c r="Y301" i="4"/>
  <c r="B268" i="4"/>
  <c r="V267" i="4"/>
  <c r="K270" i="4"/>
  <c r="AA269" i="4"/>
  <c r="F286" i="4"/>
  <c r="X285" i="4"/>
  <c r="K583" i="4"/>
  <c r="AA582" i="4"/>
  <c r="K584" i="4" l="1"/>
  <c r="AA583" i="4"/>
  <c r="K271" i="4"/>
  <c r="AA270" i="4"/>
  <c r="G303" i="4"/>
  <c r="Y302" i="4"/>
  <c r="F287" i="4"/>
  <c r="X286" i="4"/>
  <c r="B269" i="4"/>
  <c r="V268" i="4"/>
  <c r="B581" i="4"/>
  <c r="V580" i="4"/>
  <c r="F288" i="4" l="1"/>
  <c r="X287" i="4"/>
  <c r="K272" i="4"/>
  <c r="AA271" i="4"/>
  <c r="B582" i="4"/>
  <c r="V581" i="4"/>
  <c r="B270" i="4"/>
  <c r="V269" i="4"/>
  <c r="G304" i="4"/>
  <c r="Y303" i="4"/>
  <c r="K585" i="4"/>
  <c r="AA584" i="4"/>
  <c r="B271" i="4" l="1"/>
  <c r="V270" i="4"/>
  <c r="K273" i="4"/>
  <c r="AA272" i="4"/>
  <c r="K586" i="4"/>
  <c r="AA585" i="4"/>
  <c r="G305" i="4"/>
  <c r="Y304" i="4"/>
  <c r="B583" i="4"/>
  <c r="V582" i="4"/>
  <c r="F289" i="4"/>
  <c r="X288" i="4"/>
  <c r="G306" i="4" l="1"/>
  <c r="Y305" i="4"/>
  <c r="K274" i="4"/>
  <c r="AA273" i="4"/>
  <c r="F290" i="4"/>
  <c r="X289" i="4"/>
  <c r="B584" i="4"/>
  <c r="V583" i="4"/>
  <c r="K587" i="4"/>
  <c r="AA586" i="4"/>
  <c r="B272" i="4"/>
  <c r="V271" i="4"/>
  <c r="B273" i="4" l="1"/>
  <c r="V272" i="4"/>
  <c r="B585" i="4"/>
  <c r="V584" i="4"/>
  <c r="K275" i="4"/>
  <c r="AA275" i="4" s="1"/>
  <c r="AA274" i="4"/>
  <c r="K588" i="4"/>
  <c r="AA587" i="4"/>
  <c r="F291" i="4"/>
  <c r="X290" i="4"/>
  <c r="G307" i="4"/>
  <c r="Y306" i="4"/>
  <c r="G308" i="4" l="1"/>
  <c r="Y307" i="4"/>
  <c r="K589" i="4"/>
  <c r="AA588" i="4"/>
  <c r="B586" i="4"/>
  <c r="V585" i="4"/>
  <c r="F292" i="4"/>
  <c r="X291" i="4"/>
  <c r="B274" i="4"/>
  <c r="V273" i="4"/>
  <c r="K590" i="4" l="1"/>
  <c r="AA590" i="4" s="1"/>
  <c r="AA589" i="4"/>
  <c r="F293" i="4"/>
  <c r="X292" i="4"/>
  <c r="B275" i="4"/>
  <c r="V274" i="4"/>
  <c r="B587" i="4"/>
  <c r="V586" i="4"/>
  <c r="G309" i="4"/>
  <c r="Y308" i="4"/>
  <c r="G310" i="4" l="1"/>
  <c r="Y309" i="4"/>
  <c r="B588" i="4"/>
  <c r="V587" i="4"/>
  <c r="F294" i="4"/>
  <c r="X293" i="4"/>
  <c r="B276" i="4"/>
  <c r="V275" i="4"/>
  <c r="B277" i="4" l="1"/>
  <c r="V276" i="4"/>
  <c r="B589" i="4"/>
  <c r="V588" i="4"/>
  <c r="F295" i="4"/>
  <c r="X294" i="4"/>
  <c r="G311" i="4"/>
  <c r="Y310" i="4"/>
  <c r="G312" i="4" l="1"/>
  <c r="Y311" i="4"/>
  <c r="B590" i="4"/>
  <c r="V589" i="4"/>
  <c r="F296" i="4"/>
  <c r="X295" i="4"/>
  <c r="B278" i="4"/>
  <c r="V277" i="4"/>
  <c r="B279" i="4" l="1"/>
  <c r="V278" i="4"/>
  <c r="B591" i="4"/>
  <c r="V590" i="4"/>
  <c r="F297" i="4"/>
  <c r="X296" i="4"/>
  <c r="G313" i="4"/>
  <c r="Y312" i="4"/>
  <c r="G314" i="4" l="1"/>
  <c r="Y313" i="4"/>
  <c r="B592" i="4"/>
  <c r="V591" i="4"/>
  <c r="F298" i="4"/>
  <c r="X297" i="4"/>
  <c r="B280" i="4"/>
  <c r="V279" i="4"/>
  <c r="B281" i="4" l="1"/>
  <c r="V280" i="4"/>
  <c r="B593" i="4"/>
  <c r="V592" i="4"/>
  <c r="F299" i="4"/>
  <c r="X298" i="4"/>
  <c r="G315" i="4"/>
  <c r="Y314" i="4"/>
  <c r="G316" i="4" l="1"/>
  <c r="Y315" i="4"/>
  <c r="B594" i="4"/>
  <c r="V593" i="4"/>
  <c r="F300" i="4"/>
  <c r="X299" i="4"/>
  <c r="B282" i="4"/>
  <c r="V281" i="4"/>
  <c r="B283" i="4" l="1"/>
  <c r="V282" i="4"/>
  <c r="B595" i="4"/>
  <c r="V594" i="4"/>
  <c r="F301" i="4"/>
  <c r="X300" i="4"/>
  <c r="G317" i="4"/>
  <c r="Y316" i="4"/>
  <c r="G318" i="4" l="1"/>
  <c r="Y317" i="4"/>
  <c r="B596" i="4"/>
  <c r="V595" i="4"/>
  <c r="F302" i="4"/>
  <c r="X301" i="4"/>
  <c r="B284" i="4"/>
  <c r="V283" i="4"/>
  <c r="B285" i="4" l="1"/>
  <c r="V284" i="4"/>
  <c r="B597" i="4"/>
  <c r="V596" i="4"/>
  <c r="F303" i="4"/>
  <c r="X302" i="4"/>
  <c r="G319" i="4"/>
  <c r="Y318" i="4"/>
  <c r="G320" i="4" l="1"/>
  <c r="Y319" i="4"/>
  <c r="B598" i="4"/>
  <c r="V597" i="4"/>
  <c r="F304" i="4"/>
  <c r="X303" i="4"/>
  <c r="B286" i="4"/>
  <c r="V285" i="4"/>
  <c r="B287" i="4" l="1"/>
  <c r="V286" i="4"/>
  <c r="B599" i="4"/>
  <c r="V598" i="4"/>
  <c r="F305" i="4"/>
  <c r="X304" i="4"/>
  <c r="G321" i="4"/>
  <c r="Y320" i="4"/>
  <c r="G322" i="4" l="1"/>
  <c r="Y321" i="4"/>
  <c r="B600" i="4"/>
  <c r="V599" i="4"/>
  <c r="F306" i="4"/>
  <c r="X305" i="4"/>
  <c r="B288" i="4"/>
  <c r="V287" i="4"/>
  <c r="B289" i="4" l="1"/>
  <c r="V288" i="4"/>
  <c r="B601" i="4"/>
  <c r="V600" i="4"/>
  <c r="F307" i="4"/>
  <c r="X306" i="4"/>
  <c r="G323" i="4"/>
  <c r="Y322" i="4"/>
  <c r="B602" i="4" l="1"/>
  <c r="V601" i="4"/>
  <c r="G324" i="4"/>
  <c r="Y323" i="4"/>
  <c r="F308" i="4"/>
  <c r="X307" i="4"/>
  <c r="B290" i="4"/>
  <c r="V289" i="4"/>
  <c r="G325" i="4" l="1"/>
  <c r="Y324" i="4"/>
  <c r="B291" i="4"/>
  <c r="V290" i="4"/>
  <c r="F309" i="4"/>
  <c r="X308" i="4"/>
  <c r="B603" i="4"/>
  <c r="V602" i="4"/>
  <c r="B604" i="4" l="1"/>
  <c r="V603" i="4"/>
  <c r="B292" i="4"/>
  <c r="V291" i="4"/>
  <c r="F310" i="4"/>
  <c r="X309" i="4"/>
  <c r="G326" i="4"/>
  <c r="Y325" i="4"/>
  <c r="G327" i="4" l="1"/>
  <c r="Y326" i="4"/>
  <c r="B293" i="4"/>
  <c r="V292" i="4"/>
  <c r="F311" i="4"/>
  <c r="X310" i="4"/>
  <c r="B605" i="4"/>
  <c r="V604" i="4"/>
  <c r="B606" i="4" l="1"/>
  <c r="V605" i="4"/>
  <c r="B294" i="4"/>
  <c r="V293" i="4"/>
  <c r="F312" i="4"/>
  <c r="X311" i="4"/>
  <c r="G328" i="4"/>
  <c r="Y327" i="4"/>
  <c r="G329" i="4" l="1"/>
  <c r="Y328" i="4"/>
  <c r="B295" i="4"/>
  <c r="V294" i="4"/>
  <c r="F313" i="4"/>
  <c r="X312" i="4"/>
  <c r="B607" i="4"/>
  <c r="V606" i="4"/>
  <c r="B608" i="4" l="1"/>
  <c r="V607" i="4"/>
  <c r="B296" i="4"/>
  <c r="V295" i="4"/>
  <c r="F314" i="4"/>
  <c r="X313" i="4"/>
  <c r="G330" i="4"/>
  <c r="Y329" i="4"/>
  <c r="B297" i="4" l="1"/>
  <c r="V296" i="4"/>
  <c r="G331" i="4"/>
  <c r="Y330" i="4"/>
  <c r="F315" i="4"/>
  <c r="X314" i="4"/>
  <c r="B609" i="4"/>
  <c r="V608" i="4"/>
  <c r="G332" i="4" l="1"/>
  <c r="Y331" i="4"/>
  <c r="B610" i="4"/>
  <c r="V609" i="4"/>
  <c r="F316" i="4"/>
  <c r="X315" i="4"/>
  <c r="B298" i="4"/>
  <c r="V297" i="4"/>
  <c r="B299" i="4" l="1"/>
  <c r="V298" i="4"/>
  <c r="B611" i="4"/>
  <c r="V610" i="4"/>
  <c r="F317" i="4"/>
  <c r="X316" i="4"/>
  <c r="G333" i="4"/>
  <c r="Y332" i="4"/>
  <c r="B612" i="4" l="1"/>
  <c r="V611" i="4"/>
  <c r="G334" i="4"/>
  <c r="Y333" i="4"/>
  <c r="F318" i="4"/>
  <c r="X317" i="4"/>
  <c r="B300" i="4"/>
  <c r="V299" i="4"/>
  <c r="G335" i="4" l="1"/>
  <c r="Y334" i="4"/>
  <c r="B301" i="4"/>
  <c r="V300" i="4"/>
  <c r="F319" i="4"/>
  <c r="X318" i="4"/>
  <c r="B613" i="4"/>
  <c r="V612" i="4"/>
  <c r="B614" i="4" l="1"/>
  <c r="V613" i="4"/>
  <c r="B302" i="4"/>
  <c r="V301" i="4"/>
  <c r="F320" i="4"/>
  <c r="X319" i="4"/>
  <c r="G336" i="4"/>
  <c r="Y335" i="4"/>
  <c r="G337" i="4" l="1"/>
  <c r="Y336" i="4"/>
  <c r="B303" i="4"/>
  <c r="V302" i="4"/>
  <c r="F321" i="4"/>
  <c r="X320" i="4"/>
  <c r="B615" i="4"/>
  <c r="V614" i="4"/>
  <c r="B616" i="4" l="1"/>
  <c r="V615" i="4"/>
  <c r="B304" i="4"/>
  <c r="V303" i="4"/>
  <c r="F322" i="4"/>
  <c r="X321" i="4"/>
  <c r="G338" i="4"/>
  <c r="Y337" i="4"/>
  <c r="G339" i="4" l="1"/>
  <c r="Y338" i="4"/>
  <c r="B305" i="4"/>
  <c r="V304" i="4"/>
  <c r="F323" i="4"/>
  <c r="X322" i="4"/>
  <c r="B617" i="4"/>
  <c r="V616" i="4"/>
  <c r="B618" i="4" l="1"/>
  <c r="V617" i="4"/>
  <c r="B306" i="4"/>
  <c r="V305" i="4"/>
  <c r="F324" i="4"/>
  <c r="X323" i="4"/>
  <c r="G340" i="4"/>
  <c r="Y339" i="4"/>
  <c r="G341" i="4" l="1"/>
  <c r="Y340" i="4"/>
  <c r="B307" i="4"/>
  <c r="V306" i="4"/>
  <c r="F325" i="4"/>
  <c r="X324" i="4"/>
  <c r="B619" i="4"/>
  <c r="V618" i="4"/>
  <c r="B620" i="4" l="1"/>
  <c r="V619" i="4"/>
  <c r="B308" i="4"/>
  <c r="V307" i="4"/>
  <c r="F326" i="4"/>
  <c r="X325" i="4"/>
  <c r="G342" i="4"/>
  <c r="Y341" i="4"/>
  <c r="G343" i="4" l="1"/>
  <c r="Y342" i="4"/>
  <c r="B309" i="4"/>
  <c r="V308" i="4"/>
  <c r="F327" i="4"/>
  <c r="X326" i="4"/>
  <c r="B621" i="4"/>
  <c r="V620" i="4"/>
  <c r="B622" i="4" l="1"/>
  <c r="V621" i="4"/>
  <c r="B310" i="4"/>
  <c r="V309" i="4"/>
  <c r="F328" i="4"/>
  <c r="X327" i="4"/>
  <c r="G344" i="4"/>
  <c r="Y343" i="4"/>
  <c r="G345" i="4" l="1"/>
  <c r="Y344" i="4"/>
  <c r="B311" i="4"/>
  <c r="V310" i="4"/>
  <c r="F329" i="4"/>
  <c r="X328" i="4"/>
  <c r="B623" i="4"/>
  <c r="V622" i="4"/>
  <c r="B624" i="4" l="1"/>
  <c r="V623" i="4"/>
  <c r="B312" i="4"/>
  <c r="V311" i="4"/>
  <c r="F330" i="4"/>
  <c r="X329" i="4"/>
  <c r="G346" i="4"/>
  <c r="Y345" i="4"/>
  <c r="G347" i="4" l="1"/>
  <c r="Y346" i="4"/>
  <c r="B313" i="4"/>
  <c r="V312" i="4"/>
  <c r="F331" i="4"/>
  <c r="X330" i="4"/>
  <c r="B625" i="4"/>
  <c r="V624" i="4"/>
  <c r="B626" i="4" l="1"/>
  <c r="V625" i="4"/>
  <c r="B314" i="4"/>
  <c r="V313" i="4"/>
  <c r="F332" i="4"/>
  <c r="X331" i="4"/>
  <c r="G348" i="4"/>
  <c r="Y347" i="4"/>
  <c r="G349" i="4" l="1"/>
  <c r="Y348" i="4"/>
  <c r="B315" i="4"/>
  <c r="V314" i="4"/>
  <c r="F333" i="4"/>
  <c r="X332" i="4"/>
  <c r="B627" i="4"/>
  <c r="V626" i="4"/>
  <c r="B628" i="4" l="1"/>
  <c r="V627" i="4"/>
  <c r="B316" i="4"/>
  <c r="V315" i="4"/>
  <c r="F334" i="4"/>
  <c r="X333" i="4"/>
  <c r="G350" i="4"/>
  <c r="Y349" i="4"/>
  <c r="B317" i="4" l="1"/>
  <c r="V316" i="4"/>
  <c r="G351" i="4"/>
  <c r="Y350" i="4"/>
  <c r="F335" i="4"/>
  <c r="X334" i="4"/>
  <c r="B629" i="4"/>
  <c r="V628" i="4"/>
  <c r="B630" i="4" l="1"/>
  <c r="V629" i="4"/>
  <c r="G352" i="4"/>
  <c r="Y351" i="4"/>
  <c r="F336" i="4"/>
  <c r="X335" i="4"/>
  <c r="B318" i="4"/>
  <c r="V317" i="4"/>
  <c r="G353" i="4" l="1"/>
  <c r="Y352" i="4"/>
  <c r="B319" i="4"/>
  <c r="V318" i="4"/>
  <c r="F337" i="4"/>
  <c r="X336" i="4"/>
  <c r="B631" i="4"/>
  <c r="V630" i="4"/>
  <c r="B632" i="4" l="1"/>
  <c r="V631" i="4"/>
  <c r="B320" i="4"/>
  <c r="V319" i="4"/>
  <c r="F338" i="4"/>
  <c r="X337" i="4"/>
  <c r="G354" i="4"/>
  <c r="Y353" i="4"/>
  <c r="G355" i="4" l="1"/>
  <c r="Y354" i="4"/>
  <c r="B321" i="4"/>
  <c r="V320" i="4"/>
  <c r="F339" i="4"/>
  <c r="X338" i="4"/>
  <c r="B633" i="4"/>
  <c r="V632" i="4"/>
  <c r="B634" i="4" l="1"/>
  <c r="V633" i="4"/>
  <c r="B322" i="4"/>
  <c r="V321" i="4"/>
  <c r="F340" i="4"/>
  <c r="X339" i="4"/>
  <c r="G356" i="4"/>
  <c r="Y355" i="4"/>
  <c r="G357" i="4" l="1"/>
  <c r="Y356" i="4"/>
  <c r="B323" i="4"/>
  <c r="V322" i="4"/>
  <c r="F341" i="4"/>
  <c r="X340" i="4"/>
  <c r="B635" i="4"/>
  <c r="V634" i="4"/>
  <c r="B636" i="4" l="1"/>
  <c r="V635" i="4"/>
  <c r="B324" i="4"/>
  <c r="V323" i="4"/>
  <c r="F342" i="4"/>
  <c r="X341" i="4"/>
  <c r="G358" i="4"/>
  <c r="Y357" i="4"/>
  <c r="B325" i="4" l="1"/>
  <c r="V324" i="4"/>
  <c r="G359" i="4"/>
  <c r="Y358" i="4"/>
  <c r="F343" i="4"/>
  <c r="X342" i="4"/>
  <c r="B637" i="4"/>
  <c r="V636" i="4"/>
  <c r="B638" i="4" l="1"/>
  <c r="V637" i="4"/>
  <c r="G360" i="4"/>
  <c r="Y359" i="4"/>
  <c r="F344" i="4"/>
  <c r="X343" i="4"/>
  <c r="B326" i="4"/>
  <c r="V325" i="4"/>
  <c r="B327" i="4" l="1"/>
  <c r="V326" i="4"/>
  <c r="G361" i="4"/>
  <c r="Y360" i="4"/>
  <c r="F345" i="4"/>
  <c r="X344" i="4"/>
  <c r="B639" i="4"/>
  <c r="V638" i="4"/>
  <c r="G362" i="4" l="1"/>
  <c r="Y361" i="4"/>
  <c r="B640" i="4"/>
  <c r="V639" i="4"/>
  <c r="F346" i="4"/>
  <c r="X345" i="4"/>
  <c r="B328" i="4"/>
  <c r="V327" i="4"/>
  <c r="B329" i="4" l="1"/>
  <c r="V328" i="4"/>
  <c r="B641" i="4"/>
  <c r="V640" i="4"/>
  <c r="F347" i="4"/>
  <c r="X346" i="4"/>
  <c r="G363" i="4"/>
  <c r="Y362" i="4"/>
  <c r="B642" i="4" l="1"/>
  <c r="V641" i="4"/>
  <c r="G364" i="4"/>
  <c r="Y363" i="4"/>
  <c r="F348" i="4"/>
  <c r="X347" i="4"/>
  <c r="B330" i="4"/>
  <c r="V329" i="4"/>
  <c r="B331" i="4" l="1"/>
  <c r="V330" i="4"/>
  <c r="G365" i="4"/>
  <c r="Y364" i="4"/>
  <c r="F349" i="4"/>
  <c r="X348" i="4"/>
  <c r="B643" i="4"/>
  <c r="V642" i="4"/>
  <c r="G366" i="4" l="1"/>
  <c r="Y365" i="4"/>
  <c r="B644" i="4"/>
  <c r="V643" i="4"/>
  <c r="F350" i="4"/>
  <c r="X349" i="4"/>
  <c r="B332" i="4"/>
  <c r="V331" i="4"/>
  <c r="B333" i="4" l="1"/>
  <c r="V332" i="4"/>
  <c r="B645" i="4"/>
  <c r="V644" i="4"/>
  <c r="F351" i="4"/>
  <c r="X350" i="4"/>
  <c r="G367" i="4"/>
  <c r="Y366" i="4"/>
  <c r="B646" i="4" l="1"/>
  <c r="V645" i="4"/>
  <c r="G368" i="4"/>
  <c r="Y367" i="4"/>
  <c r="F352" i="4"/>
  <c r="X351" i="4"/>
  <c r="B334" i="4"/>
  <c r="V333" i="4"/>
  <c r="B335" i="4" l="1"/>
  <c r="V334" i="4"/>
  <c r="G369" i="4"/>
  <c r="Y368" i="4"/>
  <c r="F353" i="4"/>
  <c r="X352" i="4"/>
  <c r="B647" i="4"/>
  <c r="V646" i="4"/>
  <c r="B648" i="4" l="1"/>
  <c r="V647" i="4"/>
  <c r="G370" i="4"/>
  <c r="Y369" i="4"/>
  <c r="F354" i="4"/>
  <c r="X353" i="4"/>
  <c r="B336" i="4"/>
  <c r="V335" i="4"/>
  <c r="B337" i="4" l="1"/>
  <c r="V336" i="4"/>
  <c r="G371" i="4"/>
  <c r="Y371" i="4" s="1"/>
  <c r="Y370" i="4"/>
  <c r="F355" i="4"/>
  <c r="X354" i="4"/>
  <c r="B649" i="4"/>
  <c r="V648" i="4"/>
  <c r="B650" i="4" l="1"/>
  <c r="V649" i="4"/>
  <c r="F356" i="4"/>
  <c r="X355" i="4"/>
  <c r="B338" i="4"/>
  <c r="V337" i="4"/>
  <c r="F357" i="4" l="1"/>
  <c r="X356" i="4"/>
  <c r="B339" i="4"/>
  <c r="V338" i="4"/>
  <c r="B651" i="4"/>
  <c r="V650" i="4"/>
  <c r="B340" i="4" l="1"/>
  <c r="V339" i="4"/>
  <c r="B652" i="4"/>
  <c r="V651" i="4"/>
  <c r="F358" i="4"/>
  <c r="X357" i="4"/>
  <c r="B653" i="4" l="1"/>
  <c r="V652" i="4"/>
  <c r="F359" i="4"/>
  <c r="X358" i="4"/>
  <c r="B341" i="4"/>
  <c r="V340" i="4"/>
  <c r="F360" i="4" l="1"/>
  <c r="X359" i="4"/>
  <c r="B342" i="4"/>
  <c r="V341" i="4"/>
  <c r="B654" i="4"/>
  <c r="V653" i="4"/>
  <c r="B343" i="4" l="1"/>
  <c r="V342" i="4"/>
  <c r="B655" i="4"/>
  <c r="V654" i="4"/>
  <c r="F361" i="4"/>
  <c r="X360" i="4"/>
  <c r="B656" i="4" l="1"/>
  <c r="V655" i="4"/>
  <c r="F362" i="4"/>
  <c r="X361" i="4"/>
  <c r="B344" i="4"/>
  <c r="V343" i="4"/>
  <c r="F363" i="4" l="1"/>
  <c r="X362" i="4"/>
  <c r="B345" i="4"/>
  <c r="V344" i="4"/>
  <c r="B657" i="4"/>
  <c r="V656" i="4"/>
  <c r="B346" i="4" l="1"/>
  <c r="V345" i="4"/>
  <c r="B658" i="4"/>
  <c r="V657" i="4"/>
  <c r="F364" i="4"/>
  <c r="X363" i="4"/>
  <c r="B659" i="4" l="1"/>
  <c r="V658" i="4"/>
  <c r="F365" i="4"/>
  <c r="X364" i="4"/>
  <c r="B347" i="4"/>
  <c r="V346" i="4"/>
  <c r="F366" i="4" l="1"/>
  <c r="X365" i="4"/>
  <c r="B348" i="4"/>
  <c r="V347" i="4"/>
  <c r="B660" i="4"/>
  <c r="V659" i="4"/>
  <c r="B349" i="4" l="1"/>
  <c r="V348" i="4"/>
  <c r="B661" i="4"/>
  <c r="V660" i="4"/>
  <c r="F367" i="4"/>
  <c r="X366" i="4"/>
  <c r="B662" i="4" l="1"/>
  <c r="V661" i="4"/>
  <c r="F368" i="4"/>
  <c r="X367" i="4"/>
  <c r="B350" i="4"/>
  <c r="V349" i="4"/>
  <c r="F369" i="4" l="1"/>
  <c r="X368" i="4"/>
  <c r="B351" i="4"/>
  <c r="V350" i="4"/>
  <c r="B663" i="4"/>
  <c r="V662" i="4"/>
  <c r="B352" i="4" l="1"/>
  <c r="V351" i="4"/>
  <c r="B664" i="4"/>
  <c r="V663" i="4"/>
  <c r="F370" i="4"/>
  <c r="X369" i="4"/>
  <c r="B665" i="4" l="1"/>
  <c r="V664" i="4"/>
  <c r="F371" i="4"/>
  <c r="X371" i="4" s="1"/>
  <c r="X370" i="4"/>
  <c r="B353" i="4"/>
  <c r="V352" i="4"/>
  <c r="B354" i="4" l="1"/>
  <c r="V353" i="4"/>
  <c r="B666" i="4"/>
  <c r="V665" i="4"/>
  <c r="B667" i="4" l="1"/>
  <c r="V667" i="4" s="1"/>
  <c r="V666" i="4"/>
  <c r="B355" i="4"/>
  <c r="V354" i="4"/>
  <c r="B356" i="4" l="1"/>
  <c r="V355" i="4"/>
  <c r="B357" i="4" l="1"/>
  <c r="V356" i="4"/>
  <c r="B358" i="4" l="1"/>
  <c r="V357" i="4"/>
  <c r="B359" i="4" l="1"/>
  <c r="V358" i="4"/>
  <c r="B360" i="4" l="1"/>
  <c r="V359" i="4"/>
  <c r="B361" i="4" l="1"/>
  <c r="V360" i="4"/>
  <c r="B362" i="4" l="1"/>
  <c r="V361" i="4"/>
  <c r="B363" i="4" l="1"/>
  <c r="V362" i="4"/>
  <c r="B364" i="4" l="1"/>
  <c r="V363" i="4"/>
  <c r="B365" i="4" l="1"/>
  <c r="V364" i="4"/>
  <c r="B366" i="4" l="1"/>
  <c r="V365" i="4"/>
  <c r="B367" i="4" l="1"/>
  <c r="V366" i="4"/>
  <c r="B368" i="4" l="1"/>
  <c r="V367" i="4"/>
  <c r="B369" i="4" l="1"/>
  <c r="V368" i="4"/>
  <c r="B370" i="4" l="1"/>
  <c r="V369" i="4"/>
  <c r="B371" i="4" l="1"/>
  <c r="V371" i="4" s="1"/>
  <c r="V370" i="4"/>
</calcChain>
</file>

<file path=xl/sharedStrings.xml><?xml version="1.0" encoding="utf-8"?>
<sst xmlns="http://schemas.openxmlformats.org/spreadsheetml/2006/main" count="21700" uniqueCount="7932">
  <si>
    <t>id</t>
  </si>
  <si>
    <t>coleccion</t>
  </si>
  <si>
    <t>sector</t>
  </si>
  <si>
    <t>tema</t>
  </si>
  <si>
    <t>contenido</t>
  </si>
  <si>
    <t>escala</t>
  </si>
  <si>
    <t>territorio</t>
  </si>
  <si>
    <t>temporalidad</t>
  </si>
  <si>
    <t>unidad_medida</t>
  </si>
  <si>
    <t>fuente</t>
  </si>
  <si>
    <t>titulo</t>
  </si>
  <si>
    <t>descripcion_larga</t>
  </si>
  <si>
    <t>visualizacion</t>
  </si>
  <si>
    <t>tag</t>
  </si>
  <si>
    <t>Chile</t>
  </si>
  <si>
    <t>Región</t>
  </si>
  <si>
    <t>Antofagasta</t>
  </si>
  <si>
    <t>Comuna</t>
  </si>
  <si>
    <t>Recoleta</t>
  </si>
  <si>
    <t>País</t>
  </si>
  <si>
    <t>url</t>
  </si>
  <si>
    <t>Ovalle</t>
  </si>
  <si>
    <t>O'Higgins</t>
  </si>
  <si>
    <t>Filtro Integrado</t>
  </si>
  <si>
    <t>Muestra</t>
  </si>
  <si>
    <t>Coquimbo</t>
  </si>
  <si>
    <t>Valparaíso</t>
  </si>
  <si>
    <t>Maule</t>
  </si>
  <si>
    <t>Los Lagos</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</si>
  <si>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</si>
  <si>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</si>
  <si>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</si>
  <si>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</si>
  <si>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</si>
  <si>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</si>
  <si>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</si>
  <si>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</si>
  <si>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</si>
  <si>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</si>
  <si>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</si>
  <si>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</si>
  <si>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</si>
  <si>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</si>
  <si>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</si>
  <si>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</si>
  <si>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</si>
  <si>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</si>
  <si>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</si>
  <si>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</si>
  <si>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</si>
  <si>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</si>
  <si>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</si>
  <si>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</si>
  <si>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</si>
  <si>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</si>
  <si>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</si>
  <si>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</si>
  <si>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</si>
  <si>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</si>
  <si>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</si>
  <si>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</si>
  <si>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</si>
  <si>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</si>
  <si>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</si>
  <si>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</si>
  <si>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</si>
  <si>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</si>
  <si>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</si>
  <si>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</si>
  <si>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</si>
  <si>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</si>
  <si>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</si>
  <si>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</si>
  <si>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</si>
  <si>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</si>
  <si>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</si>
  <si>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</si>
  <si>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</si>
  <si>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</si>
  <si>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</si>
  <si>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</si>
  <si>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</si>
  <si>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</si>
  <si>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</si>
  <si>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</si>
  <si>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</si>
  <si>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</si>
  <si>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</si>
  <si>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</si>
  <si>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</si>
  <si>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</si>
  <si>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</si>
  <si>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</si>
  <si>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</si>
  <si>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</si>
  <si>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</si>
  <si>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</si>
  <si>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</si>
  <si>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</si>
  <si>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</si>
  <si>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</si>
  <si>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</si>
  <si>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</si>
  <si>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</si>
  <si>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</si>
  <si>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</si>
  <si>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</si>
  <si>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</si>
  <si>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</si>
  <si>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</si>
  <si>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</si>
  <si>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</si>
  <si>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</si>
  <si>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</si>
  <si>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</si>
  <si>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</si>
  <si>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</si>
  <si>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</si>
  <si>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</si>
  <si>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</si>
  <si>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</si>
  <si>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</si>
  <si>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</si>
  <si>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</si>
  <si>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</si>
  <si>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</si>
  <si>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</si>
  <si>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</si>
  <si>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</si>
  <si>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</si>
  <si>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</si>
  <si>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</si>
  <si>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</si>
  <si>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</si>
  <si>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</si>
  <si>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</si>
  <si>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</si>
  <si>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</si>
  <si>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</si>
  <si>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</si>
  <si>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</si>
  <si>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</si>
  <si>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</si>
  <si>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</si>
  <si>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</si>
  <si>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</si>
  <si>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</si>
  <si>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</si>
  <si>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</si>
  <si>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</si>
  <si>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</si>
  <si>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</si>
  <si>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</si>
  <si>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</si>
  <si>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</si>
  <si>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</si>
  <si>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</si>
  <si>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</si>
  <si>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</si>
  <si>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</si>
  <si>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</si>
  <si>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</si>
  <si>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</si>
  <si>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</si>
  <si>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</si>
  <si>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</si>
  <si>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</si>
  <si>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</si>
  <si>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</si>
  <si>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</si>
  <si>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</si>
  <si>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</si>
  <si>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</si>
  <si>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</si>
  <si>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</si>
  <si>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</si>
  <si>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</si>
  <si>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</si>
  <si>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</si>
  <si>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</si>
  <si>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</si>
  <si>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</si>
  <si>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</si>
  <si>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</si>
  <si>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</si>
  <si>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</si>
  <si>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</si>
  <si>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</si>
  <si>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</si>
  <si>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</si>
  <si>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</si>
  <si>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</si>
  <si>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</si>
  <si>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</si>
  <si>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</si>
  <si>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</si>
  <si>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</si>
  <si>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</si>
  <si>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</si>
  <si>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</si>
  <si>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</si>
  <si>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</si>
  <si>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</si>
  <si>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</si>
  <si>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</si>
  <si>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</si>
  <si>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</si>
  <si>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</si>
  <si>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</si>
  <si>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</si>
  <si>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</si>
  <si>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</si>
  <si>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</si>
  <si>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</si>
  <si>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</si>
  <si>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</si>
  <si>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</si>
  <si>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</si>
  <si>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</si>
  <si>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</si>
  <si>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</si>
  <si>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</si>
  <si>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</si>
  <si>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</si>
  <si>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</si>
  <si>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</si>
  <si>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</si>
  <si>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</si>
  <si>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</si>
  <si>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</si>
  <si>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</si>
  <si>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</si>
  <si>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</si>
  <si>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</si>
  <si>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</si>
  <si>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</si>
  <si>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</si>
  <si>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</si>
  <si>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</si>
  <si>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</si>
  <si>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</si>
  <si>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</si>
  <si>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</si>
  <si>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</si>
  <si>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</si>
  <si>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</si>
  <si>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</si>
  <si>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</si>
  <si>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</si>
  <si>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</si>
  <si>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</si>
  <si>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</si>
  <si>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</si>
  <si>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</si>
  <si>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</si>
  <si>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</si>
  <si>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</si>
  <si>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</si>
  <si>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</si>
  <si>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</si>
  <si>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</si>
  <si>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</si>
  <si>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</si>
  <si>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</si>
  <si>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</si>
  <si>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</si>
  <si>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</si>
  <si>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</si>
  <si>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</si>
  <si>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</si>
  <si>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</si>
  <si>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</si>
  <si>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</si>
  <si>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</si>
  <si>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</si>
  <si>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</si>
  <si>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</si>
  <si>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</si>
  <si>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</si>
  <si>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</si>
  <si>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</si>
  <si>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</si>
  <si>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</si>
  <si>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</si>
  <si>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</si>
  <si>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</si>
  <si>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</si>
  <si>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</si>
  <si>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</si>
  <si>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</si>
  <si>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</si>
  <si>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</si>
  <si>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</si>
  <si>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</si>
  <si>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</si>
  <si>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</si>
  <si>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</si>
  <si>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</si>
  <si>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</si>
  <si>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</si>
  <si>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</si>
  <si>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</si>
  <si>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</si>
  <si>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</si>
  <si>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</si>
  <si>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</si>
  <si>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</si>
  <si>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</si>
  <si>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</si>
  <si>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</si>
  <si>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</si>
  <si>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</si>
  <si>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</si>
  <si>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</si>
  <si>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</si>
  <si>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</si>
  <si>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</si>
  <si>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</si>
  <si>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</si>
  <si>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</si>
  <si>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</si>
  <si>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</si>
  <si>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</si>
  <si>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</si>
  <si>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</si>
  <si>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</si>
  <si>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</si>
  <si>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</si>
  <si>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</si>
  <si>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</si>
  <si>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</si>
  <si>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</si>
  <si>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</si>
  <si>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</si>
  <si>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</si>
  <si>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</si>
  <si>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</si>
  <si>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</si>
  <si>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</si>
  <si>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</si>
  <si>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</si>
  <si>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</si>
  <si>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</si>
  <si>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</si>
  <si>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</si>
  <si>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</si>
  <si>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</si>
  <si>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</si>
  <si>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</si>
  <si>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</si>
  <si>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</si>
  <si>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</si>
  <si>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</si>
  <si>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</si>
  <si>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</si>
  <si>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</si>
  <si>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</si>
  <si>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</si>
  <si>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</si>
  <si>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</si>
  <si>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</si>
  <si>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</si>
  <si>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</si>
  <si>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</si>
  <si>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</si>
  <si>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</si>
  <si>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Filtro URL</t>
  </si>
  <si>
    <t>Región de Tarapacá</t>
  </si>
  <si>
    <t>Región de Antofagasta</t>
  </si>
  <si>
    <t>Región de Atacama</t>
  </si>
  <si>
    <t>Región de Coquimbo</t>
  </si>
  <si>
    <t>Región de Valparaíso</t>
  </si>
  <si>
    <t>Región de O'Higgins</t>
  </si>
  <si>
    <t>Región de Maule</t>
  </si>
  <si>
    <t>Región del Biobío</t>
  </si>
  <si>
    <t>Región de La Araucanía</t>
  </si>
  <si>
    <t>Región de Los Lagos</t>
  </si>
  <si>
    <t>Región de Aysén</t>
  </si>
  <si>
    <t>Región de Magallanes</t>
  </si>
  <si>
    <t>Región Metropolitana</t>
  </si>
  <si>
    <t>Región de Los Ríos</t>
  </si>
  <si>
    <t>Región de Arica y Parinacota</t>
  </si>
  <si>
    <t>Región de Ñuble</t>
  </si>
  <si>
    <t>Suscripcion</t>
  </si>
  <si>
    <t>idcoleccion</t>
  </si>
  <si>
    <t>Color</t>
  </si>
  <si>
    <t>id_tema</t>
  </si>
  <si>
    <t>id_contenido</t>
  </si>
  <si>
    <t>idescala</t>
  </si>
  <si>
    <t>id_muestra</t>
  </si>
  <si>
    <t>idfiltro</t>
  </si>
  <si>
    <t>0001</t>
  </si>
  <si>
    <t>0002</t>
  </si>
  <si>
    <t>id_grafico</t>
  </si>
  <si>
    <t>idterritorio</t>
  </si>
  <si>
    <t>id_territorio</t>
  </si>
  <si>
    <t>cod</t>
  </si>
  <si>
    <t>#1774B9</t>
  </si>
  <si>
    <t>Ninguno</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</si>
  <si>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</si>
  <si>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</si>
  <si>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</si>
  <si>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</si>
  <si>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</si>
  <si>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</si>
  <si>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</si>
  <si>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</si>
  <si>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</si>
  <si>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</si>
  <si>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</si>
  <si>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</si>
  <si>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</si>
  <si>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</si>
  <si>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</si>
  <si>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</si>
  <si>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</si>
  <si>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</si>
  <si>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</si>
  <si>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</si>
  <si>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</si>
  <si>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</si>
  <si>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</si>
  <si>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</si>
  <si>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</si>
  <si>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</si>
  <si>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</si>
  <si>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</si>
  <si>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</si>
  <si>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</si>
  <si>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</si>
  <si>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</si>
  <si>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</si>
  <si>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</si>
  <si>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</si>
  <si>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</si>
  <si>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</si>
  <si>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</si>
  <si>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</si>
  <si>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</si>
  <si>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</si>
  <si>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</si>
  <si>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</si>
  <si>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</si>
  <si>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</si>
  <si>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</si>
  <si>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</si>
  <si>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</si>
  <si>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</si>
  <si>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</si>
  <si>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</si>
  <si>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</si>
  <si>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</si>
  <si>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</si>
  <si>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</si>
  <si>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</si>
  <si>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</si>
  <si>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</si>
  <si>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</si>
  <si>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</si>
  <si>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</si>
  <si>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</si>
  <si>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</si>
  <si>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</si>
  <si>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</si>
  <si>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</si>
  <si>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</si>
  <si>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</si>
  <si>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</si>
  <si>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</si>
  <si>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</si>
  <si>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</si>
  <si>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</si>
  <si>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</si>
  <si>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</si>
  <si>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</si>
  <si>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</si>
  <si>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</si>
  <si>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</si>
  <si>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</si>
  <si>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</si>
  <si>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</si>
  <si>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</si>
  <si>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</si>
  <si>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</si>
  <si>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</si>
  <si>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</si>
  <si>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</si>
  <si>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</si>
  <si>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</si>
  <si>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</si>
  <si>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</si>
  <si>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</si>
  <si>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</si>
  <si>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</si>
  <si>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</si>
  <si>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</si>
  <si>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</si>
  <si>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</si>
  <si>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</si>
  <si>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</si>
  <si>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</si>
  <si>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</si>
  <si>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</si>
  <si>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</si>
  <si>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</si>
  <si>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</si>
  <si>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</si>
  <si>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</si>
  <si>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</si>
  <si>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</si>
  <si>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</si>
  <si>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</si>
  <si>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</si>
  <si>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</si>
  <si>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</si>
  <si>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</si>
  <si>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</si>
  <si>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</si>
  <si>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</si>
  <si>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</si>
  <si>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</si>
  <si>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</si>
  <si>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</si>
  <si>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</si>
  <si>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</si>
  <si>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</si>
  <si>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</si>
  <si>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</si>
  <si>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</si>
  <si>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</si>
  <si>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</si>
  <si>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</si>
  <si>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</si>
  <si>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</si>
  <si>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</si>
  <si>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</si>
  <si>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</si>
  <si>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</si>
  <si>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</si>
  <si>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</si>
  <si>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</si>
  <si>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</si>
  <si>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</si>
  <si>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</si>
  <si>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</si>
  <si>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</si>
  <si>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</si>
  <si>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</si>
  <si>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</si>
  <si>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</si>
  <si>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</si>
  <si>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</si>
  <si>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</si>
  <si>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</si>
  <si>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</si>
  <si>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</si>
  <si>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</si>
  <si>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</si>
  <si>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</si>
  <si>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</si>
  <si>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</si>
  <si>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</si>
  <si>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</si>
  <si>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</si>
  <si>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</si>
  <si>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</si>
  <si>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</si>
  <si>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</si>
  <si>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</si>
  <si>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</si>
  <si>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</si>
  <si>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</si>
  <si>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</si>
  <si>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</si>
  <si>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</si>
  <si>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</si>
  <si>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</si>
  <si>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</si>
  <si>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</si>
  <si>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</si>
  <si>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</si>
  <si>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</si>
  <si>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</si>
  <si>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</si>
  <si>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</si>
  <si>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</si>
  <si>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</si>
  <si>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</si>
  <si>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</si>
  <si>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</si>
  <si>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</si>
  <si>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</si>
  <si>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</si>
  <si>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</si>
  <si>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</si>
  <si>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</si>
  <si>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</si>
  <si>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</si>
  <si>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</si>
  <si>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</si>
  <si>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</si>
  <si>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</si>
  <si>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</si>
  <si>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</si>
  <si>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</si>
  <si>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</si>
  <si>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</si>
  <si>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</si>
  <si>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</si>
  <si>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</si>
  <si>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</si>
  <si>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</si>
  <si>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</si>
  <si>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</si>
  <si>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</si>
  <si>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</si>
  <si>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</si>
  <si>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</si>
  <si>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</si>
  <si>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</si>
  <si>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</si>
  <si>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</si>
  <si>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</si>
  <si>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</si>
  <si>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</si>
  <si>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</si>
  <si>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</si>
  <si>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</si>
  <si>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</si>
  <si>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</si>
  <si>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</si>
  <si>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</si>
  <si>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</si>
  <si>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</si>
  <si>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</si>
  <si>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</si>
  <si>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</si>
  <si>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</si>
  <si>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</si>
  <si>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</si>
  <si>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</si>
  <si>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</si>
  <si>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</si>
  <si>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</si>
  <si>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</si>
  <si>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</si>
  <si>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</si>
  <si>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</si>
  <si>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</si>
  <si>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</si>
  <si>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</si>
  <si>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</si>
  <si>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</si>
  <si>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</si>
  <si>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</si>
  <si>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</si>
  <si>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</si>
  <si>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</si>
  <si>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</si>
  <si>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</si>
  <si>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</si>
  <si>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</si>
  <si>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</si>
  <si>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</si>
  <si>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</si>
  <si>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</si>
  <si>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</si>
  <si>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</si>
  <si>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</si>
  <si>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</si>
  <si>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</si>
  <si>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</si>
  <si>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</si>
  <si>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</si>
  <si>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</si>
  <si>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</si>
  <si>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</si>
  <si>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</si>
  <si>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</si>
  <si>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</si>
  <si>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</si>
  <si>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</si>
  <si>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</si>
  <si>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</si>
  <si>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</si>
  <si>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</si>
  <si>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</si>
  <si>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</si>
  <si>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</si>
  <si>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</si>
  <si>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</si>
  <si>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</si>
  <si>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</si>
  <si>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</si>
  <si>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</si>
  <si>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</si>
  <si>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</si>
  <si>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</si>
  <si>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</si>
  <si>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</si>
  <si>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</si>
  <si>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</si>
  <si>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</si>
  <si>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</si>
  <si>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</si>
  <si>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</si>
  <si>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</si>
  <si>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</si>
  <si>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</si>
  <si>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</si>
  <si>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</si>
  <si>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</si>
  <si>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</si>
  <si>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</si>
  <si>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</si>
  <si>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</si>
  <si>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</si>
  <si>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</si>
  <si>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</si>
  <si>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</si>
  <si>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</si>
  <si>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</si>
  <si>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</si>
  <si>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</si>
  <si>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</si>
  <si>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</si>
  <si>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</si>
  <si>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</si>
  <si>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</si>
  <si>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</si>
  <si>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</si>
  <si>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</si>
  <si>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</si>
  <si>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</si>
  <si>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</si>
  <si>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</si>
  <si>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</si>
  <si>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</si>
  <si>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</si>
  <si>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</si>
  <si>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</si>
  <si>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</si>
  <si>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</si>
  <si>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</si>
  <si>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</si>
  <si>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</si>
  <si>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</si>
  <si>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</si>
  <si>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</si>
  <si>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</si>
  <si>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</si>
  <si>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</si>
  <si>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</si>
  <si>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</si>
  <si>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</si>
  <si>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</si>
  <si>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</si>
  <si>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</si>
  <si>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</si>
  <si>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</si>
  <si>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</si>
  <si>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</si>
  <si>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</si>
  <si>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</si>
  <si>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</si>
  <si>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</si>
  <si>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</si>
  <si>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</si>
  <si>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</si>
  <si>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</si>
  <si>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</si>
  <si>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</si>
  <si>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</si>
  <si>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</si>
  <si>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</si>
  <si>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</si>
  <si>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</si>
  <si>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</si>
  <si>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</si>
  <si>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</si>
  <si>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</si>
  <si>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</si>
  <si>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</si>
  <si>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</si>
  <si>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</si>
  <si>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</si>
  <si>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</si>
  <si>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</si>
  <si>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</si>
  <si>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</si>
  <si>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</si>
  <si>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</si>
  <si>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</si>
  <si>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</si>
  <si>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</si>
  <si>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</si>
  <si>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</si>
  <si>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</si>
  <si>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</si>
  <si>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</si>
  <si>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</si>
  <si>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</si>
  <si>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</si>
  <si>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</si>
  <si>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</si>
  <si>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</si>
  <si>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</si>
  <si>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</si>
  <si>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</si>
  <si>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</si>
  <si>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</si>
  <si>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</si>
  <si>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</si>
  <si>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</si>
  <si>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</si>
  <si>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</si>
  <si>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</si>
  <si>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</si>
  <si>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</si>
  <si>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</si>
  <si>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</si>
  <si>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</si>
  <si>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</si>
  <si>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</si>
  <si>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</si>
  <si>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</si>
  <si>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</si>
  <si>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</si>
  <si>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</si>
  <si>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</si>
  <si>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</si>
  <si>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</si>
  <si>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</si>
  <si>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</si>
  <si>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</si>
  <si>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</si>
  <si>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</si>
  <si>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</si>
  <si>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</si>
  <si>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</si>
  <si>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</si>
  <si>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</si>
  <si>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</si>
  <si>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</si>
  <si>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</si>
  <si>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</si>
  <si>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</si>
  <si>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</si>
  <si>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</si>
  <si>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</si>
  <si>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</si>
  <si>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</si>
  <si>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</si>
  <si>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</si>
  <si>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</si>
  <si>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</si>
  <si>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</si>
  <si>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</si>
  <si>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</si>
  <si>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</si>
  <si>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</si>
  <si>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</si>
  <si>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</si>
  <si>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</si>
  <si>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</si>
  <si>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</si>
  <si>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</si>
  <si>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</si>
  <si>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</si>
  <si>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</si>
  <si>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</si>
  <si>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</si>
  <si>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</si>
  <si>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</si>
  <si>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</si>
  <si>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</si>
  <si>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</si>
  <si>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</si>
  <si>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</si>
  <si>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</si>
  <si>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</si>
  <si>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</si>
  <si>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</si>
  <si>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</si>
  <si>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</si>
  <si>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</si>
  <si>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</si>
  <si>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</si>
  <si>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</si>
  <si>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</si>
  <si>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</si>
  <si>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</si>
  <si>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</si>
  <si>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</si>
  <si>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</si>
  <si>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</si>
  <si>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</si>
  <si>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</si>
  <si>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</si>
  <si>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</si>
  <si>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</si>
  <si>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</si>
  <si>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</si>
  <si>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</si>
  <si>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</si>
  <si>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</si>
  <si>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</si>
  <si>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</si>
  <si>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</si>
  <si>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</si>
  <si>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</si>
  <si>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</si>
  <si>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</si>
  <si>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</si>
  <si>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</si>
  <si>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</si>
  <si>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</si>
  <si>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</si>
  <si>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</si>
  <si>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</si>
  <si>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</si>
  <si>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</si>
  <si>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</si>
  <si>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</si>
  <si>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</si>
  <si>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</si>
  <si>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</si>
  <si>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</si>
  <si>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</si>
  <si>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</si>
  <si>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</si>
  <si>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</si>
  <si>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</si>
  <si>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</si>
  <si>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</si>
  <si>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</si>
  <si>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</si>
  <si>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</si>
  <si>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</si>
  <si>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</si>
  <si>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</si>
  <si>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</si>
  <si>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</si>
  <si>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</si>
  <si>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</si>
  <si>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</si>
  <si>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</si>
  <si>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</si>
  <si>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</si>
  <si>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</si>
  <si>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</si>
  <si>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</si>
  <si>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</si>
  <si>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</si>
  <si>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</si>
  <si>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</si>
  <si>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</si>
  <si>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</si>
  <si>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</si>
  <si>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</si>
  <si>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</si>
  <si>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</si>
  <si>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</si>
  <si>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</si>
  <si>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</si>
  <si>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</si>
  <si>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</si>
  <si>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</si>
  <si>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</si>
  <si>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</si>
  <si>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</si>
  <si>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</si>
  <si>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</si>
  <si>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</si>
  <si>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</si>
  <si>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</si>
  <si>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</si>
  <si>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</si>
  <si>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</si>
  <si>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</si>
  <si>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</si>
  <si>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</si>
  <si>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</si>
  <si>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</si>
  <si>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</si>
  <si>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</si>
  <si>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</si>
  <si>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</si>
  <si>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</si>
  <si>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</si>
  <si>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</si>
  <si>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</si>
  <si>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</si>
  <si>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</si>
  <si>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</si>
  <si>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</si>
  <si>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</si>
  <si>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</si>
  <si>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</si>
  <si>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</si>
  <si>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</si>
  <si>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</si>
  <si>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</si>
  <si>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</si>
  <si>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</si>
  <si>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</si>
  <si>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</si>
  <si>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</si>
  <si>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</si>
  <si>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</si>
  <si>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</si>
  <si>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</si>
  <si>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</si>
  <si>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</si>
  <si>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</si>
  <si>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</si>
  <si>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</si>
  <si>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</si>
  <si>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</si>
  <si>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</si>
  <si>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</si>
  <si>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</si>
  <si>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</si>
  <si>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</si>
  <si>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</si>
  <si>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</si>
  <si>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</si>
  <si>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</si>
  <si>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</si>
  <si>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</si>
  <si>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</si>
  <si>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</si>
  <si>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</si>
  <si>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</si>
  <si>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</si>
  <si>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</si>
  <si>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</si>
  <si>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</si>
  <si>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</si>
  <si>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</si>
  <si>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</si>
  <si>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</si>
  <si>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</si>
  <si>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</si>
  <si>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</si>
  <si>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</si>
  <si>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</si>
  <si>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</si>
  <si>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</si>
  <si>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</si>
  <si>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</si>
  <si>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</si>
  <si>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</si>
  <si>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</si>
  <si>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</si>
  <si>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</si>
  <si>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</si>
  <si>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</si>
  <si>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</si>
  <si>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</si>
  <si>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</si>
  <si>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</si>
  <si>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</si>
  <si>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</si>
  <si>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</si>
  <si>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</si>
  <si>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</si>
  <si>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</si>
  <si>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</si>
  <si>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</si>
  <si>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</si>
  <si>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</si>
  <si>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</si>
  <si>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</si>
  <si>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</si>
  <si>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</si>
  <si>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</si>
  <si>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</si>
  <si>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</si>
  <si>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</si>
  <si>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</si>
  <si>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</si>
  <si>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</si>
  <si>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</si>
  <si>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</si>
  <si>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</si>
  <si>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</si>
  <si>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</si>
  <si>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</si>
  <si>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</si>
  <si>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</si>
  <si>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</si>
  <si>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</si>
  <si>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</si>
  <si>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</si>
  <si>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</si>
  <si>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</si>
  <si>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</si>
  <si>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</si>
  <si>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</si>
  <si>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</si>
  <si>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</si>
  <si>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</si>
  <si>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</si>
  <si>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</si>
  <si>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</si>
  <si>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</si>
  <si>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</si>
  <si>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</si>
  <si>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</si>
  <si>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</si>
  <si>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</si>
  <si>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</si>
  <si>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</si>
  <si>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</si>
  <si>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</si>
  <si>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</si>
  <si>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</si>
  <si>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</si>
  <si>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</si>
  <si>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</si>
  <si>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</si>
  <si>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</si>
  <si>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</si>
  <si>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</si>
  <si>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</si>
  <si>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</si>
  <si>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</si>
  <si>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</si>
  <si>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</si>
  <si>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</si>
  <si>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</si>
  <si>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</si>
  <si>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</si>
  <si>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</si>
  <si>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</si>
  <si>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</si>
  <si>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</si>
  <si>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</si>
  <si>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</si>
  <si>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</si>
  <si>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</si>
  <si>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</si>
  <si>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</si>
  <si>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</si>
  <si>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</si>
  <si>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</si>
  <si>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</si>
  <si>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</si>
  <si>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</si>
  <si>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</si>
  <si>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</si>
  <si>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</si>
  <si>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</si>
  <si>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</si>
  <si>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</si>
  <si>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</si>
  <si>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</si>
  <si>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</si>
  <si>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</si>
  <si>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</si>
  <si>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</si>
  <si>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</si>
  <si>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</si>
  <si>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</si>
  <si>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</si>
  <si>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</si>
  <si>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</si>
  <si>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</si>
  <si>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</si>
  <si>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</si>
  <si>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</si>
  <si>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</si>
  <si>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</si>
  <si>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</si>
  <si>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</si>
  <si>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</si>
  <si>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</si>
  <si>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</si>
  <si>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</si>
  <si>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</si>
  <si>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</si>
  <si>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</si>
  <si>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</si>
  <si>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</si>
  <si>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</si>
  <si>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</si>
  <si>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</si>
  <si>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</si>
  <si>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</si>
  <si>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</si>
  <si>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</si>
  <si>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</si>
  <si>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</si>
  <si>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</si>
  <si>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</si>
  <si>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</si>
  <si>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</si>
  <si>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</si>
  <si>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</si>
  <si>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</si>
  <si>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</si>
  <si>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</si>
  <si>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</si>
  <si>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</si>
  <si>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</si>
  <si>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</si>
  <si>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</si>
  <si>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</si>
  <si>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</si>
  <si>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</si>
  <si>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</si>
  <si>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</si>
  <si>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</si>
  <si>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</si>
  <si>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</si>
  <si>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</si>
  <si>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</si>
  <si>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</si>
  <si>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</si>
  <si>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</si>
  <si>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</si>
  <si>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</si>
  <si>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</si>
  <si>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</si>
  <si>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</si>
  <si>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</si>
  <si>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</si>
  <si>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</si>
  <si>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</si>
  <si>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</si>
  <si>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</si>
  <si>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</si>
  <si>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</si>
  <si>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</si>
  <si>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</si>
  <si>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</si>
  <si>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</si>
  <si>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</si>
  <si>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</si>
  <si>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</si>
  <si>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</si>
  <si>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</si>
  <si>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</si>
  <si>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</si>
  <si>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</si>
  <si>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</si>
  <si>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</si>
  <si>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</si>
  <si>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</si>
  <si>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</si>
  <si>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</si>
  <si>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</si>
  <si>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</si>
  <si>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</si>
  <si>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</si>
  <si>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</si>
  <si>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</si>
  <si>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</si>
  <si>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</si>
  <si>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</si>
  <si>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</si>
  <si>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</si>
  <si>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</si>
  <si>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</si>
  <si>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</si>
  <si>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</si>
  <si>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</si>
  <si>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</si>
  <si>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</si>
  <si>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</si>
  <si>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</si>
  <si>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</si>
  <si>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</si>
  <si>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</si>
  <si>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</si>
  <si>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</si>
  <si>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</si>
  <si>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</si>
  <si>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</si>
  <si>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</si>
  <si>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</si>
  <si>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</si>
  <si>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</si>
  <si>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</si>
  <si>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</si>
  <si>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</si>
  <si>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</si>
  <si>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</si>
  <si>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</si>
  <si>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</si>
  <si>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</si>
  <si>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</si>
  <si>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</si>
  <si>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</si>
  <si>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</si>
  <si>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</si>
  <si>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</si>
  <si>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</si>
  <si>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</si>
  <si>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</si>
  <si>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</si>
  <si>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</si>
  <si>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</si>
  <si>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</si>
  <si>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</si>
  <si>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</si>
  <si>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</si>
  <si>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</si>
  <si>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</si>
  <si>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</si>
  <si>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</si>
  <si>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</si>
  <si>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</si>
  <si>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</si>
  <si>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</si>
  <si>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</si>
  <si>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</si>
  <si>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</si>
  <si>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</si>
  <si>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</si>
  <si>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</si>
  <si>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</si>
  <si>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</si>
  <si>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</si>
  <si>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</si>
  <si>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</si>
  <si>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</si>
  <si>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</si>
  <si>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</si>
  <si>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</si>
  <si>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</si>
  <si>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</si>
  <si>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</si>
  <si>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</si>
  <si>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</si>
  <si>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</si>
  <si>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</si>
  <si>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</si>
  <si>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</si>
  <si>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</si>
  <si>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</si>
  <si>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</si>
  <si>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</si>
  <si>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</si>
  <si>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</si>
  <si>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</si>
  <si>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</si>
  <si>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</si>
  <si>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</si>
  <si>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</si>
  <si>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</si>
  <si>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</si>
  <si>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</si>
  <si>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</si>
  <si>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</si>
  <si>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</si>
  <si>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</si>
  <si>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</si>
  <si>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</si>
  <si>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</si>
  <si>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</si>
  <si>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</si>
  <si>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</si>
  <si>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</si>
  <si>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</si>
  <si>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</si>
  <si>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</si>
  <si>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</si>
  <si>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</si>
  <si>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</si>
  <si>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</si>
  <si>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</si>
  <si>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</si>
  <si>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</si>
  <si>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</si>
  <si>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</si>
  <si>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</si>
  <si>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</si>
  <si>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</si>
  <si>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</si>
  <si>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</si>
  <si>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</si>
  <si>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</si>
  <si>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</si>
  <si>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</si>
  <si>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</si>
  <si>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</si>
  <si>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</si>
  <si>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</si>
  <si>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</si>
  <si>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</si>
  <si>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</si>
  <si>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</si>
  <si>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</si>
  <si>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</si>
  <si>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</si>
  <si>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</si>
  <si>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</si>
  <si>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</si>
  <si>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</si>
  <si>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</si>
  <si>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</si>
  <si>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</si>
  <si>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</si>
  <si>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</si>
  <si>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</si>
  <si>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</si>
  <si>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</si>
  <si>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</si>
  <si>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</si>
  <si>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</si>
  <si>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</si>
  <si>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</si>
  <si>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</si>
  <si>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</si>
  <si>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</si>
  <si>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</si>
  <si>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</si>
  <si>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</si>
  <si>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</si>
  <si>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</si>
  <si>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</si>
  <si>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</si>
  <si>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</si>
  <si>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</si>
  <si>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</si>
  <si>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</si>
  <si>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</si>
  <si>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</si>
  <si>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</si>
  <si>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</si>
  <si>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</si>
  <si>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</si>
  <si>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</si>
  <si>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</si>
  <si>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</si>
  <si>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</si>
  <si>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</si>
  <si>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</si>
  <si>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</si>
  <si>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</si>
  <si>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</si>
  <si>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</si>
  <si>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</si>
  <si>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</si>
  <si>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</si>
  <si>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</si>
  <si>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</si>
  <si>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</si>
  <si>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</si>
  <si>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</si>
  <si>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</si>
  <si>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</si>
  <si>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</si>
  <si>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</si>
  <si>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</si>
  <si>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</si>
  <si>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</si>
  <si>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</si>
  <si>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</si>
  <si>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</si>
  <si>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</si>
  <si>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</si>
  <si>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</si>
  <si>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</si>
  <si>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</si>
  <si>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</si>
  <si>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</si>
  <si>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</si>
  <si>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</si>
  <si>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</si>
  <si>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</si>
  <si>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</si>
  <si>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</si>
  <si>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</si>
  <si>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</si>
  <si>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</si>
  <si>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</si>
  <si>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</si>
  <si>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</si>
  <si>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</si>
  <si>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</si>
  <si>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</si>
  <si>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</si>
  <si>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</si>
  <si>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</si>
  <si>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</si>
  <si>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</si>
  <si>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</si>
  <si>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</si>
  <si>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</si>
  <si>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</si>
  <si>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</si>
  <si>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</si>
  <si>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</si>
  <si>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</si>
  <si>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</si>
  <si>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</si>
  <si>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</si>
  <si>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</si>
  <si>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</si>
  <si>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</si>
  <si>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</si>
  <si>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</si>
  <si>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</si>
  <si>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</si>
  <si>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</si>
  <si>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</si>
  <si>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</si>
  <si>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</si>
  <si>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</si>
  <si>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</si>
  <si>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</si>
  <si>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</si>
  <si>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</si>
  <si>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</si>
  <si>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</si>
  <si>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</si>
  <si>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</si>
  <si>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</si>
  <si>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</si>
  <si>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</si>
  <si>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</si>
  <si>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</si>
  <si>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</si>
  <si>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</si>
  <si>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</si>
  <si>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</si>
  <si>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</si>
  <si>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</si>
  <si>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</si>
  <si>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</si>
  <si>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</si>
  <si>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</si>
  <si>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</si>
  <si>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</si>
  <si>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</si>
  <si>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</si>
  <si>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</si>
  <si>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</si>
  <si>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</si>
  <si>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</si>
  <si>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</si>
  <si>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</si>
  <si>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</si>
  <si>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</si>
  <si>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</si>
  <si>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</si>
  <si>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</si>
  <si>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</si>
  <si>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</si>
  <si>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</si>
  <si>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</si>
  <si>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</si>
  <si>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</si>
  <si>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</si>
  <si>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</si>
  <si>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</si>
  <si>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</si>
  <si>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</si>
  <si>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</si>
  <si>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</si>
  <si>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</si>
  <si>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</si>
  <si>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</si>
  <si>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</si>
  <si>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</si>
  <si>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</si>
  <si>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</si>
  <si>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</si>
  <si>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</si>
  <si>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</si>
  <si>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</si>
  <si>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</si>
  <si>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</si>
  <si>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</si>
  <si>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</si>
  <si>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</si>
  <si>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</si>
  <si>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</si>
  <si>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</si>
  <si>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</si>
  <si>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</si>
  <si>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</si>
  <si>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</si>
  <si>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</si>
  <si>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</si>
  <si>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</si>
  <si>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</si>
  <si>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</si>
  <si>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</si>
  <si>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</si>
  <si>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</si>
  <si>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</si>
  <si>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</si>
  <si>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</si>
  <si>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</si>
  <si>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</si>
  <si>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</si>
  <si>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</si>
  <si>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</si>
  <si>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</si>
  <si>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</si>
  <si>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</si>
  <si>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</si>
  <si>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</si>
  <si>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</si>
  <si>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</si>
  <si>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</si>
  <si>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</si>
  <si>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</si>
  <si>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</si>
  <si>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</si>
  <si>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</si>
  <si>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</si>
  <si>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</si>
  <si>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</si>
  <si>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</si>
  <si>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</si>
  <si>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</si>
  <si>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</si>
  <si>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</si>
  <si>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</si>
  <si>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</si>
  <si>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</si>
  <si>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</si>
  <si>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</si>
  <si>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</si>
  <si>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</si>
  <si>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</si>
  <si>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</si>
  <si>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</si>
  <si>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</si>
  <si>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</si>
  <si>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</si>
  <si>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</si>
  <si>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</si>
  <si>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</si>
  <si>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</si>
  <si>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</si>
  <si>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</si>
  <si>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</si>
  <si>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</si>
  <si>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</si>
  <si>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</si>
  <si>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</si>
  <si>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</si>
  <si>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</si>
  <si>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</si>
  <si>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</si>
  <si>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</si>
  <si>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</si>
  <si>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</si>
  <si>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</si>
  <si>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</si>
  <si>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</si>
  <si>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</si>
  <si>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</si>
  <si>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</si>
  <si>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</si>
  <si>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</si>
  <si>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</si>
  <si>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</si>
  <si>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</si>
  <si>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</si>
  <si>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</si>
  <si>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</si>
  <si>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</si>
  <si>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</si>
  <si>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</si>
  <si>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</si>
  <si>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</si>
  <si>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</si>
  <si>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</si>
  <si>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</si>
  <si>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</si>
  <si>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</si>
  <si>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</si>
  <si>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</si>
  <si>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</si>
  <si>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</si>
  <si>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</si>
  <si>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</si>
  <si>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</si>
  <si>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</si>
  <si>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</si>
  <si>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</si>
  <si>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</si>
  <si>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</si>
  <si>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</si>
  <si>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</si>
  <si>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</si>
  <si>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</si>
  <si>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</si>
  <si>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</si>
  <si>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</si>
  <si>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</si>
  <si>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</si>
  <si>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</si>
  <si>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</si>
  <si>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</si>
  <si>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</si>
  <si>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</si>
  <si>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</si>
  <si>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</si>
  <si>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</si>
  <si>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</si>
  <si>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</si>
  <si>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</si>
  <si>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</si>
  <si>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</si>
  <si>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</si>
  <si>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</si>
  <si>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</si>
  <si>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</si>
  <si>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</si>
  <si>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</si>
  <si>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</si>
  <si>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</si>
  <si>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</si>
  <si>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</si>
  <si>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</si>
  <si>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</si>
  <si>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</si>
  <si>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</si>
  <si>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</si>
  <si>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</si>
  <si>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</si>
  <si>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</si>
  <si>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</si>
  <si>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</si>
  <si>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</si>
  <si>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</si>
  <si>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</si>
  <si>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</si>
  <si>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</si>
  <si>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</si>
  <si>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</si>
  <si>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</si>
  <si>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</si>
  <si>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</si>
  <si>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</si>
  <si>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</si>
  <si>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</si>
  <si>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</si>
  <si>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</si>
  <si>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</si>
  <si>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</si>
  <si>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</si>
  <si>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</si>
  <si>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</si>
  <si>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</si>
  <si>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</si>
  <si>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</si>
  <si>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</si>
  <si>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</si>
  <si>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</si>
  <si>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</si>
  <si>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</si>
  <si>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</si>
  <si>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</si>
  <si>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</si>
  <si>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</si>
  <si>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</si>
  <si>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</si>
  <si>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</si>
  <si>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</si>
  <si>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</si>
  <si>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</si>
  <si>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</si>
  <si>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</si>
  <si>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</si>
  <si>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</si>
  <si>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</si>
  <si>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</si>
  <si>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</si>
  <si>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</si>
  <si>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</si>
  <si>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</si>
  <si>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</si>
  <si>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</si>
  <si>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</si>
  <si>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</si>
  <si>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</si>
  <si>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</si>
  <si>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</si>
  <si>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</si>
  <si>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</si>
  <si>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</si>
  <si>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</si>
  <si>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</si>
  <si>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</si>
  <si>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</si>
  <si>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</si>
  <si>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</si>
  <si>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</si>
  <si>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</si>
  <si>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</si>
  <si>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</si>
  <si>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</si>
  <si>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</si>
  <si>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</si>
  <si>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</si>
  <si>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</si>
  <si>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</si>
  <si>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</si>
  <si>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</si>
  <si>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</si>
  <si>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</si>
  <si>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</si>
  <si>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</si>
  <si>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</si>
  <si>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</si>
  <si>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</si>
  <si>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</si>
  <si>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</si>
  <si>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</si>
  <si>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</si>
  <si>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</si>
  <si>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</si>
  <si>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</si>
  <si>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</si>
  <si>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</si>
  <si>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</si>
  <si>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</si>
  <si>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</si>
  <si>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</si>
  <si>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</si>
  <si>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</si>
  <si>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</si>
  <si>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</si>
  <si>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</si>
  <si>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</si>
  <si>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</si>
  <si>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</si>
  <si>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</si>
  <si>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</si>
  <si>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</si>
  <si>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</si>
  <si>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</si>
  <si>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</si>
  <si>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</si>
  <si>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</si>
  <si>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</si>
  <si>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</si>
  <si>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</si>
  <si>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</si>
  <si>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</si>
  <si>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</si>
  <si>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</si>
  <si>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</si>
  <si>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</si>
  <si>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</si>
  <si>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</si>
  <si>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</si>
  <si>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</si>
  <si>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</si>
  <si>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</si>
  <si>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</si>
  <si>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</si>
  <si>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</si>
  <si>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</si>
  <si>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</si>
  <si>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</si>
  <si>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</si>
  <si>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</si>
  <si>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</si>
  <si>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</si>
  <si>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</si>
  <si>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</si>
  <si>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</si>
  <si>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</si>
  <si>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</si>
  <si>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</si>
  <si>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</si>
  <si>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</si>
  <si>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</si>
  <si>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</si>
  <si>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</si>
  <si>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</si>
  <si>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</si>
  <si>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</si>
  <si>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</si>
  <si>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</si>
  <si>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</si>
  <si>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</si>
  <si>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</si>
  <si>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</si>
  <si>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</si>
  <si>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</si>
  <si>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</si>
  <si>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</si>
  <si>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</si>
  <si>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</si>
  <si>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</si>
  <si>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</si>
  <si>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</si>
  <si>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</si>
  <si>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</si>
  <si>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</si>
  <si>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</si>
  <si>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</si>
  <si>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</si>
  <si>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</si>
  <si>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</si>
  <si>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</si>
  <si>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</si>
  <si>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</si>
  <si>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</si>
  <si>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</si>
  <si>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</si>
  <si>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</si>
  <si>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</si>
  <si>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</si>
  <si>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</si>
  <si>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</si>
  <si>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</si>
  <si>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</si>
  <si>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</si>
  <si>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</si>
  <si>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</si>
  <si>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</si>
  <si>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</si>
  <si>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</si>
  <si>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</si>
  <si>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</si>
  <si>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</si>
  <si>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</si>
  <si>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</si>
  <si>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</si>
  <si>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</si>
  <si>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</si>
  <si>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</si>
  <si>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</si>
  <si>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</si>
  <si>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</si>
  <si>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</si>
  <si>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</si>
  <si>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</si>
  <si>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</si>
  <si>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</si>
  <si>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</si>
  <si>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</si>
  <si>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</si>
  <si>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</si>
  <si>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</si>
  <si>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</si>
  <si>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</si>
  <si>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</si>
  <si>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</si>
  <si>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</si>
  <si>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</si>
  <si>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</si>
  <si>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</si>
  <si>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</si>
  <si>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</si>
  <si>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</si>
  <si>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</si>
  <si>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</si>
  <si>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</si>
  <si>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</si>
  <si>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</si>
  <si>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</si>
  <si>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</si>
  <si>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</si>
  <si>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</si>
  <si>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</si>
  <si>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</si>
  <si>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</si>
  <si>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</si>
  <si>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</si>
  <si>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</si>
  <si>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</si>
  <si>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</si>
  <si>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</si>
  <si>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</si>
  <si>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</si>
  <si>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</si>
  <si>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</si>
  <si>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</si>
  <si>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</si>
  <si>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</si>
  <si>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</si>
  <si>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</si>
  <si>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</si>
  <si>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</si>
  <si>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</si>
  <si>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</si>
  <si>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</si>
  <si>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</si>
  <si>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</si>
  <si>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</si>
  <si>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</si>
  <si>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</si>
  <si>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</si>
  <si>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</si>
  <si>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</si>
  <si>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</si>
  <si>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</si>
  <si>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</si>
  <si>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</si>
  <si>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</si>
  <si>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</si>
  <si>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</si>
  <si>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</si>
  <si>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</si>
  <si>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</si>
  <si>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</si>
  <si>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</si>
  <si>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</si>
  <si>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</si>
  <si>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</si>
  <si>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</si>
  <si>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</si>
  <si>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</si>
  <si>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</si>
  <si>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</si>
  <si>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</si>
  <si>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</si>
  <si>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</si>
  <si>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</si>
  <si>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</si>
  <si>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</si>
  <si>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</si>
  <si>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</si>
  <si>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</si>
  <si>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</si>
  <si>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</si>
  <si>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</si>
  <si>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</si>
  <si>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</si>
  <si>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</si>
  <si>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</si>
  <si>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</si>
  <si>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</si>
  <si>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</si>
  <si>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</si>
  <si>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</si>
  <si>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</si>
  <si>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</si>
  <si>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</si>
  <si>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</si>
  <si>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</si>
  <si>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</si>
  <si>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</si>
  <si>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</si>
  <si>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</si>
  <si>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</si>
  <si>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</si>
  <si>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</si>
  <si>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</si>
  <si>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</si>
  <si>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</si>
  <si>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</si>
  <si>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</si>
  <si>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</si>
  <si>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</si>
  <si>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</si>
  <si>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</si>
  <si>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</si>
  <si>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</si>
  <si>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</si>
  <si>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</si>
  <si>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</si>
  <si>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</si>
  <si>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</si>
  <si>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</si>
  <si>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</si>
  <si>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</si>
  <si>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</si>
  <si>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</si>
  <si>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</si>
  <si>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</si>
  <si>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</si>
  <si>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</si>
  <si>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</si>
  <si>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</si>
  <si>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</si>
  <si>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</si>
  <si>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</si>
  <si>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</si>
  <si>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</si>
  <si>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</si>
  <si>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</si>
  <si>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</si>
  <si>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</si>
  <si>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</si>
  <si>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</si>
  <si>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</si>
  <si>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</si>
  <si>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</si>
  <si>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</si>
  <si>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</si>
  <si>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</si>
  <si>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</si>
  <si>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</si>
  <si>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</si>
  <si>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</si>
  <si>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</si>
  <si>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</si>
  <si>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</si>
  <si>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</si>
  <si>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</si>
  <si>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</si>
  <si>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</si>
  <si>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</si>
  <si>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</si>
  <si>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</si>
  <si>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</si>
  <si>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</si>
  <si>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</si>
  <si>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</si>
  <si>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</si>
  <si>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</si>
  <si>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</si>
  <si>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</si>
  <si>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</si>
  <si>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</si>
  <si>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</si>
  <si>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</si>
  <si>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</si>
  <si>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</si>
  <si>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</si>
  <si>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</si>
  <si>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</si>
  <si>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</si>
  <si>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</si>
  <si>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</si>
  <si>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</si>
  <si>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</si>
  <si>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</si>
  <si>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</si>
  <si>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</si>
  <si>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</si>
  <si>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</si>
  <si>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</si>
  <si>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</si>
  <si>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</si>
  <si>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</si>
  <si>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</si>
  <si>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</si>
  <si>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</si>
  <si>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</si>
  <si>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</si>
  <si>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</si>
  <si>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</si>
  <si>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</si>
  <si>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</si>
  <si>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</si>
  <si>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</si>
  <si>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</si>
  <si>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</si>
  <si>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</si>
  <si>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</si>
  <si>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</si>
  <si>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</si>
  <si>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</si>
  <si>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</si>
  <si>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</si>
  <si>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</si>
  <si>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</si>
  <si>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</si>
  <si>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</si>
  <si>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</si>
  <si>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</si>
  <si>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</si>
  <si>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</si>
  <si>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</si>
  <si>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</si>
  <si>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</si>
  <si>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</si>
  <si>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</si>
  <si>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</si>
  <si>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</si>
  <si>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</si>
  <si>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</si>
  <si>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</si>
  <si>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</si>
  <si>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</si>
  <si>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</si>
  <si>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</si>
  <si>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</si>
  <si>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</si>
  <si>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</si>
  <si>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</si>
  <si>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</si>
  <si>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</si>
  <si>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</si>
  <si>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</si>
  <si>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</si>
  <si>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</si>
  <si>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</si>
  <si>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</si>
  <si>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</si>
  <si>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</si>
  <si>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</si>
  <si>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</si>
  <si>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</si>
  <si>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</si>
  <si>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</si>
  <si>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</si>
  <si>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</si>
  <si>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</si>
  <si>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</si>
  <si>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</si>
  <si>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</si>
  <si>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</si>
  <si>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</si>
  <si>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</si>
  <si>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</si>
  <si>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</si>
  <si>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</si>
  <si>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</si>
  <si>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</si>
  <si>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</si>
  <si>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</si>
  <si>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</si>
  <si>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</si>
  <si>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</si>
  <si>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</si>
  <si>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</si>
  <si>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</si>
  <si>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</si>
  <si>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</si>
  <si>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</si>
  <si>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</si>
  <si>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</si>
  <si>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</si>
  <si>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</si>
  <si>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</si>
  <si>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</si>
  <si>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</si>
  <si>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</si>
  <si>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</si>
  <si>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</si>
  <si>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</si>
  <si>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</si>
  <si>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</si>
  <si>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</si>
  <si>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</si>
  <si>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</si>
  <si>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</si>
  <si>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</si>
  <si>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</si>
  <si>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</si>
  <si>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</si>
  <si>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</si>
  <si>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</si>
  <si>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</si>
  <si>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</si>
  <si>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</si>
  <si>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</si>
  <si>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</si>
  <si>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</si>
  <si>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</si>
  <si>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</si>
  <si>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</si>
  <si>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</si>
  <si>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</si>
  <si>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</si>
  <si>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</si>
  <si>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</si>
  <si>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</si>
  <si>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</si>
  <si>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</si>
  <si>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</si>
  <si>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</si>
  <si>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</si>
  <si>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</si>
  <si>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</si>
  <si>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</si>
  <si>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</si>
  <si>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</si>
  <si>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</si>
  <si>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</si>
  <si>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</si>
  <si>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</si>
  <si>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</si>
  <si>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</si>
  <si>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</si>
  <si>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</si>
  <si>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</si>
  <si>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</si>
  <si>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</si>
  <si>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</si>
  <si>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</si>
  <si>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</si>
  <si>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</si>
  <si>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</si>
  <si>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</si>
  <si>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</si>
  <si>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</si>
  <si>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</si>
  <si>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</si>
  <si>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</si>
  <si>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</si>
  <si>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</si>
  <si>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</si>
  <si>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</si>
  <si>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</si>
  <si>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</si>
  <si>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</si>
  <si>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</si>
  <si>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</si>
  <si>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</si>
  <si>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</si>
  <si>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</si>
  <si>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</si>
  <si>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</si>
  <si>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</si>
  <si>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</si>
  <si>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</si>
  <si>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</si>
  <si>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</si>
  <si>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</si>
  <si>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</si>
  <si>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</si>
  <si>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</si>
  <si>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</si>
  <si>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</si>
  <si>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</si>
  <si>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</si>
  <si>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</si>
  <si>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</si>
  <si>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</si>
  <si>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</si>
  <si>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</si>
  <si>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</si>
  <si>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</si>
  <si>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</si>
  <si>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</si>
  <si>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</si>
  <si>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</si>
  <si>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</si>
  <si>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</si>
  <si>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</si>
  <si>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</si>
  <si>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</si>
  <si>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</si>
  <si>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</si>
  <si>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</si>
  <si>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</si>
  <si>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</si>
  <si>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</si>
  <si>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</si>
  <si>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</si>
  <si>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</si>
  <si>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</si>
  <si>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</si>
  <si>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</si>
  <si>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</si>
  <si>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</si>
  <si>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</si>
  <si>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</si>
  <si>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</si>
  <si>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</si>
  <si>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</si>
  <si>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</si>
  <si>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</si>
  <si>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</si>
  <si>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</si>
  <si>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</si>
  <si>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</si>
  <si>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</si>
  <si>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</si>
  <si>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</si>
  <si>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</si>
  <si>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</si>
  <si>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</si>
  <si>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</si>
  <si>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</si>
  <si>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</si>
  <si>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</si>
  <si>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</si>
  <si>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</si>
  <si>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</si>
  <si>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</si>
  <si>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</si>
  <si>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</si>
  <si>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</si>
  <si>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</si>
  <si>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</si>
  <si>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</si>
  <si>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</si>
  <si>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</si>
  <si>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</si>
  <si>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</si>
  <si>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</si>
  <si>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</si>
  <si>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</si>
  <si>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</si>
  <si>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</si>
  <si>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</si>
  <si>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</si>
  <si>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</si>
  <si>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</si>
  <si>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</si>
  <si>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</si>
  <si>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</si>
  <si>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</si>
  <si>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</si>
  <si>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</si>
  <si>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</si>
  <si>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</si>
  <si>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</si>
  <si>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</si>
  <si>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</si>
  <si>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</si>
  <si>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</si>
  <si>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</si>
  <si>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</si>
  <si>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</si>
  <si>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</si>
  <si>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</si>
  <si>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</si>
  <si>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</si>
  <si>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</si>
  <si>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</si>
  <si>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</si>
  <si>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</si>
  <si>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</si>
  <si>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</si>
  <si>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</si>
  <si>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</si>
  <si>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</si>
  <si>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</si>
  <si>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</si>
  <si>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</si>
  <si>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</si>
  <si>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</si>
  <si>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</si>
  <si>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</si>
  <si>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</si>
  <si>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</si>
  <si>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</si>
  <si>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</si>
  <si>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</si>
  <si>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</si>
  <si>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</si>
  <si>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</si>
  <si>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</si>
  <si>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</si>
  <si>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</si>
  <si>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</si>
  <si>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</si>
  <si>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</si>
  <si>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</si>
  <si>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</si>
  <si>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</si>
  <si>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</si>
  <si>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</si>
  <si>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</si>
  <si>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</si>
  <si>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</si>
  <si>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</si>
  <si>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</si>
  <si>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</si>
  <si>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</si>
  <si>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</si>
  <si>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</si>
  <si>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</si>
  <si>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</si>
  <si>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</si>
  <si>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</si>
  <si>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</si>
  <si>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</si>
  <si>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</si>
  <si>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</si>
  <si>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</si>
  <si>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</si>
  <si>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</si>
  <si>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</si>
  <si>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</si>
  <si>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</si>
  <si>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</si>
  <si>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</si>
  <si>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</si>
  <si>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</si>
  <si>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</si>
  <si>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</si>
  <si>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</si>
  <si>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</si>
  <si>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</si>
  <si>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</si>
  <si>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</si>
  <si>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</si>
  <si>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</si>
  <si>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</si>
  <si>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</si>
  <si>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</si>
  <si>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</si>
  <si>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</si>
  <si>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</si>
  <si>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</si>
  <si>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</si>
  <si>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</si>
  <si>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</si>
  <si>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</si>
  <si>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</si>
  <si>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</si>
  <si>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</si>
  <si>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</si>
  <si>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</si>
  <si>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</si>
  <si>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</si>
  <si>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</si>
  <si>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</si>
  <si>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</si>
  <si>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</si>
  <si>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</si>
  <si>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</si>
  <si>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</si>
  <si>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</si>
  <si>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</si>
  <si>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</si>
  <si>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</si>
  <si>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</si>
  <si>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</si>
  <si>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</si>
  <si>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</si>
  <si>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</si>
  <si>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</si>
  <si>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</si>
  <si>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</si>
  <si>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</si>
  <si>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</si>
  <si>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</si>
  <si>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</si>
  <si>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</si>
  <si>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</si>
  <si>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</si>
  <si>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</si>
  <si>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</si>
  <si>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</si>
  <si>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</si>
  <si>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</si>
  <si>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</si>
  <si>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</si>
  <si>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</si>
  <si>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</si>
  <si>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</si>
  <si>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</si>
  <si>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</si>
  <si>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</si>
  <si>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</si>
  <si>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</si>
  <si>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</si>
  <si>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</si>
  <si>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</si>
  <si>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</si>
  <si>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</si>
  <si>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</si>
  <si>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</si>
  <si>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</si>
  <si>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</si>
  <si>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</si>
  <si>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</si>
  <si>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</si>
  <si>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</si>
  <si>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</si>
  <si>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</si>
  <si>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</si>
  <si>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</si>
  <si>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</si>
  <si>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</si>
  <si>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</si>
  <si>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</si>
  <si>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</si>
  <si>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</si>
  <si>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</si>
  <si>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</si>
  <si>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</si>
  <si>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</si>
  <si>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</si>
  <si>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</si>
  <si>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</si>
  <si>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</si>
  <si>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</si>
  <si>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</si>
  <si>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</si>
  <si>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</si>
  <si>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</si>
  <si>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</si>
  <si>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</si>
  <si>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</si>
  <si>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</si>
  <si>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</si>
  <si>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</si>
  <si>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</si>
  <si>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</si>
  <si>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</si>
  <si>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</si>
  <si>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</si>
  <si>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</si>
  <si>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</si>
  <si>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</si>
  <si>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</si>
  <si>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</si>
  <si>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</si>
  <si>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</si>
  <si>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</si>
  <si>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</si>
  <si>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</si>
  <si>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</si>
  <si>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</si>
  <si>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</si>
  <si>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</si>
  <si>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</si>
  <si>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</si>
  <si>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</si>
  <si>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</si>
  <si>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</si>
  <si>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</si>
  <si>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</si>
  <si>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</si>
  <si>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</si>
  <si>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</si>
  <si>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</si>
  <si>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</si>
  <si>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</si>
  <si>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</si>
  <si>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</si>
  <si>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</si>
  <si>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</si>
  <si>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</si>
  <si>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</si>
  <si>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</si>
  <si>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</si>
  <si>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</si>
  <si>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</si>
  <si>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</si>
  <si>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</si>
  <si>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</si>
  <si>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</si>
  <si>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</si>
  <si>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</si>
  <si>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</si>
  <si>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</si>
  <si>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</si>
  <si>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</si>
  <si>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</si>
  <si>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</si>
  <si>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</si>
  <si>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</si>
  <si>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</si>
  <si>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</si>
  <si>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</si>
  <si>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</si>
  <si>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</si>
  <si>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</si>
  <si>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</si>
  <si>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</si>
  <si>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</si>
  <si>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</si>
  <si>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</si>
  <si>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</si>
  <si>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</si>
  <si>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</si>
  <si>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</si>
  <si>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</si>
  <si>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</si>
  <si>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</si>
  <si>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</si>
  <si>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</si>
  <si>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</si>
  <si>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</si>
  <si>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</si>
  <si>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</si>
  <si>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</si>
  <si>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</si>
  <si>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</si>
  <si>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</si>
  <si>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</si>
  <si>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</si>
  <si>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</si>
  <si>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</si>
  <si>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</si>
  <si>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</si>
  <si>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</si>
  <si>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</si>
  <si>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</si>
  <si>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</si>
  <si>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</si>
  <si>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</si>
  <si>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</si>
  <si>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</si>
  <si>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</si>
  <si>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</si>
  <si>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</si>
  <si>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</si>
  <si>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</si>
  <si>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</si>
  <si>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</si>
  <si>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</si>
  <si>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</si>
  <si>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</si>
  <si>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</si>
  <si>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</si>
  <si>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</si>
  <si>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</si>
  <si>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</si>
  <si>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</si>
  <si>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</si>
  <si>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</si>
  <si>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</si>
  <si>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</si>
  <si>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</si>
  <si>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</si>
  <si>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</si>
  <si>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</si>
  <si>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</si>
  <si>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</si>
  <si>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</si>
  <si>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</si>
  <si>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</si>
  <si>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</si>
  <si>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</si>
  <si>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</si>
  <si>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</si>
  <si>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</si>
  <si>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</si>
  <si>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</si>
  <si>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</si>
  <si>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</si>
  <si>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</si>
  <si>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</si>
  <si>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</si>
  <si>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</si>
  <si>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</si>
  <si>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</si>
  <si>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</si>
  <si>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</si>
  <si>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</si>
  <si>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</si>
  <si>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</si>
  <si>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</si>
  <si>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</si>
  <si>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</si>
  <si>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</si>
  <si>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</si>
  <si>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</si>
  <si>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</si>
  <si>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</si>
  <si>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</si>
  <si>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</si>
  <si>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</si>
  <si>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</si>
  <si>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</si>
  <si>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</si>
  <si>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</si>
  <si>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</si>
  <si>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</si>
  <si>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</si>
  <si>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</si>
  <si>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</si>
  <si>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</si>
  <si>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</si>
  <si>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</si>
  <si>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</si>
  <si>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</si>
  <si>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</si>
  <si>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</si>
  <si>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</si>
  <si>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</si>
  <si>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</si>
  <si>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</si>
  <si>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</si>
  <si>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</si>
  <si>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</si>
  <si>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</si>
  <si>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</si>
  <si>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</si>
  <si>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</si>
  <si>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</si>
  <si>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</si>
  <si>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</si>
  <si>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</si>
  <si>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</si>
  <si>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</si>
  <si>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</si>
  <si>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</si>
  <si>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</si>
  <si>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</si>
  <si>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</si>
  <si>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</si>
  <si>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</si>
  <si>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</si>
  <si>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</si>
  <si>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</si>
  <si>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</si>
  <si>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</si>
  <si>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</si>
  <si>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</si>
  <si>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</si>
  <si>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</si>
  <si>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</si>
  <si>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</si>
  <si>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</si>
  <si>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</si>
  <si>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</si>
  <si>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</si>
  <si>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</si>
  <si>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</si>
  <si>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</si>
  <si>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</si>
  <si>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</si>
  <si>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</si>
  <si>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</si>
  <si>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</si>
  <si>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</si>
  <si>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</si>
  <si>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</si>
  <si>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</si>
  <si>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</si>
  <si>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</si>
  <si>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</si>
  <si>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</si>
  <si>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</si>
  <si>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</si>
  <si>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</si>
  <si>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</si>
  <si>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</si>
  <si>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</si>
  <si>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</si>
  <si>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</si>
  <si>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</si>
  <si>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</si>
  <si>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</si>
  <si>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</si>
  <si>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</si>
  <si>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</si>
  <si>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</si>
  <si>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</si>
  <si>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</si>
  <si>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</si>
  <si>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</si>
  <si>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</si>
  <si>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</si>
  <si>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</si>
  <si>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</si>
  <si>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</si>
  <si>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</si>
  <si>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</si>
  <si>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</si>
  <si>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</si>
  <si>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</si>
  <si>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</si>
  <si>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</si>
  <si>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</si>
  <si>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</si>
  <si>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</si>
  <si>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</si>
  <si>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</si>
  <si>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</si>
  <si>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</si>
  <si>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</si>
  <si>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</si>
  <si>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</si>
  <si>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</si>
  <si>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</si>
  <si>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</si>
  <si>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</si>
  <si>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</si>
  <si>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</si>
  <si>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</si>
  <si>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</si>
  <si>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</si>
  <si>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</si>
  <si>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</si>
  <si>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</si>
  <si>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</si>
  <si>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</si>
  <si>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</si>
  <si>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</si>
  <si>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</si>
  <si>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</si>
  <si>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</si>
  <si>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</si>
  <si>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</si>
  <si>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</si>
  <si>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</si>
  <si>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</si>
  <si>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</si>
  <si>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</si>
  <si>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</si>
  <si>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</si>
  <si>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</si>
  <si>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</si>
  <si>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</si>
  <si>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</si>
  <si>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</si>
  <si>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</si>
  <si>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</si>
  <si>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</si>
  <si>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</si>
  <si>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</si>
  <si>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</si>
  <si>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</si>
  <si>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</si>
  <si>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</si>
  <si>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</si>
  <si>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</si>
  <si>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</si>
  <si>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</si>
  <si>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</si>
  <si>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</si>
  <si>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</si>
  <si>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</si>
  <si>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</si>
  <si>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</si>
  <si>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</si>
  <si>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</si>
  <si>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</si>
  <si>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</si>
  <si>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</si>
  <si>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</si>
  <si>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</si>
  <si>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</si>
  <si>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</si>
  <si>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</si>
  <si>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</si>
  <si>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</si>
  <si>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</si>
  <si>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</si>
  <si>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</si>
  <si>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</si>
  <si>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</si>
  <si>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</si>
  <si>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</si>
  <si>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</si>
  <si>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</si>
  <si>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</si>
  <si>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</si>
  <si>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</si>
  <si>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</si>
  <si>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</si>
  <si>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</si>
  <si>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</si>
  <si>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</si>
  <si>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</si>
  <si>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</si>
  <si>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</si>
  <si>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</si>
  <si>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</si>
  <si>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</si>
  <si>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</si>
  <si>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</si>
  <si>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</si>
  <si>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</si>
  <si>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</si>
  <si>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</si>
  <si>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</si>
  <si>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</si>
  <si>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</si>
  <si>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</si>
  <si>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</si>
  <si>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</si>
  <si>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</si>
  <si>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</si>
  <si>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</si>
  <si>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</si>
  <si>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</si>
  <si>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</si>
  <si>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</si>
  <si>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</si>
  <si>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</si>
  <si>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</si>
  <si>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</si>
  <si>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</si>
  <si>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</si>
  <si>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</si>
  <si>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</si>
  <si>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</si>
  <si>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</si>
  <si>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</si>
  <si>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</si>
  <si>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</si>
  <si>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</si>
  <si>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</si>
  <si>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</si>
  <si>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</si>
  <si>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</si>
  <si>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</si>
  <si>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</si>
  <si>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</si>
  <si>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</si>
  <si>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</si>
  <si>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</si>
  <si>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</si>
  <si>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</si>
  <si>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</si>
  <si>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</si>
  <si>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</si>
  <si>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</si>
  <si>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</si>
  <si>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</si>
  <si>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</si>
  <si>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</si>
  <si>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</si>
  <si>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</si>
  <si>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</si>
  <si>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</si>
  <si>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</si>
  <si>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</si>
  <si>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</si>
  <si>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</si>
  <si>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</si>
  <si>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</si>
  <si>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</si>
  <si>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</si>
  <si>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</si>
  <si>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</si>
  <si>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</si>
  <si>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</si>
  <si>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</si>
  <si>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</si>
  <si>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</si>
  <si>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</si>
  <si>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</si>
  <si>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</si>
  <si>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</si>
  <si>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</si>
  <si>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</si>
  <si>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</si>
  <si>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</si>
  <si>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</si>
  <si>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</si>
  <si>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</si>
  <si>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</si>
  <si>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</si>
  <si>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</si>
  <si>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</si>
  <si>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</si>
  <si>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</si>
  <si>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</si>
  <si>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</si>
  <si>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</si>
  <si>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</si>
  <si>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</si>
  <si>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</si>
  <si>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</si>
  <si>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</si>
  <si>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</si>
  <si>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</si>
  <si>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</si>
  <si>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</si>
  <si>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</si>
  <si>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</si>
  <si>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</si>
  <si>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</si>
  <si>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</si>
  <si>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</si>
  <si>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</si>
  <si>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</si>
  <si>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</si>
  <si>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</si>
  <si>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</si>
  <si>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</si>
  <si>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</si>
  <si>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</si>
  <si>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</si>
  <si>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</si>
  <si>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</si>
  <si>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</si>
  <si>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</si>
  <si>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</si>
  <si>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</si>
  <si>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</si>
  <si>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</si>
  <si>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</si>
  <si>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</si>
  <si>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</si>
  <si>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</si>
  <si>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</si>
  <si>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</si>
  <si>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</si>
  <si>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</si>
  <si>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</si>
  <si>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</si>
  <si>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</si>
  <si>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</si>
  <si>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</si>
  <si>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</si>
  <si>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</si>
  <si>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</si>
  <si>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</si>
  <si>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</si>
  <si>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</si>
  <si>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</si>
  <si>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</si>
  <si>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</si>
  <si>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</si>
  <si>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</si>
  <si>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</si>
  <si>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</si>
  <si>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</si>
  <si>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</si>
  <si>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</si>
  <si>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</si>
  <si>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</si>
  <si>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</si>
  <si>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</si>
  <si>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</si>
  <si>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</si>
  <si>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</si>
  <si>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</si>
  <si>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</si>
  <si>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</si>
  <si>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</si>
  <si>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</si>
  <si>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</si>
  <si>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</si>
  <si>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</si>
  <si>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</si>
  <si>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</si>
  <si>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</si>
  <si>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</si>
  <si>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</si>
  <si>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</si>
  <si>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</si>
  <si>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</si>
  <si>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</si>
  <si>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</si>
  <si>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</si>
  <si>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</si>
  <si>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</si>
  <si>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</si>
  <si>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</si>
  <si>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</si>
  <si>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</si>
  <si>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</si>
  <si>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</si>
  <si>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</si>
  <si>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</si>
  <si>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</si>
  <si>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</si>
  <si>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</si>
  <si>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</si>
  <si>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</si>
  <si>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</si>
  <si>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</si>
  <si>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</si>
  <si>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</si>
  <si>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</si>
  <si>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</si>
  <si>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</si>
  <si>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</si>
  <si>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</si>
  <si>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</si>
  <si>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</si>
  <si>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</si>
  <si>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</si>
  <si>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</si>
  <si>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</si>
  <si>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</si>
  <si>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</si>
  <si>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</si>
  <si>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</si>
  <si>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</si>
  <si>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</si>
  <si>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</si>
  <si>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</si>
  <si>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</si>
  <si>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</si>
  <si>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</si>
  <si>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</si>
  <si>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</si>
  <si>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</si>
  <si>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</si>
  <si>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</si>
  <si>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</si>
  <si>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</si>
  <si>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</si>
  <si>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</si>
  <si>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</si>
  <si>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</si>
  <si>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</si>
  <si>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</si>
  <si>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</si>
  <si>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</si>
  <si>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</si>
  <si>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</si>
  <si>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</si>
  <si>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</si>
  <si>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</si>
  <si>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</si>
  <si>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</si>
  <si>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</si>
  <si>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</si>
  <si>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</si>
  <si>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</si>
  <si>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</si>
  <si>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</si>
  <si>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</si>
  <si>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</si>
  <si>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</si>
  <si>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</si>
  <si>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</si>
  <si>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</si>
  <si>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</si>
  <si>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</si>
  <si>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</si>
  <si>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</si>
  <si>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</si>
  <si>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</si>
  <si>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</si>
  <si>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</si>
  <si>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</si>
  <si>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</si>
  <si>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</si>
  <si>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</si>
  <si>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</si>
  <si>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</si>
  <si>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</si>
  <si>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</si>
  <si>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</si>
  <si>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</si>
  <si>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</si>
  <si>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</si>
  <si>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</si>
  <si>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</si>
  <si>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</si>
  <si>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</si>
  <si>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</si>
  <si>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</si>
  <si>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</si>
  <si>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</si>
  <si>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</si>
  <si>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</si>
  <si>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</si>
  <si>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</si>
  <si>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</si>
  <si>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</si>
  <si>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</si>
  <si>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</si>
  <si>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</si>
  <si>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</si>
  <si>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</si>
  <si>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</si>
  <si>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</si>
  <si>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</si>
  <si>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</si>
  <si>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</si>
  <si>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</si>
  <si>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</si>
  <si>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</si>
  <si>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</si>
  <si>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</si>
  <si>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</si>
  <si>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</si>
  <si>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</si>
  <si>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</si>
  <si>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</si>
  <si>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</si>
  <si>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</si>
  <si>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</si>
  <si>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</si>
  <si>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</si>
  <si>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</si>
  <si>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</si>
  <si>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</si>
  <si>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</si>
  <si>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</si>
  <si>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</si>
  <si>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</si>
  <si>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</si>
  <si>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</si>
  <si>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</si>
  <si>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</si>
  <si>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</si>
  <si>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</si>
  <si>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</si>
  <si>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</si>
  <si>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</si>
  <si>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</si>
  <si>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</si>
  <si>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</si>
  <si>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</si>
  <si>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</si>
  <si>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</si>
  <si>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</si>
  <si>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</si>
  <si>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</si>
  <si>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</si>
  <si>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</si>
  <si>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</si>
  <si>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</si>
  <si>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</si>
  <si>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</si>
  <si>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</si>
  <si>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</si>
  <si>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</si>
  <si>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</si>
  <si>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</si>
  <si>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</si>
  <si>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</si>
  <si>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</si>
  <si>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</si>
  <si>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</si>
  <si>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</si>
  <si>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</si>
  <si>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</si>
  <si>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</si>
  <si>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</si>
  <si>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</si>
  <si>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</si>
  <si>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</si>
  <si>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</si>
  <si>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</si>
  <si>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</si>
  <si>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</si>
  <si>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</si>
  <si>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</si>
  <si>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</si>
  <si>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</si>
  <si>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</si>
  <si>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</si>
  <si>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</si>
  <si>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</si>
  <si>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</si>
  <si>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</si>
  <si>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</si>
  <si>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</si>
  <si>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</si>
  <si>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</si>
  <si>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</si>
  <si>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</si>
  <si>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</si>
  <si>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</si>
  <si>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</si>
  <si>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</si>
  <si>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</si>
  <si>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</si>
  <si>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</si>
  <si>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</si>
  <si>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</si>
  <si>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</si>
  <si>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</si>
  <si>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</si>
  <si>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</si>
  <si>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</si>
  <si>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</si>
  <si>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</si>
  <si>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</si>
  <si>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</si>
  <si>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</si>
  <si>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</si>
  <si>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</si>
  <si>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</si>
  <si>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</si>
  <si>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</si>
  <si>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</si>
  <si>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</si>
  <si>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</si>
  <si>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</si>
  <si>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</si>
  <si>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</si>
  <si>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</si>
  <si>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</si>
  <si>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</si>
  <si>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</si>
  <si>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</si>
  <si>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</si>
  <si>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</si>
  <si>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</si>
  <si>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</si>
  <si>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</si>
  <si>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</si>
  <si>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</si>
  <si>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</si>
  <si>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</si>
  <si>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</si>
  <si>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</si>
  <si>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</si>
  <si>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</si>
  <si>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</si>
  <si>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</si>
  <si>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</si>
  <si>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</si>
  <si>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</si>
  <si>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</si>
  <si>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</si>
  <si>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</si>
  <si>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</si>
  <si>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</si>
  <si>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</si>
  <si>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</si>
  <si>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</si>
  <si>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</si>
  <si>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</si>
  <si>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</si>
  <si>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</si>
  <si>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</si>
  <si>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</si>
  <si>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</si>
  <si>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</si>
  <si>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</si>
  <si>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</si>
  <si>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</si>
  <si>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</si>
  <si>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</si>
  <si>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</si>
  <si>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</si>
  <si>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</si>
  <si>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</si>
  <si>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</si>
  <si>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</si>
  <si>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</si>
  <si>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</si>
  <si>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</si>
  <si>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</si>
  <si>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</si>
  <si>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</si>
  <si>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</si>
  <si>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</si>
  <si>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</si>
  <si>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</si>
  <si>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</si>
  <si>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</si>
  <si>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</si>
  <si>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</si>
  <si>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</si>
  <si>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</si>
  <si>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</si>
  <si>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</si>
  <si>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</si>
  <si>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</si>
  <si>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</si>
  <si>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</si>
  <si>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</si>
  <si>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</si>
  <si>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</si>
  <si>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</si>
  <si>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</si>
  <si>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</si>
  <si>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</si>
  <si>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</si>
  <si>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</si>
  <si>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</si>
  <si>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</si>
  <si>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</si>
  <si>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</si>
  <si>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</si>
  <si>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</si>
  <si>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</si>
  <si>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</si>
  <si>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</si>
  <si>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</si>
  <si>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</si>
  <si>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</si>
  <si>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</si>
  <si>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</si>
  <si>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</si>
  <si>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</si>
  <si>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</si>
  <si>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</si>
  <si>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</si>
  <si>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</si>
  <si>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</si>
  <si>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</si>
  <si>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</si>
  <si>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</si>
  <si>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</si>
  <si>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</si>
  <si>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</si>
  <si>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</si>
  <si>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</si>
  <si>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</si>
  <si>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</si>
  <si>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</si>
  <si>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</si>
  <si>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Ingresos Históricos</t>
  </si>
  <si>
    <t>Ingresos Nacionales</t>
  </si>
  <si>
    <t>CLP/mes</t>
  </si>
  <si>
    <t>Elaboración propia con base en Encuestas CASEN 2006 a 2017</t>
  </si>
  <si>
    <t>Años 2006-2009-2011-2013-2015-2017</t>
  </si>
  <si>
    <t>Ingresos Regionales</t>
  </si>
  <si>
    <t>Ingresos Comunales</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</si>
  <si>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</si>
  <si>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</si>
  <si>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</si>
  <si>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</si>
  <si>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</si>
  <si>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</si>
  <si>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</si>
  <si>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</si>
  <si>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</si>
  <si>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</si>
  <si>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</si>
  <si>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</si>
  <si>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</si>
  <si>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</si>
  <si>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</si>
  <si>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</si>
  <si>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</si>
  <si>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</si>
  <si>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</si>
  <si>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</si>
  <si>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</si>
  <si>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</si>
  <si>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</si>
  <si>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</si>
  <si>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</si>
  <si>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</si>
  <si>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</si>
  <si>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</si>
  <si>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</si>
  <si>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</si>
  <si>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</si>
  <si>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</si>
  <si>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</si>
  <si>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</si>
  <si>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</si>
  <si>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</si>
  <si>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</si>
  <si>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</si>
  <si>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</si>
  <si>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</si>
  <si>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</si>
  <si>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</si>
  <si>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</si>
  <si>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</si>
  <si>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</si>
  <si>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</si>
  <si>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</si>
  <si>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</si>
  <si>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</si>
  <si>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</si>
  <si>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</si>
  <si>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</si>
  <si>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</si>
  <si>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</si>
  <si>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</si>
  <si>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</si>
  <si>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</si>
  <si>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</si>
  <si>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</si>
  <si>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</si>
  <si>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</si>
  <si>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</si>
  <si>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</si>
  <si>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</si>
  <si>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</si>
  <si>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</si>
  <si>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</si>
  <si>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</si>
  <si>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</si>
  <si>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</si>
  <si>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</si>
  <si>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</si>
  <si>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</si>
  <si>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</si>
  <si>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</si>
  <si>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</si>
  <si>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</si>
  <si>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</si>
  <si>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</si>
  <si>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</si>
  <si>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</si>
  <si>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</si>
  <si>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</si>
  <si>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</si>
  <si>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</si>
  <si>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</si>
  <si>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</si>
  <si>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</si>
  <si>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</si>
  <si>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</si>
  <si>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</si>
  <si>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</si>
  <si>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</si>
  <si>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</si>
  <si>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</si>
  <si>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</si>
  <si>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</si>
  <si>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</si>
  <si>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</si>
  <si>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</si>
  <si>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</si>
  <si>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</si>
  <si>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</si>
  <si>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</si>
  <si>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</si>
  <si>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</si>
  <si>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</si>
  <si>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</si>
  <si>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</si>
  <si>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</si>
  <si>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</si>
  <si>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</si>
  <si>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</si>
  <si>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</si>
  <si>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</si>
  <si>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</si>
  <si>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</si>
  <si>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</si>
  <si>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</si>
  <si>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</si>
  <si>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</si>
  <si>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</si>
  <si>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</si>
  <si>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</si>
  <si>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</si>
  <si>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</si>
  <si>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</si>
  <si>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</si>
  <si>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</si>
  <si>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</si>
  <si>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</si>
  <si>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</si>
  <si>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</si>
  <si>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</si>
  <si>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</si>
  <si>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</si>
  <si>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</si>
  <si>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</si>
  <si>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</si>
  <si>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</si>
  <si>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</si>
  <si>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</si>
  <si>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</si>
  <si>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</si>
  <si>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</si>
  <si>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</si>
  <si>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</si>
  <si>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</si>
  <si>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</si>
  <si>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</si>
  <si>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</si>
  <si>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</si>
  <si>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</si>
  <si>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</si>
  <si>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</si>
  <si>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</si>
  <si>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</si>
  <si>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</si>
  <si>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</si>
  <si>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</si>
  <si>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</si>
  <si>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</si>
  <si>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</si>
  <si>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</si>
  <si>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</si>
  <si>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</si>
  <si>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</si>
  <si>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</si>
  <si>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</si>
  <si>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</si>
  <si>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</si>
  <si>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</si>
  <si>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</si>
  <si>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</si>
  <si>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</si>
  <si>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</si>
  <si>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</si>
  <si>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</si>
  <si>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</si>
  <si>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</si>
  <si>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</si>
  <si>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</si>
  <si>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</si>
  <si>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</si>
  <si>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</si>
  <si>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</si>
  <si>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</si>
  <si>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</si>
  <si>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</si>
  <si>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</si>
  <si>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</si>
  <si>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</si>
  <si>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</si>
  <si>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</si>
  <si>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</si>
  <si>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</si>
  <si>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</si>
  <si>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</si>
  <si>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</si>
  <si>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</si>
  <si>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</si>
  <si>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</si>
  <si>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</si>
  <si>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</si>
  <si>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</si>
  <si>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</si>
  <si>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</si>
  <si>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</si>
  <si>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</si>
  <si>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</si>
  <si>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</si>
  <si>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</si>
  <si>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</si>
  <si>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</si>
  <si>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</si>
  <si>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</si>
  <si>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</si>
  <si>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</si>
  <si>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</si>
  <si>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</si>
  <si>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</si>
  <si>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</si>
  <si>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</si>
  <si>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</si>
  <si>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</si>
  <si>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</si>
  <si>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</si>
  <si>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</si>
  <si>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</si>
  <si>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</si>
  <si>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</si>
  <si>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</si>
  <si>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</si>
  <si>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</si>
  <si>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</si>
  <si>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</si>
  <si>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</si>
  <si>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</si>
  <si>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</si>
  <si>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</si>
  <si>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</si>
  <si>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</si>
  <si>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</si>
  <si>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</si>
  <si>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</si>
  <si>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</si>
  <si>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</si>
  <si>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</si>
  <si>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</si>
  <si>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</si>
  <si>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</si>
  <si>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</si>
  <si>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</si>
  <si>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</si>
  <si>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</si>
  <si>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</si>
  <si>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</si>
  <si>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</si>
  <si>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</si>
  <si>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</si>
  <si>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</si>
  <si>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</si>
  <si>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</si>
  <si>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</si>
  <si>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</si>
  <si>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</si>
  <si>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</si>
  <si>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</si>
  <si>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</si>
  <si>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</si>
  <si>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</si>
  <si>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</si>
  <si>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</si>
  <si>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</si>
  <si>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</si>
  <si>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</si>
  <si>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</si>
  <si>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</si>
  <si>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</si>
  <si>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</si>
  <si>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</si>
  <si>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</si>
  <si>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</si>
  <si>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</si>
  <si>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</si>
  <si>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</si>
  <si>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</si>
  <si>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</si>
  <si>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</si>
  <si>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</si>
  <si>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</si>
  <si>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</si>
  <si>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</si>
  <si>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</si>
  <si>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</si>
  <si>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</si>
  <si>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</si>
  <si>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</si>
  <si>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</si>
  <si>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</si>
  <si>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</si>
  <si>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</si>
  <si>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</si>
  <si>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</si>
  <si>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</si>
  <si>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</si>
  <si>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</si>
  <si>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</si>
  <si>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</si>
  <si>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</si>
  <si>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</si>
  <si>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</si>
  <si>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</si>
  <si>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</si>
  <si>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</si>
  <si>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</si>
  <si>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</si>
  <si>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</si>
  <si>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</si>
  <si>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</si>
  <si>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</si>
  <si>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</si>
  <si>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</si>
  <si>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</si>
  <si>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</si>
  <si>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</si>
  <si>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</si>
  <si>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</si>
  <si>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</si>
  <si>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</si>
  <si>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</si>
  <si>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</si>
  <si>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</si>
  <si>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</si>
  <si>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</si>
  <si>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</si>
  <si>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</si>
  <si>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</si>
  <si>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</si>
  <si>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</si>
  <si>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</si>
  <si>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</si>
  <si>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</si>
  <si>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</si>
  <si>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</si>
  <si>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</si>
  <si>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</si>
  <si>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</si>
  <si>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</si>
  <si>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</si>
  <si>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</si>
  <si>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</si>
  <si>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</si>
  <si>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</si>
  <si>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</si>
  <si>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</si>
  <si>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</si>
  <si>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</si>
  <si>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</si>
  <si>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</si>
  <si>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</si>
  <si>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</si>
  <si>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3833</t>
  </si>
  <si>
    <t>4944</t>
  </si>
  <si>
    <t>3933</t>
  </si>
  <si>
    <t>4044</t>
  </si>
  <si>
    <t>5055</t>
  </si>
  <si>
    <t>4144</t>
  </si>
  <si>
    <t>2007</t>
  </si>
  <si>
    <t>2008</t>
  </si>
  <si>
    <t>2009</t>
  </si>
  <si>
    <t>2010</t>
  </si>
  <si>
    <t>2011</t>
  </si>
  <si>
    <t>2012</t>
  </si>
  <si>
    <t>2013</t>
  </si>
  <si>
    <t>2014</t>
  </si>
  <si>
    <t>2015</t>
  </si>
  <si>
    <t>2016</t>
  </si>
  <si>
    <t>2017</t>
  </si>
  <si>
    <t>2018</t>
  </si>
  <si>
    <t>2019</t>
  </si>
  <si>
    <t>2020</t>
  </si>
  <si>
    <t>2021</t>
  </si>
  <si>
    <t>3673</t>
  </si>
  <si>
    <t>3773</t>
  </si>
  <si>
    <t>3873</t>
  </si>
  <si>
    <t>3973</t>
  </si>
  <si>
    <t>3173</t>
  </si>
  <si>
    <t>3273</t>
  </si>
  <si>
    <t>3373</t>
  </si>
  <si>
    <t>3473</t>
  </si>
  <si>
    <t>3573</t>
  </si>
  <si>
    <t>4673</t>
  </si>
  <si>
    <t>4773</t>
  </si>
  <si>
    <t>4873</t>
  </si>
  <si>
    <t>4973</t>
  </si>
  <si>
    <t>4073</t>
  </si>
  <si>
    <t>4173</t>
  </si>
  <si>
    <t>4273</t>
  </si>
  <si>
    <t>4373</t>
  </si>
  <si>
    <t>4473</t>
  </si>
  <si>
    <t>4573</t>
  </si>
  <si>
    <t>3131</t>
  </si>
  <si>
    <t>3232</t>
  </si>
  <si>
    <t>3333</t>
  </si>
  <si>
    <t>3434</t>
  </si>
  <si>
    <t>3535</t>
  </si>
  <si>
    <t>3636</t>
  </si>
  <si>
    <t>3737</t>
  </si>
  <si>
    <t>3838</t>
  </si>
  <si>
    <t>3939</t>
  </si>
  <si>
    <t>4030</t>
  </si>
  <si>
    <t>4131</t>
  </si>
  <si>
    <t>4232</t>
  </si>
  <si>
    <t>4333</t>
  </si>
  <si>
    <t>4434</t>
  </si>
  <si>
    <t>4535</t>
  </si>
  <si>
    <t>4636</t>
  </si>
  <si>
    <t>4737</t>
  </si>
  <si>
    <t>4838</t>
  </si>
  <si>
    <t>4939</t>
  </si>
  <si>
    <t>5030</t>
  </si>
  <si>
    <t>3947</t>
  </si>
  <si>
    <t>3957</t>
  </si>
  <si>
    <t>3967</t>
  </si>
  <si>
    <t>3977</t>
  </si>
  <si>
    <t>3987</t>
  </si>
  <si>
    <t>3997</t>
  </si>
  <si>
    <t>3907</t>
  </si>
  <si>
    <t>3917</t>
  </si>
  <si>
    <t>4047</t>
  </si>
  <si>
    <t>4057</t>
  </si>
  <si>
    <t>4067</t>
  </si>
  <si>
    <t>4077</t>
  </si>
  <si>
    <t>4087</t>
  </si>
  <si>
    <t>4097</t>
  </si>
  <si>
    <t>4007</t>
  </si>
  <si>
    <t>4017</t>
  </si>
  <si>
    <t>4127</t>
  </si>
  <si>
    <t>4137</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</si>
  <si>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</si>
  <si>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</si>
  <si>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</si>
  <si>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</si>
  <si>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</si>
  <si>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</si>
  <si>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</si>
  <si>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</si>
  <si>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</si>
  <si>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</si>
  <si>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</si>
  <si>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</si>
  <si>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</si>
  <si>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</si>
  <si>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</si>
  <si>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</si>
  <si>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</si>
  <si>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</si>
  <si>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</si>
  <si>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</si>
  <si>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</si>
  <si>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</si>
  <si>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</si>
  <si>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</si>
  <si>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</si>
  <si>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</si>
  <si>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</si>
  <si>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</si>
  <si>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</si>
  <si>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</si>
  <si>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</si>
  <si>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</si>
  <si>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</si>
  <si>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</si>
  <si>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</si>
  <si>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</si>
  <si>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</si>
  <si>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</si>
  <si>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</si>
  <si>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</si>
  <si>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</si>
  <si>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</si>
  <si>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</si>
  <si>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</si>
  <si>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</si>
  <si>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</si>
  <si>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</si>
  <si>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</si>
  <si>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</si>
  <si>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</si>
  <si>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</si>
  <si>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</si>
  <si>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</si>
  <si>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</si>
  <si>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</si>
  <si>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</si>
  <si>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</si>
  <si>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</si>
  <si>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</si>
  <si>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</si>
  <si>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</si>
  <si>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</si>
  <si>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</si>
  <si>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</si>
  <si>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</si>
  <si>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</si>
  <si>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</si>
  <si>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</si>
  <si>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</si>
  <si>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</si>
  <si>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</si>
  <si>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</si>
  <si>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</si>
  <si>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</si>
  <si>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</si>
  <si>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</si>
  <si>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</si>
  <si>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</si>
  <si>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</si>
  <si>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</si>
  <si>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</si>
  <si>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</si>
  <si>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</si>
  <si>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</si>
  <si>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</si>
  <si>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</si>
  <si>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</si>
  <si>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</si>
  <si>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</si>
  <si>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</si>
  <si>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</si>
  <si>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</si>
  <si>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</si>
  <si>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</si>
  <si>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</si>
  <si>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</si>
  <si>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</si>
  <si>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</si>
  <si>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</si>
  <si>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</si>
  <si>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</si>
  <si>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</si>
  <si>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</si>
  <si>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</si>
  <si>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</si>
  <si>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</si>
  <si>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</si>
  <si>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</si>
  <si>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</si>
  <si>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</si>
  <si>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</si>
  <si>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</si>
  <si>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</si>
  <si>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</si>
  <si>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</si>
  <si>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</si>
  <si>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</si>
  <si>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</si>
  <si>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</si>
  <si>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</si>
  <si>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</si>
  <si>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</si>
  <si>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</si>
  <si>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</si>
  <si>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</si>
  <si>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</si>
  <si>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</si>
  <si>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</si>
  <si>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</si>
  <si>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</si>
  <si>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</si>
  <si>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</si>
  <si>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</si>
  <si>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</si>
  <si>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</si>
  <si>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</si>
  <si>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</si>
  <si>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</si>
  <si>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</si>
  <si>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</si>
  <si>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</si>
  <si>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</si>
  <si>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</si>
  <si>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</si>
  <si>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</si>
  <si>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</si>
  <si>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</si>
  <si>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</si>
  <si>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</si>
  <si>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</si>
  <si>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</si>
  <si>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</si>
  <si>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</si>
  <si>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</si>
  <si>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</si>
  <si>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</si>
  <si>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</si>
  <si>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</si>
  <si>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</si>
  <si>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</si>
  <si>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</si>
  <si>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</si>
  <si>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</si>
  <si>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</si>
  <si>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</si>
  <si>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</si>
  <si>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3271</t>
  </si>
  <si>
    <t>3282</t>
  </si>
  <si>
    <t>3293</t>
  </si>
  <si>
    <t>3304</t>
  </si>
  <si>
    <t>3315</t>
  </si>
  <si>
    <t>3326</t>
  </si>
  <si>
    <t>3337</t>
  </si>
  <si>
    <t>3348</t>
  </si>
  <si>
    <t>3359</t>
  </si>
  <si>
    <t>3360</t>
  </si>
  <si>
    <t>3371</t>
  </si>
  <si>
    <t>3382</t>
  </si>
  <si>
    <t>3393</t>
  </si>
  <si>
    <t>3404</t>
  </si>
  <si>
    <t>3415</t>
  </si>
  <si>
    <t>3426</t>
  </si>
  <si>
    <t>3437</t>
  </si>
  <si>
    <t>3448</t>
  </si>
  <si>
    <t>3459</t>
  </si>
  <si>
    <t>3460</t>
  </si>
  <si>
    <t>3471</t>
  </si>
  <si>
    <t>3482</t>
  </si>
  <si>
    <t>3493</t>
  </si>
  <si>
    <t>3504</t>
  </si>
  <si>
    <t>3515</t>
  </si>
  <si>
    <t>3526</t>
  </si>
  <si>
    <t>3260</t>
  </si>
  <si>
    <t>3261</t>
  </si>
  <si>
    <t>3262</t>
  </si>
  <si>
    <t>3263</t>
  </si>
  <si>
    <t>3264</t>
  </si>
  <si>
    <t>3265</t>
  </si>
  <si>
    <t>3266</t>
  </si>
  <si>
    <t>3267</t>
  </si>
  <si>
    <t>3268</t>
  </si>
  <si>
    <t>3269</t>
  </si>
  <si>
    <t>3270</t>
  </si>
  <si>
    <t>3272</t>
  </si>
  <si>
    <t>3274</t>
  </si>
  <si>
    <t>3275</t>
  </si>
  <si>
    <t>3276</t>
  </si>
  <si>
    <t>3277</t>
  </si>
  <si>
    <t>3278</t>
  </si>
  <si>
    <t>3279</t>
  </si>
  <si>
    <t>3280</t>
  </si>
  <si>
    <t>3281</t>
  </si>
  <si>
    <t>3283</t>
  </si>
  <si>
    <t>3284</t>
  </si>
  <si>
    <t>3285</t>
  </si>
  <si>
    <t>3286</t>
  </si>
  <si>
    <t>3287</t>
  </si>
  <si>
    <t>3288</t>
  </si>
  <si>
    <t>3289</t>
  </si>
  <si>
    <t>3290</t>
  </si>
  <si>
    <t>3291</t>
  </si>
  <si>
    <t>3292</t>
  </si>
  <si>
    <t>3294</t>
  </si>
  <si>
    <t>3295</t>
  </si>
  <si>
    <t>3296</t>
  </si>
  <si>
    <t>3297</t>
  </si>
  <si>
    <t>3298</t>
  </si>
  <si>
    <t>3299</t>
  </si>
  <si>
    <t>3300</t>
  </si>
  <si>
    <t>3301</t>
  </si>
  <si>
    <t>3302</t>
  </si>
  <si>
    <t>3303</t>
  </si>
  <si>
    <t>3305</t>
  </si>
  <si>
    <t>3306</t>
  </si>
  <si>
    <t>3307</t>
  </si>
  <si>
    <t>3308</t>
  </si>
  <si>
    <t>3309</t>
  </si>
  <si>
    <t>3310</t>
  </si>
  <si>
    <t>3311</t>
  </si>
  <si>
    <t>3312</t>
  </si>
  <si>
    <t>3313</t>
  </si>
  <si>
    <t>3314</t>
  </si>
  <si>
    <t>3316</t>
  </si>
  <si>
    <t>3317</t>
  </si>
  <si>
    <t>3318</t>
  </si>
  <si>
    <t>3319</t>
  </si>
  <si>
    <t>3320</t>
  </si>
  <si>
    <t>3321</t>
  </si>
  <si>
    <t>3322</t>
  </si>
  <si>
    <t>3323</t>
  </si>
  <si>
    <t>3324</t>
  </si>
  <si>
    <t>3325</t>
  </si>
  <si>
    <t>3327</t>
  </si>
  <si>
    <t>3328</t>
  </si>
  <si>
    <t>3329</t>
  </si>
  <si>
    <t>3330</t>
  </si>
  <si>
    <t>3331</t>
  </si>
  <si>
    <t>3332</t>
  </si>
  <si>
    <t>3334</t>
  </si>
  <si>
    <t>3335</t>
  </si>
  <si>
    <t>3336</t>
  </si>
  <si>
    <t>3338</t>
  </si>
  <si>
    <t>3339</t>
  </si>
  <si>
    <t>3340</t>
  </si>
  <si>
    <t>3341</t>
  </si>
  <si>
    <t>3342</t>
  </si>
  <si>
    <t>3343</t>
  </si>
  <si>
    <t>3344</t>
  </si>
  <si>
    <t>3345</t>
  </si>
  <si>
    <t>3346</t>
  </si>
  <si>
    <t>3347</t>
  </si>
  <si>
    <t>3349</t>
  </si>
  <si>
    <t>3350</t>
  </si>
  <si>
    <t>3351</t>
  </si>
  <si>
    <t>3352</t>
  </si>
  <si>
    <t>3353</t>
  </si>
  <si>
    <t>3354</t>
  </si>
  <si>
    <t>3355</t>
  </si>
  <si>
    <t>3356</t>
  </si>
  <si>
    <t>3357</t>
  </si>
  <si>
    <t>3358</t>
  </si>
  <si>
    <t>3361</t>
  </si>
  <si>
    <t>3362</t>
  </si>
  <si>
    <t>3363</t>
  </si>
  <si>
    <t>3364</t>
  </si>
  <si>
    <t>3365</t>
  </si>
  <si>
    <t>3366</t>
  </si>
  <si>
    <t>3367</t>
  </si>
  <si>
    <t>3368</t>
  </si>
  <si>
    <t>3369</t>
  </si>
  <si>
    <t>3370</t>
  </si>
  <si>
    <t>3372</t>
  </si>
  <si>
    <t>3374</t>
  </si>
  <si>
    <t>3375</t>
  </si>
  <si>
    <t>3376</t>
  </si>
  <si>
    <t>3377</t>
  </si>
  <si>
    <t>3378</t>
  </si>
  <si>
    <t>3379</t>
  </si>
  <si>
    <t>3380</t>
  </si>
  <si>
    <t>3381</t>
  </si>
  <si>
    <t>3383</t>
  </si>
  <si>
    <t>3384</t>
  </si>
  <si>
    <t>3385</t>
  </si>
  <si>
    <t>3386</t>
  </si>
  <si>
    <t>3387</t>
  </si>
  <si>
    <t>3388</t>
  </si>
  <si>
    <t>3389</t>
  </si>
  <si>
    <t>3390</t>
  </si>
  <si>
    <t>3391</t>
  </si>
  <si>
    <t>3392</t>
  </si>
  <si>
    <t>3394</t>
  </si>
  <si>
    <t>3395</t>
  </si>
  <si>
    <t>3396</t>
  </si>
  <si>
    <t>3397</t>
  </si>
  <si>
    <t>3398</t>
  </si>
  <si>
    <t>3399</t>
  </si>
  <si>
    <t>3400</t>
  </si>
  <si>
    <t>3401</t>
  </si>
  <si>
    <t>3402</t>
  </si>
  <si>
    <t>3403</t>
  </si>
  <si>
    <t>3405</t>
  </si>
  <si>
    <t>3406</t>
  </si>
  <si>
    <t>3407</t>
  </si>
  <si>
    <t>3408</t>
  </si>
  <si>
    <t>3409</t>
  </si>
  <si>
    <t>3410</t>
  </si>
  <si>
    <t>3411</t>
  </si>
  <si>
    <t>3412</t>
  </si>
  <si>
    <t>3413</t>
  </si>
  <si>
    <t>3414</t>
  </si>
  <si>
    <t>3416</t>
  </si>
  <si>
    <t>3417</t>
  </si>
  <si>
    <t>3418</t>
  </si>
  <si>
    <t>3419</t>
  </si>
  <si>
    <t>3420</t>
  </si>
  <si>
    <t>3421</t>
  </si>
  <si>
    <t>3422</t>
  </si>
  <si>
    <t>3423</t>
  </si>
  <si>
    <t>3424</t>
  </si>
  <si>
    <t>3425</t>
  </si>
  <si>
    <t>3427</t>
  </si>
  <si>
    <t>3428</t>
  </si>
  <si>
    <t>3429</t>
  </si>
  <si>
    <t>3430</t>
  </si>
  <si>
    <t>3431</t>
  </si>
  <si>
    <t>3432</t>
  </si>
  <si>
    <t>3433</t>
  </si>
  <si>
    <t>3435</t>
  </si>
  <si>
    <t>3436</t>
  </si>
  <si>
    <t>3438</t>
  </si>
  <si>
    <t>3439</t>
  </si>
  <si>
    <t>3440</t>
  </si>
  <si>
    <t>3441</t>
  </si>
  <si>
    <t>3442</t>
  </si>
  <si>
    <t>3443</t>
  </si>
  <si>
    <t>3444</t>
  </si>
  <si>
    <t>3445</t>
  </si>
  <si>
    <t>3446</t>
  </si>
  <si>
    <t>3447</t>
  </si>
  <si>
    <t>3449</t>
  </si>
  <si>
    <t>3450</t>
  </si>
  <si>
    <t>3451</t>
  </si>
  <si>
    <t>3452</t>
  </si>
  <si>
    <t>3453</t>
  </si>
  <si>
    <t>3454</t>
  </si>
  <si>
    <t>3455</t>
  </si>
  <si>
    <t>3456</t>
  </si>
  <si>
    <t>3457</t>
  </si>
  <si>
    <t>3458</t>
  </si>
  <si>
    <t>3461</t>
  </si>
  <si>
    <t>3462</t>
  </si>
  <si>
    <t>3463</t>
  </si>
  <si>
    <t>3464</t>
  </si>
  <si>
    <t>3465</t>
  </si>
  <si>
    <t>3466</t>
  </si>
  <si>
    <t>3467</t>
  </si>
  <si>
    <t>3468</t>
  </si>
  <si>
    <t>3469</t>
  </si>
  <si>
    <t>3470</t>
  </si>
  <si>
    <t>3472</t>
  </si>
  <si>
    <t>3474</t>
  </si>
  <si>
    <t>3475</t>
  </si>
  <si>
    <t>3476</t>
  </si>
  <si>
    <t>3477</t>
  </si>
  <si>
    <t>3478</t>
  </si>
  <si>
    <t>3479</t>
  </si>
  <si>
    <t>3480</t>
  </si>
  <si>
    <t>3481</t>
  </si>
  <si>
    <t>3483</t>
  </si>
  <si>
    <t>3484</t>
  </si>
  <si>
    <t>3485</t>
  </si>
  <si>
    <t>3486</t>
  </si>
  <si>
    <t>3487</t>
  </si>
  <si>
    <t>3488</t>
  </si>
  <si>
    <t>3489</t>
  </si>
  <si>
    <t>3490</t>
  </si>
  <si>
    <t>3491</t>
  </si>
  <si>
    <t>3492</t>
  </si>
  <si>
    <t>3494</t>
  </si>
  <si>
    <t>3495</t>
  </si>
  <si>
    <t>3496</t>
  </si>
  <si>
    <t>3497</t>
  </si>
  <si>
    <t>3498</t>
  </si>
  <si>
    <t>3499</t>
  </si>
  <si>
    <t>3500</t>
  </si>
  <si>
    <t>3501</t>
  </si>
  <si>
    <t>3502</t>
  </si>
  <si>
    <t>3503</t>
  </si>
  <si>
    <t>3505</t>
  </si>
  <si>
    <t>3506</t>
  </si>
  <si>
    <t>3507</t>
  </si>
  <si>
    <t>3508</t>
  </si>
  <si>
    <t>3509</t>
  </si>
  <si>
    <t>3510</t>
  </si>
  <si>
    <t>3511</t>
  </si>
  <si>
    <t>3512</t>
  </si>
  <si>
    <t>3513</t>
  </si>
  <si>
    <t>3514</t>
  </si>
  <si>
    <t>3516</t>
  </si>
  <si>
    <t>3517</t>
  </si>
  <si>
    <t>3518</t>
  </si>
  <si>
    <t>3519</t>
  </si>
  <si>
    <t>3520</t>
  </si>
  <si>
    <t>3521</t>
  </si>
  <si>
    <t>3522</t>
  </si>
  <si>
    <t>3523</t>
  </si>
  <si>
    <t>3524</t>
  </si>
  <si>
    <t>3525</t>
  </si>
  <si>
    <t>3527</t>
  </si>
  <si>
    <t>3528</t>
  </si>
  <si>
    <t>3529</t>
  </si>
  <si>
    <t>3530</t>
  </si>
  <si>
    <t>3531</t>
  </si>
  <si>
    <t>3532</t>
  </si>
  <si>
    <t>3533</t>
  </si>
  <si>
    <t>3534</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</si>
  <si>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</si>
  <si>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</si>
  <si>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</si>
  <si>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</si>
  <si>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</si>
  <si>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</si>
  <si>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</si>
  <si>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</si>
  <si>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</si>
  <si>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</si>
  <si>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</si>
  <si>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</si>
  <si>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</si>
  <si>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</si>
  <si>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</si>
  <si>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</si>
  <si>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</si>
  <si>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</si>
  <si>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</si>
  <si>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</si>
  <si>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</si>
  <si>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</si>
  <si>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</si>
  <si>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</si>
  <si>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</si>
  <si>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</si>
  <si>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</si>
  <si>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</si>
  <si>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</si>
  <si>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</si>
  <si>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</si>
  <si>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</si>
  <si>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</si>
  <si>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</si>
  <si>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</si>
  <si>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</si>
  <si>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</si>
  <si>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</si>
  <si>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</si>
  <si>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</si>
  <si>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</si>
  <si>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</si>
  <si>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</si>
  <si>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</si>
  <si>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</si>
  <si>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</si>
  <si>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</si>
  <si>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</si>
  <si>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</si>
  <si>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</si>
  <si>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</si>
  <si>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</si>
  <si>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</si>
  <si>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</si>
  <si>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</si>
  <si>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</si>
  <si>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</si>
  <si>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</si>
  <si>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</si>
  <si>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</si>
  <si>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</si>
  <si>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</si>
  <si>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</si>
  <si>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</si>
  <si>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</si>
  <si>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</si>
  <si>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</si>
  <si>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</si>
  <si>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</si>
  <si>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</si>
  <si>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</si>
  <si>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</si>
  <si>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</si>
  <si>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</si>
  <si>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</si>
  <si>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</si>
  <si>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</si>
  <si>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</si>
  <si>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</si>
  <si>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</si>
  <si>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</si>
  <si>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</si>
  <si>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</si>
  <si>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</si>
  <si>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</si>
  <si>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3721</t>
  </si>
  <si>
    <t>3821</t>
  </si>
  <si>
    <t>3922</t>
  </si>
  <si>
    <t>3622</t>
  </si>
  <si>
    <t>3623</t>
  </si>
  <si>
    <t>3624</t>
  </si>
  <si>
    <t>3625</t>
  </si>
  <si>
    <t>3626</t>
  </si>
  <si>
    <t>3627</t>
  </si>
  <si>
    <t>3628</t>
  </si>
  <si>
    <t>3629</t>
  </si>
  <si>
    <t>3630</t>
  </si>
  <si>
    <t>3631</t>
  </si>
  <si>
    <t>3632</t>
  </si>
  <si>
    <t>3633</t>
  </si>
  <si>
    <t>3634</t>
  </si>
  <si>
    <t>3635</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</si>
  <si>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</si>
  <si>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</si>
  <si>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</si>
  <si>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</si>
  <si>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</si>
  <si>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</si>
  <si>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</si>
  <si>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</si>
  <si>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</si>
  <si>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</si>
  <si>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</si>
  <si>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</si>
  <si>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</si>
  <si>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</si>
  <si>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</si>
  <si>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</si>
  <si>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</si>
  <si>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</si>
  <si>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</si>
  <si>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</si>
  <si>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</si>
  <si>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</si>
  <si>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</si>
  <si>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</si>
  <si>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</si>
  <si>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</si>
  <si>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</si>
  <si>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</si>
  <si>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</si>
  <si>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</si>
  <si>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</si>
  <si>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</si>
  <si>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</si>
  <si>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</si>
  <si>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</si>
  <si>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</si>
  <si>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</si>
  <si>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</si>
  <si>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</si>
  <si>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</si>
  <si>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</si>
  <si>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</si>
  <si>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</si>
  <si>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</si>
  <si>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</si>
  <si>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</si>
  <si>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</si>
  <si>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</si>
  <si>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</si>
  <si>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</si>
  <si>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</si>
  <si>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</si>
  <si>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</si>
  <si>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</si>
  <si>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</si>
  <si>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</si>
  <si>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</si>
  <si>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</si>
  <si>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</si>
  <si>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</si>
  <si>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</si>
  <si>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</si>
  <si>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</si>
  <si>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</si>
  <si>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</si>
  <si>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</si>
  <si>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</si>
  <si>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</si>
  <si>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</si>
  <si>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</si>
  <si>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</si>
  <si>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</si>
  <si>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</si>
  <si>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</si>
  <si>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</si>
  <si>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</si>
  <si>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</si>
  <si>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</si>
  <si>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</si>
  <si>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</si>
  <si>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</si>
  <si>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</si>
  <si>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</si>
  <si>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3722</t>
  </si>
  <si>
    <t>3723</t>
  </si>
  <si>
    <t>3724</t>
  </si>
  <si>
    <t>3725</t>
  </si>
  <si>
    <t>3726</t>
  </si>
  <si>
    <t>3727</t>
  </si>
  <si>
    <t>3728</t>
  </si>
  <si>
    <t>3729</t>
  </si>
  <si>
    <t>3730</t>
  </si>
  <si>
    <t>3731</t>
  </si>
  <si>
    <t>3732</t>
  </si>
  <si>
    <t>3733</t>
  </si>
  <si>
    <t>3734</t>
  </si>
  <si>
    <t>3735</t>
  </si>
  <si>
    <t>3736</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</si>
  <si>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</si>
  <si>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</si>
  <si>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</si>
  <si>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</si>
  <si>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</si>
  <si>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</si>
  <si>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</si>
  <si>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</si>
  <si>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</si>
  <si>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</si>
  <si>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</si>
  <si>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</si>
  <si>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</si>
  <si>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</si>
  <si>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</si>
  <si>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</si>
  <si>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</si>
  <si>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</si>
  <si>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</si>
  <si>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</si>
  <si>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</si>
  <si>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</si>
  <si>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</si>
  <si>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</si>
  <si>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</si>
  <si>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</si>
  <si>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</si>
  <si>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</si>
  <si>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</si>
  <si>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</si>
  <si>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</si>
  <si>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</si>
  <si>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</si>
  <si>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</si>
  <si>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</si>
  <si>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</si>
  <si>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</si>
  <si>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</si>
  <si>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</si>
  <si>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</si>
  <si>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</si>
  <si>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</si>
  <si>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</si>
  <si>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</si>
  <si>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</si>
  <si>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</si>
  <si>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</si>
  <si>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</si>
  <si>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</si>
  <si>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</si>
  <si>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</si>
  <si>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</si>
  <si>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</si>
  <si>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</si>
  <si>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</si>
  <si>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</si>
  <si>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</si>
  <si>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</si>
  <si>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</si>
  <si>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</si>
  <si>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</si>
  <si>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</si>
  <si>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</si>
  <si>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</si>
  <si>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</si>
  <si>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</si>
  <si>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</si>
  <si>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</si>
  <si>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</si>
  <si>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</si>
  <si>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</si>
  <si>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</si>
  <si>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</si>
  <si>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</si>
  <si>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</si>
  <si>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</si>
  <si>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</si>
  <si>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</si>
  <si>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</si>
  <si>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</si>
  <si>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</si>
  <si>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</si>
  <si>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3822</t>
  </si>
  <si>
    <t>3823</t>
  </si>
  <si>
    <t>3824</t>
  </si>
  <si>
    <t>3825</t>
  </si>
  <si>
    <t>3826</t>
  </si>
  <si>
    <t>3827</t>
  </si>
  <si>
    <t>3828</t>
  </si>
  <si>
    <t>3829</t>
  </si>
  <si>
    <t>3830</t>
  </si>
  <si>
    <t>3831</t>
  </si>
  <si>
    <t>3832</t>
  </si>
  <si>
    <t>3834</t>
  </si>
  <si>
    <t>3835</t>
  </si>
  <si>
    <t>3836</t>
  </si>
  <si>
    <t>3837</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</si>
  <si>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</si>
  <si>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</si>
  <si>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</si>
  <si>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</si>
  <si>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</si>
  <si>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</si>
  <si>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</si>
  <si>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</si>
  <si>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</si>
  <si>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</si>
  <si>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</si>
  <si>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</si>
  <si>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</si>
  <si>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</si>
  <si>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</si>
  <si>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</si>
  <si>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</si>
  <si>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</si>
  <si>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</si>
  <si>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</si>
  <si>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</si>
  <si>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</si>
  <si>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</si>
  <si>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</si>
  <si>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</si>
  <si>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</si>
  <si>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</si>
  <si>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</si>
  <si>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</si>
  <si>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</si>
  <si>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</si>
  <si>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</si>
  <si>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</si>
  <si>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</si>
  <si>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</si>
  <si>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</si>
  <si>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</si>
  <si>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</si>
  <si>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</si>
  <si>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</si>
  <si>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</si>
  <si>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</si>
  <si>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</si>
  <si>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</si>
  <si>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</si>
  <si>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</si>
  <si>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</si>
  <si>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</si>
  <si>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</si>
  <si>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</si>
  <si>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</si>
  <si>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</si>
  <si>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</si>
  <si>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</si>
  <si>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</si>
  <si>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</si>
  <si>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</si>
  <si>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</si>
  <si>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</si>
  <si>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</si>
  <si>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</si>
  <si>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</si>
  <si>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</si>
  <si>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</si>
  <si>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</si>
  <si>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</si>
  <si>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</si>
  <si>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3908</t>
  </si>
  <si>
    <t>3909</t>
  </si>
  <si>
    <t>3910</t>
  </si>
  <si>
    <t>3911</t>
  </si>
  <si>
    <t>3912</t>
  </si>
  <si>
    <t>3913</t>
  </si>
  <si>
    <t>3914</t>
  </si>
  <si>
    <t>3915</t>
  </si>
  <si>
    <t>3916</t>
  </si>
  <si>
    <t>3918</t>
  </si>
  <si>
    <t>3919</t>
  </si>
  <si>
    <t>3920</t>
  </si>
  <si>
    <t>3921</t>
  </si>
  <si>
    <t>3923</t>
  </si>
  <si>
    <t>3924</t>
  </si>
  <si>
    <t>3925</t>
  </si>
  <si>
    <t>3926</t>
  </si>
  <si>
    <t>3927</t>
  </si>
  <si>
    <t>3928</t>
  </si>
  <si>
    <t>3929</t>
  </si>
  <si>
    <t>3930</t>
  </si>
  <si>
    <t>3931</t>
  </si>
  <si>
    <t>3932</t>
  </si>
  <si>
    <t>3934</t>
  </si>
  <si>
    <t>3935</t>
  </si>
  <si>
    <t>3936</t>
  </si>
  <si>
    <t>3937</t>
  </si>
  <si>
    <t>3938</t>
  </si>
  <si>
    <t>3940</t>
  </si>
  <si>
    <t>3941</t>
  </si>
  <si>
    <t>3942</t>
  </si>
  <si>
    <t>3943</t>
  </si>
  <si>
    <t>3944</t>
  </si>
  <si>
    <t>3945</t>
  </si>
  <si>
    <t>3946</t>
  </si>
  <si>
    <t>3948</t>
  </si>
  <si>
    <t>3949</t>
  </si>
  <si>
    <t>3950</t>
  </si>
  <si>
    <t>3951</t>
  </si>
  <si>
    <t>3952</t>
  </si>
  <si>
    <t>3953</t>
  </si>
  <si>
    <t>3954</t>
  </si>
  <si>
    <t>3955</t>
  </si>
  <si>
    <t>3956</t>
  </si>
  <si>
    <t>3958</t>
  </si>
  <si>
    <t>3959</t>
  </si>
  <si>
    <t>3960</t>
  </si>
  <si>
    <t>3961</t>
  </si>
  <si>
    <t>3962</t>
  </si>
  <si>
    <t>3963</t>
  </si>
  <si>
    <t>3964</t>
  </si>
  <si>
    <t>3965</t>
  </si>
  <si>
    <t>3966</t>
  </si>
  <si>
    <t>3968</t>
  </si>
  <si>
    <t>3969</t>
  </si>
  <si>
    <t>3970</t>
  </si>
  <si>
    <t>3971</t>
  </si>
  <si>
    <t>3972</t>
  </si>
  <si>
    <t>3974</t>
  </si>
  <si>
    <t>3975</t>
  </si>
  <si>
    <t>3976</t>
  </si>
  <si>
    <t>3978</t>
  </si>
  <si>
    <t>3979</t>
  </si>
  <si>
    <t>3980</t>
  </si>
  <si>
    <t>3981</t>
  </si>
  <si>
    <t>3982</t>
  </si>
  <si>
    <t>3983</t>
  </si>
  <si>
    <t>3993</t>
  </si>
  <si>
    <t>3984</t>
  </si>
  <si>
    <t>3985</t>
  </si>
  <si>
    <t>3986</t>
  </si>
  <si>
    <t>3988</t>
  </si>
  <si>
    <t>3989</t>
  </si>
  <si>
    <t>3990</t>
  </si>
  <si>
    <t>3991</t>
  </si>
  <si>
    <t>3992</t>
  </si>
  <si>
    <t>3994</t>
  </si>
  <si>
    <t>3995</t>
  </si>
  <si>
    <t>3996</t>
  </si>
  <si>
    <t>3998</t>
  </si>
  <si>
    <t>3999</t>
  </si>
  <si>
    <t>4000</t>
  </si>
  <si>
    <t>4001</t>
  </si>
  <si>
    <t>4002</t>
  </si>
  <si>
    <t>4003</t>
  </si>
  <si>
    <t>4004</t>
  </si>
  <si>
    <t>4005</t>
  </si>
  <si>
    <t>4006</t>
  </si>
  <si>
    <t>4008</t>
  </si>
  <si>
    <t>4009</t>
  </si>
  <si>
    <t>4010</t>
  </si>
  <si>
    <t>4011</t>
  </si>
  <si>
    <t>4012</t>
  </si>
  <si>
    <t>4013</t>
  </si>
  <si>
    <t>4014</t>
  </si>
  <si>
    <t>4015</t>
  </si>
  <si>
    <t>4016</t>
  </si>
  <si>
    <t>4018</t>
  </si>
  <si>
    <t>4019</t>
  </si>
  <si>
    <t>4020</t>
  </si>
  <si>
    <t>4021</t>
  </si>
  <si>
    <t>4022</t>
  </si>
  <si>
    <t>4023</t>
  </si>
  <si>
    <t>4024</t>
  </si>
  <si>
    <t>4025</t>
  </si>
  <si>
    <t>4026</t>
  </si>
  <si>
    <t>4027</t>
  </si>
  <si>
    <t>4028</t>
  </si>
  <si>
    <t>4029</t>
  </si>
  <si>
    <t>4031</t>
  </si>
  <si>
    <t>4032</t>
  </si>
  <si>
    <t>4033</t>
  </si>
  <si>
    <t>4034</t>
  </si>
  <si>
    <t>4035</t>
  </si>
  <si>
    <t>4036</t>
  </si>
  <si>
    <t>4037</t>
  </si>
  <si>
    <t>4038</t>
  </si>
  <si>
    <t>4039</t>
  </si>
  <si>
    <t>4040</t>
  </si>
  <si>
    <t>4041</t>
  </si>
  <si>
    <t>4042</t>
  </si>
  <si>
    <t>4043</t>
  </si>
  <si>
    <t>4045</t>
  </si>
  <si>
    <t>4046</t>
  </si>
  <si>
    <t>4048</t>
  </si>
  <si>
    <t>4049</t>
  </si>
  <si>
    <t>4050</t>
  </si>
  <si>
    <t>4051</t>
  </si>
  <si>
    <t>4052</t>
  </si>
  <si>
    <t>4053</t>
  </si>
  <si>
    <t>4054</t>
  </si>
  <si>
    <t>4055</t>
  </si>
  <si>
    <t>4056</t>
  </si>
  <si>
    <t>4058</t>
  </si>
  <si>
    <t>4059</t>
  </si>
  <si>
    <t>4060</t>
  </si>
  <si>
    <t>4061</t>
  </si>
  <si>
    <t>4062</t>
  </si>
  <si>
    <t>4063</t>
  </si>
  <si>
    <t>4064</t>
  </si>
  <si>
    <t>4065</t>
  </si>
  <si>
    <t>4066</t>
  </si>
  <si>
    <t>4068</t>
  </si>
  <si>
    <t>4069</t>
  </si>
  <si>
    <t>4070</t>
  </si>
  <si>
    <t>4071</t>
  </si>
  <si>
    <t>4072</t>
  </si>
  <si>
    <t>4074</t>
  </si>
  <si>
    <t>4075</t>
  </si>
  <si>
    <t>4076</t>
  </si>
  <si>
    <t>4078</t>
  </si>
  <si>
    <t>4079</t>
  </si>
  <si>
    <t>4080</t>
  </si>
  <si>
    <t>4081</t>
  </si>
  <si>
    <t>4082</t>
  </si>
  <si>
    <t>4083</t>
  </si>
  <si>
    <t>4084</t>
  </si>
  <si>
    <t>4085</t>
  </si>
  <si>
    <t>4086</t>
  </si>
  <si>
    <t>4088</t>
  </si>
  <si>
    <t>4089</t>
  </si>
  <si>
    <t>4090</t>
  </si>
  <si>
    <t>4091</t>
  </si>
  <si>
    <t>4092</t>
  </si>
  <si>
    <t>4093</t>
  </si>
  <si>
    <t>4094</t>
  </si>
  <si>
    <t>4095</t>
  </si>
  <si>
    <t>4096</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</si>
  <si>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</si>
  <si>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</si>
  <si>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</si>
  <si>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</si>
  <si>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</si>
  <si>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</si>
  <si>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</si>
  <si>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</si>
  <si>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</si>
  <si>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</si>
  <si>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</si>
  <si>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</si>
  <si>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</si>
  <si>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</si>
  <si>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</si>
  <si>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</si>
  <si>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</si>
  <si>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</si>
  <si>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</si>
  <si>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</si>
  <si>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</si>
  <si>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</si>
  <si>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</si>
  <si>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</si>
  <si>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</si>
  <si>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</si>
  <si>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</si>
  <si>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</si>
  <si>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</si>
  <si>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4128</t>
  </si>
  <si>
    <t>4129</t>
  </si>
  <si>
    <t>4130</t>
  </si>
  <si>
    <t>4132</t>
  </si>
  <si>
    <t>4133</t>
  </si>
  <si>
    <t>4134</t>
  </si>
  <si>
    <t>4135</t>
  </si>
  <si>
    <t>4136</t>
  </si>
  <si>
    <t>4138</t>
  </si>
  <si>
    <t>4139</t>
  </si>
  <si>
    <t>4140</t>
  </si>
  <si>
    <t>4141</t>
  </si>
  <si>
    <t>4142</t>
  </si>
  <si>
    <t>4143</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</si>
  <si>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</si>
  <si>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</si>
  <si>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</si>
  <si>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</si>
  <si>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</si>
  <si>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</si>
  <si>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</si>
  <si>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</si>
  <si>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</si>
  <si>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</si>
  <si>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</si>
  <si>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</si>
  <si>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</si>
  <si>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</si>
  <si>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</si>
  <si>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</si>
  <si>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</si>
  <si>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</si>
  <si>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</si>
  <si>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</si>
  <si>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</si>
  <si>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</si>
  <si>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</si>
  <si>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</si>
  <si>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</si>
  <si>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</si>
  <si>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</si>
  <si>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</si>
  <si>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</si>
  <si>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</si>
  <si>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</si>
  <si>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</si>
  <si>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</si>
  <si>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</si>
  <si>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</si>
  <si>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</si>
  <si>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</si>
  <si>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</si>
  <si>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</si>
  <si>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</si>
  <si>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</si>
  <si>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</si>
  <si>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</si>
  <si>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</si>
  <si>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</si>
  <si>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</si>
  <si>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</si>
  <si>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</si>
  <si>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</si>
  <si>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</si>
  <si>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</si>
  <si>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</si>
  <si>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</si>
  <si>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</si>
  <si>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</si>
  <si>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</si>
  <si>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</si>
  <si>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</si>
  <si>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</si>
  <si>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</si>
  <si>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</si>
  <si>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</si>
  <si>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</si>
  <si>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</si>
  <si>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</si>
  <si>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</si>
  <si>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</si>
  <si>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</si>
  <si>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</si>
  <si>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</si>
  <si>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</si>
  <si>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</si>
  <si>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</si>
  <si>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</si>
  <si>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</si>
  <si>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</si>
  <si>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</si>
  <si>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</si>
  <si>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</si>
  <si>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</si>
  <si>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</si>
  <si>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</si>
  <si>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</si>
  <si>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</si>
  <si>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</si>
  <si>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</si>
  <si>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</si>
  <si>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</si>
  <si>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</si>
  <si>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</si>
  <si>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</si>
  <si>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</si>
  <si>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</si>
  <si>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</si>
  <si>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</si>
  <si>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</si>
  <si>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</si>
  <si>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</si>
  <si>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</si>
  <si>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</si>
  <si>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</si>
  <si>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</si>
  <si>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</si>
  <si>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</si>
  <si>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</si>
  <si>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</si>
  <si>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</si>
  <si>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</si>
  <si>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</si>
  <si>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</si>
  <si>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</si>
  <si>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</si>
  <si>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</si>
  <si>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</si>
  <si>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</si>
  <si>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</si>
  <si>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</si>
  <si>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</si>
  <si>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</si>
  <si>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</si>
  <si>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</si>
  <si>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</si>
  <si>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</si>
  <si>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</si>
  <si>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</si>
  <si>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</si>
  <si>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</si>
  <si>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</si>
  <si>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</si>
  <si>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</si>
  <si>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</si>
  <si>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</si>
  <si>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</si>
  <si>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</si>
  <si>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</si>
  <si>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</si>
  <si>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</si>
  <si>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</si>
  <si>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</si>
  <si>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</si>
  <si>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</si>
  <si>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</si>
  <si>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</si>
  <si>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</si>
  <si>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</si>
  <si>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</si>
  <si>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</si>
  <si>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</si>
  <si>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</si>
  <si>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</si>
  <si>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</si>
  <si>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</si>
  <si>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</si>
  <si>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</si>
  <si>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</si>
  <si>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</si>
  <si>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</si>
  <si>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</si>
  <si>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</si>
  <si>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</si>
  <si>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</si>
  <si>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</si>
  <si>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</si>
  <si>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</si>
  <si>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</si>
  <si>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</si>
  <si>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</si>
  <si>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</si>
  <si>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</si>
  <si>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</si>
  <si>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</si>
  <si>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</si>
  <si>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</si>
  <si>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</si>
  <si>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</si>
  <si>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</si>
  <si>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</si>
  <si>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</si>
  <si>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</si>
  <si>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</si>
  <si>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</si>
  <si>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</si>
  <si>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</si>
  <si>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</si>
  <si>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</si>
  <si>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4334</t>
  </si>
  <si>
    <t>4335</t>
  </si>
  <si>
    <t>4336</t>
  </si>
  <si>
    <t>4337</t>
  </si>
  <si>
    <t>4338</t>
  </si>
  <si>
    <t>4339</t>
  </si>
  <si>
    <t>4340</t>
  </si>
  <si>
    <t>4341</t>
  </si>
  <si>
    <t>4342</t>
  </si>
  <si>
    <t>4343</t>
  </si>
  <si>
    <t>4344</t>
  </si>
  <si>
    <t>4345</t>
  </si>
  <si>
    <t>4347</t>
  </si>
  <si>
    <t>4348</t>
  </si>
  <si>
    <t>4349</t>
  </si>
  <si>
    <t>4346</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</si>
  <si>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</si>
  <si>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</si>
  <si>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</si>
  <si>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</si>
  <si>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</si>
  <si>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</si>
  <si>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</si>
  <si>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</si>
  <si>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</si>
  <si>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</si>
  <si>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</si>
  <si>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</si>
  <si>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</si>
  <si>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</si>
  <si>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</si>
  <si>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</si>
  <si>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</si>
  <si>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</si>
  <si>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</si>
  <si>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</si>
  <si>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</si>
  <si>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</si>
  <si>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</si>
  <si>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</si>
  <si>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</si>
  <si>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</si>
  <si>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</si>
  <si>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</si>
  <si>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</si>
  <si>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</si>
  <si>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</si>
  <si>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</si>
  <si>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</si>
  <si>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</si>
  <si>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</si>
  <si>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</si>
  <si>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</si>
  <si>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</si>
  <si>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</si>
  <si>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</si>
  <si>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</si>
  <si>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</si>
  <si>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</si>
  <si>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</si>
  <si>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</si>
  <si>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</si>
  <si>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</si>
  <si>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</si>
  <si>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</si>
  <si>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</si>
  <si>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</si>
  <si>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</si>
  <si>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</si>
  <si>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</si>
  <si>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</si>
  <si>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</si>
  <si>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</si>
  <si>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</si>
  <si>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</si>
  <si>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</si>
  <si>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</si>
  <si>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</si>
  <si>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</si>
  <si>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</si>
  <si>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</si>
  <si>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</si>
  <si>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</si>
  <si>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</si>
  <si>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</si>
  <si>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</si>
  <si>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</si>
  <si>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</si>
  <si>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</si>
  <si>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</si>
  <si>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</si>
  <si>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</si>
  <si>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</si>
  <si>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</si>
  <si>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</si>
  <si>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</si>
  <si>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</si>
  <si>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</si>
  <si>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</si>
  <si>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</si>
  <si>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</si>
  <si>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</si>
  <si>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</si>
  <si>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</si>
  <si>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</si>
  <si>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</si>
  <si>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</si>
  <si>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</si>
  <si>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</si>
  <si>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</si>
  <si>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</si>
  <si>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</si>
  <si>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</si>
  <si>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</si>
  <si>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</si>
  <si>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</si>
  <si>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</si>
  <si>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</si>
  <si>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</si>
  <si>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</si>
  <si>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</si>
  <si>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</si>
  <si>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</si>
  <si>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</si>
  <si>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</si>
  <si>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</si>
  <si>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</si>
  <si>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</si>
  <si>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</si>
  <si>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</si>
  <si>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</si>
  <si>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</si>
  <si>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</si>
  <si>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</si>
  <si>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</si>
  <si>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</si>
  <si>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</si>
  <si>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</si>
  <si>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</si>
  <si>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</si>
  <si>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</si>
  <si>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</si>
  <si>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</si>
  <si>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</si>
  <si>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</si>
  <si>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</si>
  <si>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</si>
  <si>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</si>
  <si>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</si>
  <si>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</si>
  <si>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</si>
  <si>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</si>
  <si>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</si>
  <si>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</si>
  <si>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</si>
  <si>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</si>
  <si>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</si>
  <si>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</si>
  <si>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</si>
  <si>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</si>
  <si>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</si>
  <si>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</si>
  <si>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</si>
  <si>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</si>
  <si>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</si>
  <si>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</si>
  <si>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</si>
  <si>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</si>
  <si>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</si>
  <si>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</si>
  <si>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</si>
  <si>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</si>
  <si>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</si>
  <si>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</si>
  <si>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</si>
  <si>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</si>
  <si>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</si>
  <si>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</si>
  <si>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</si>
  <si>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</si>
  <si>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</si>
  <si>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</si>
  <si>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</si>
  <si>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</si>
  <si>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</si>
  <si>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</si>
  <si>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</si>
  <si>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</si>
  <si>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</si>
  <si>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</si>
  <si>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</si>
  <si>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</si>
  <si>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</si>
  <si>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</si>
  <si>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</si>
  <si>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</si>
  <si>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</si>
  <si>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</si>
  <si>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</si>
  <si>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</si>
  <si>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</si>
  <si>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</si>
  <si>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</si>
  <si>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</si>
  <si>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</si>
  <si>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</si>
  <si>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</si>
  <si>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</si>
  <si>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</si>
  <si>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</si>
  <si>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</si>
  <si>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</si>
  <si>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</si>
  <si>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</si>
  <si>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</si>
  <si>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</si>
  <si>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</si>
  <si>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</si>
  <si>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</si>
  <si>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</si>
  <si>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</si>
  <si>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</si>
  <si>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</si>
  <si>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</si>
  <si>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</si>
  <si>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</si>
  <si>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</si>
  <si>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</si>
  <si>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</si>
  <si>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</si>
  <si>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</si>
  <si>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</si>
  <si>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</si>
  <si>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</si>
  <si>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</si>
  <si>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</si>
  <si>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</si>
  <si>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</si>
  <si>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</si>
  <si>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</si>
  <si>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</si>
  <si>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</si>
  <si>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</si>
  <si>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</si>
  <si>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</si>
  <si>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</si>
  <si>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</si>
  <si>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</si>
  <si>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</si>
  <si>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</si>
  <si>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</si>
  <si>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</si>
  <si>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</si>
  <si>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</si>
  <si>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</si>
  <si>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</si>
  <si>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</si>
  <si>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</si>
  <si>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</si>
  <si>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</si>
  <si>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</si>
  <si>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</si>
  <si>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</si>
  <si>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</si>
  <si>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</si>
  <si>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</si>
  <si>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</si>
  <si>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</si>
  <si>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</si>
  <si>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</si>
  <si>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</si>
  <si>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</si>
  <si>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</si>
  <si>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</si>
  <si>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</si>
  <si>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</si>
  <si>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</si>
  <si>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</si>
  <si>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</si>
  <si>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</si>
  <si>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</si>
  <si>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</si>
  <si>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</si>
  <si>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</si>
  <si>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</si>
  <si>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</si>
  <si>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</si>
  <si>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</si>
  <si>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</si>
  <si>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</si>
  <si>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</si>
  <si>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</si>
  <si>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</si>
  <si>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</si>
  <si>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</si>
  <si>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</si>
  <si>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</si>
  <si>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</si>
  <si>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</si>
  <si>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</si>
  <si>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</si>
  <si>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</si>
  <si>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</si>
  <si>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</si>
  <si>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</si>
  <si>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</si>
  <si>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</si>
  <si>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</si>
  <si>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</si>
  <si>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</si>
  <si>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</si>
  <si>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</si>
  <si>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</si>
  <si>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</si>
  <si>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</si>
  <si>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</si>
  <si>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</si>
  <si>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</si>
  <si>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</si>
  <si>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</si>
  <si>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</si>
  <si>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</si>
  <si>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</si>
  <si>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</si>
  <si>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</si>
  <si>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</si>
  <si>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</si>
  <si>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</si>
  <si>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</si>
  <si>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</si>
  <si>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</si>
  <si>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</si>
  <si>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</si>
  <si>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</si>
  <si>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</si>
  <si>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</si>
  <si>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</si>
  <si>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</si>
  <si>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</si>
  <si>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</si>
  <si>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</si>
  <si>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</si>
  <si>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</si>
  <si>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</si>
  <si>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</si>
  <si>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</si>
  <si>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</si>
  <si>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</si>
  <si>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</si>
  <si>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</si>
  <si>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</si>
  <si>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</si>
  <si>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</si>
  <si>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</si>
  <si>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</si>
  <si>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</si>
  <si>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</si>
  <si>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</si>
  <si>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</si>
  <si>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</si>
  <si>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</si>
  <si>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</si>
  <si>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</si>
  <si>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</si>
  <si>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</si>
  <si>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</si>
  <si>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</si>
  <si>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</si>
  <si>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</si>
  <si>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</si>
  <si>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</si>
  <si>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</si>
  <si>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</si>
  <si>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</si>
  <si>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</si>
  <si>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</si>
  <si>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</si>
  <si>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</si>
  <si>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</si>
  <si>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</si>
  <si>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</si>
  <si>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</si>
  <si>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</si>
  <si>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</si>
  <si>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</si>
  <si>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</si>
  <si>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</si>
  <si>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</si>
  <si>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</si>
  <si>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</si>
  <si>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</si>
  <si>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</si>
  <si>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</si>
  <si>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</si>
  <si>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</si>
  <si>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</si>
  <si>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</si>
  <si>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</si>
  <si>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</si>
  <si>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</si>
  <si>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</si>
  <si>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</si>
  <si>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</si>
  <si>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</si>
  <si>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</si>
  <si>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</si>
  <si>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</si>
  <si>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</si>
  <si>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</si>
  <si>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</si>
  <si>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</si>
  <si>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</si>
  <si>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</si>
  <si>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</si>
  <si>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</si>
  <si>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</si>
  <si>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</si>
  <si>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</si>
  <si>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</si>
  <si>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</si>
  <si>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</si>
  <si>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</si>
  <si>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</si>
  <si>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</si>
  <si>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</si>
  <si>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</si>
  <si>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</si>
  <si>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</si>
  <si>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</si>
  <si>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</si>
  <si>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</si>
  <si>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</si>
  <si>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</si>
  <si>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</si>
  <si>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</si>
  <si>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</si>
  <si>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</si>
  <si>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</si>
  <si>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</si>
  <si>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</si>
  <si>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</si>
  <si>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</si>
  <si>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</si>
  <si>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</si>
  <si>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</si>
  <si>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</si>
  <si>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</si>
  <si>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</si>
  <si>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</si>
  <si>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</si>
  <si>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</si>
  <si>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</si>
  <si>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</si>
  <si>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</si>
  <si>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</si>
  <si>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</si>
  <si>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</si>
  <si>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</si>
  <si>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</si>
  <si>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</si>
  <si>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</si>
  <si>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</si>
  <si>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</si>
  <si>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</si>
  <si>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</si>
  <si>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</si>
  <si>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</si>
  <si>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</si>
  <si>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</si>
  <si>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</si>
  <si>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</si>
  <si>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</si>
  <si>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</si>
  <si>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</si>
  <si>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</si>
  <si>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</si>
  <si>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</si>
  <si>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</si>
  <si>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</si>
  <si>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</si>
  <si>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</si>
  <si>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</si>
  <si>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</si>
  <si>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</si>
  <si>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</si>
  <si>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</si>
  <si>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</si>
  <si>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</si>
  <si>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</si>
  <si>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</si>
  <si>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</si>
  <si>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</si>
  <si>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</si>
  <si>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</si>
  <si>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</si>
  <si>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</si>
  <si>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</si>
  <si>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</si>
  <si>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</si>
  <si>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</si>
  <si>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</si>
  <si>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</si>
  <si>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</si>
  <si>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</si>
  <si>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</si>
  <si>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</si>
  <si>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</si>
  <si>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</si>
  <si>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</si>
  <si>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</si>
  <si>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</si>
  <si>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</si>
  <si>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</si>
  <si>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</si>
  <si>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</si>
  <si>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</si>
  <si>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</si>
  <si>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</si>
  <si>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</si>
  <si>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</si>
  <si>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</si>
  <si>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</si>
  <si>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</si>
  <si>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</si>
  <si>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</si>
  <si>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</si>
  <si>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</si>
  <si>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</si>
  <si>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</si>
  <si>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</si>
  <si>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</si>
  <si>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</si>
  <si>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</si>
  <si>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</si>
  <si>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</si>
  <si>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</si>
  <si>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</si>
  <si>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</si>
  <si>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</si>
  <si>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</si>
  <si>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</si>
  <si>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</si>
  <si>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</si>
  <si>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</si>
  <si>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</si>
  <si>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</si>
  <si>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</si>
  <si>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</si>
  <si>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</si>
  <si>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</si>
  <si>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</si>
  <si>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</si>
  <si>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</si>
  <si>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</si>
  <si>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</si>
  <si>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</si>
  <si>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</si>
  <si>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</si>
  <si>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</si>
  <si>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</si>
  <si>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</si>
  <si>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</si>
  <si>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</si>
  <si>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</si>
  <si>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</si>
  <si>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</si>
  <si>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</si>
  <si>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</si>
  <si>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</si>
  <si>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</si>
  <si>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</si>
  <si>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</si>
  <si>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</si>
  <si>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</si>
  <si>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</si>
  <si>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</si>
  <si>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</si>
  <si>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</si>
  <si>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</si>
  <si>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</si>
  <si>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</si>
  <si>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</si>
  <si>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</si>
  <si>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</si>
  <si>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</si>
  <si>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</si>
  <si>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</si>
  <si>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</si>
  <si>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</si>
  <si>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</si>
  <si>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</si>
  <si>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</si>
  <si>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</si>
  <si>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</si>
  <si>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4940</t>
  </si>
  <si>
    <t>4941</t>
  </si>
  <si>
    <t>4942</t>
  </si>
  <si>
    <t>4943</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</si>
  <si>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</si>
  <si>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</si>
  <si>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</si>
  <si>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</si>
  <si>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</si>
  <si>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</si>
  <si>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</si>
  <si>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</si>
  <si>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</si>
  <si>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</si>
  <si>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</si>
  <si>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</si>
  <si>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</si>
  <si>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</si>
  <si>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</si>
  <si>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</si>
  <si>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</si>
  <si>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</si>
  <si>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</si>
  <si>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</si>
  <si>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</si>
  <si>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</si>
  <si>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</si>
  <si>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</si>
  <si>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</si>
  <si>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</si>
  <si>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</si>
  <si>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</si>
  <si>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</si>
  <si>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</si>
  <si>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</si>
  <si>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</si>
  <si>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</si>
  <si>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</si>
  <si>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</si>
  <si>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</si>
  <si>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</si>
  <si>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</si>
  <si>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</si>
  <si>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</si>
  <si>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</si>
  <si>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</si>
  <si>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</si>
  <si>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</si>
  <si>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</si>
  <si>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</si>
  <si>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</si>
  <si>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</si>
  <si>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</si>
  <si>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</si>
  <si>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</si>
  <si>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</si>
  <si>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</si>
  <si>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</si>
  <si>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</si>
  <si>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</si>
  <si>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</si>
  <si>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</si>
  <si>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</si>
  <si>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</si>
  <si>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</si>
  <si>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</si>
  <si>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</si>
  <si>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</si>
  <si>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</si>
  <si>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</si>
  <si>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</si>
  <si>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</si>
  <si>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</si>
  <si>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</si>
  <si>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</si>
  <si>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</si>
  <si>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</si>
  <si>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</si>
  <si>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</si>
  <si>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</si>
  <si>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</si>
  <si>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</si>
  <si>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</si>
  <si>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</si>
  <si>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</si>
  <si>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</si>
  <si>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</si>
  <si>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</si>
  <si>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</si>
  <si>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</si>
  <si>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</si>
  <si>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</si>
  <si>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</si>
  <si>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</si>
  <si>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</si>
  <si>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</si>
  <si>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</si>
  <si>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</si>
  <si>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</si>
  <si>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</si>
  <si>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</si>
  <si>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</si>
  <si>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</si>
  <si>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</si>
  <si>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</si>
  <si>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</si>
  <si>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</si>
  <si>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</si>
  <si>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</si>
  <si>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</si>
  <si>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</si>
  <si>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</si>
  <si>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5056</t>
  </si>
  <si>
    <t>5057</t>
  </si>
  <si>
    <t>5058</t>
  </si>
  <si>
    <t>5059</t>
  </si>
  <si>
    <t>5060</t>
  </si>
  <si>
    <t>5061</t>
  </si>
  <si>
    <t>5062</t>
  </si>
  <si>
    <t>5063</t>
  </si>
  <si>
    <t>5064</t>
  </si>
  <si>
    <t>5065</t>
  </si>
  <si>
    <t>5066</t>
  </si>
  <si>
    <t>5067</t>
  </si>
  <si>
    <t>5068</t>
  </si>
  <si>
    <t>Ingreso por Sexo</t>
  </si>
  <si>
    <t>Ingreso por Sexo-Alfabetismo</t>
  </si>
  <si>
    <t>Ingreso por Alfabetismo</t>
  </si>
  <si>
    <t>Ingreso por Etnia</t>
  </si>
  <si>
    <t>Cuenta de id_grafico</t>
  </si>
  <si>
    <t>Violencia contra la mujer</t>
  </si>
  <si>
    <t>Año 2021</t>
  </si>
  <si>
    <t>Servicio Nacional de la Mujer y la Equidad de Género</t>
  </si>
  <si>
    <t>Gráfico</t>
  </si>
  <si>
    <t>Cantidad de Centros de la Mujer Nacional</t>
  </si>
  <si>
    <t>Cantidad de Centros de la Mujer Regional</t>
  </si>
  <si>
    <t>Gráfico que muestra la cantidad de Centros de la Mujer por región, de acuerdo a los datos publicados por el Servicio Nacional de la Mujer y la Equidad de Género de Chile para el año 2021.</t>
  </si>
  <si>
    <t>Centros de la Mujer</t>
  </si>
  <si>
    <t>Mujeres</t>
  </si>
  <si>
    <t>Cantidad de Centros de la Mujer por región</t>
  </si>
  <si>
    <t>Cantidad de Mujeres Atendidas Regional</t>
  </si>
  <si>
    <t>Periodo 2017-2019</t>
  </si>
  <si>
    <t>Cantidad de Mujeres Atendidas Nacional</t>
  </si>
  <si>
    <t>Cantidad de mujeres atendidas en Centros de Atención y Reparación para Mujeres Víctimas/Sobrevivientes de Violencia Sexual por región en el proceso de Orientación e Información (OI)</t>
  </si>
  <si>
    <t>Cantidad de mujeres atendidas en Centros de Atención y Reparación para Mujeres Víctimas/Sobrevivientes de Violencia Sexual por región en el proceso de Atención Reparatoria</t>
  </si>
  <si>
    <t xml:space="preserve">Cantidad de mujeres atendidas en Centros de Atención y Reparación para Mujeres Víctimas/Sobrevivientes de Violencia Sexual que continúan del año anterior por región </t>
  </si>
  <si>
    <t>Cantidad de Registros Nacional</t>
  </si>
  <si>
    <t>Periodo 2015-2019</t>
  </si>
  <si>
    <t>Cantidad de hombres registrados en Centros de Reeducación de Hombres por tipo de procedimiento</t>
  </si>
  <si>
    <t>Periodo 2014-2019</t>
  </si>
  <si>
    <t>Cantidad de mujeres atendidas en Centros de la Mujer por procedimiento</t>
  </si>
  <si>
    <t>Cantidad de mujeres atendidas en Casas de Acogida por procedimiento</t>
  </si>
  <si>
    <t>Cantidad de mujeres atendidas en Centros de la Mujer por tipo de procedimiento</t>
  </si>
  <si>
    <t>Cantidad de mujeres atendidas en Casas de Acogida por tipo de procedimiento</t>
  </si>
  <si>
    <t>Atenciones por procedimiento</t>
  </si>
  <si>
    <t>Número de centros</t>
  </si>
  <si>
    <t>Número de atenciones</t>
  </si>
  <si>
    <t>mujer mujeres género violencia minmeg sernameg ministerio centro apoyo tarapacá</t>
  </si>
  <si>
    <t>mujer mujeres género violencia minmeg sernameg ministerio centro apoyo antofagasta</t>
  </si>
  <si>
    <t>mujer mujeres género violencia minmeg sernameg ministerio centro apoyo atacama</t>
  </si>
  <si>
    <t>mujer mujeres género violencia minmeg sernameg ministerio centro apoyo coquimbo</t>
  </si>
  <si>
    <t>mujer mujeres género violencia minmeg sernameg ministerio centro apoyo valparaíso</t>
  </si>
  <si>
    <t>mujer mujeres género violencia minmeg sernameg ministerio centro apoyo ohiggins</t>
  </si>
  <si>
    <t>mujer mujeres género violencia minmeg sernameg ministerio centro apoyo maule</t>
  </si>
  <si>
    <t>mujer mujeres género violencia minmeg sernameg ministerio centro apoyo biobío</t>
  </si>
  <si>
    <t>mujer mujeres género violencia minmeg sernameg ministerio centro apoyo araucanía</t>
  </si>
  <si>
    <t>mujer mujeres género violencia minmeg sernameg ministerio centro apoyo lagos</t>
  </si>
  <si>
    <t>mujer mujeres género violencia minmeg sernameg ministerio centro apoyo aysén</t>
  </si>
  <si>
    <t>mujer mujeres género violencia minmeg sernameg ministerio centro apoyo magallanes</t>
  </si>
  <si>
    <t>mujer mujeres género violencia minmeg sernameg ministerio centro apoyo metropolitana</t>
  </si>
  <si>
    <t>mujer mujeres género violencia minmeg sernameg ministerio centro apoyo ríos</t>
  </si>
  <si>
    <t>mujer mujeres género violencia minmeg sernameg ministerio centro apoyo ñuble</t>
  </si>
  <si>
    <t>mujer mujeres género violencia minmeg sernameg ministerio centro apoyo arica parinacota</t>
  </si>
  <si>
    <t>mujer mujeres género violencia minmeg sernameg ministerio centro apoyo tarapacá atención</t>
  </si>
  <si>
    <t>mujer mujeres género violencia minmeg sernameg ministerio centro apoyo antofagasta atención</t>
  </si>
  <si>
    <t>mujer mujeres género violencia minmeg sernameg ministerio centro apoyo atacama atención</t>
  </si>
  <si>
    <t>mujer mujeres género violencia minmeg sernameg ministerio centro apoyo coquimbo atención</t>
  </si>
  <si>
    <t>mujer mujeres género violencia minmeg sernameg ministerio centro apoyo valparaíso atención</t>
  </si>
  <si>
    <t>mujer mujeres género violencia minmeg sernameg ministerio centro apoyo ohiggins atención</t>
  </si>
  <si>
    <t>mujer mujeres género violencia minmeg sernameg ministerio centro apoyo maule atención</t>
  </si>
  <si>
    <t>mujer mujeres género violencia minmeg sernameg ministerio centro apoyo biobío atención</t>
  </si>
  <si>
    <t>mujer mujeres género violencia minmeg sernameg ministerio centro apoyo araucanía atención</t>
  </si>
  <si>
    <t>mujer mujeres género violencia minmeg sernameg ministerio centro apoyo lagos atención</t>
  </si>
  <si>
    <t>mujer mujeres género violencia minmeg sernameg ministerio centro apoyo aysén atención</t>
  </si>
  <si>
    <t>mujer mujeres género violencia minmeg sernameg ministerio centro apoyo magallanes atención</t>
  </si>
  <si>
    <t>mujer mujeres género violencia minmeg sernameg ministerio centro apoyo metropolitana atención</t>
  </si>
  <si>
    <t>mujer mujeres género violencia minmeg sernameg ministerio centro apoyo ríos atención</t>
  </si>
  <si>
    <t>mujer mujeres género violencia minmeg sernameg ministerio centro apoyo arica parinacota atención</t>
  </si>
  <si>
    <t>mujer mujeres género violencia minmeg sernameg ministerio centro apoyo ñuble atención</t>
  </si>
  <si>
    <t>mujer mujeres género violencia minmeg sernameg ministerio de la mujer centro sexual víctimas sobrevivientes valparaíso</t>
  </si>
  <si>
    <t>mujer mujeres género violencia minmeg sernameg ministerio de la mujer centro sexual víctimas sobrevivientes metropolitana</t>
  </si>
  <si>
    <t>mujer mujeres género violencia minmeg sernameg ministerio de la mujer centro sexual víctimas sobrevivientes biobío</t>
  </si>
  <si>
    <t>mujer mujeres género violencia minmeg sernameg ministerio de la mujer centro sexual víctimas sobrevivientes atención</t>
  </si>
  <si>
    <t>hombre hombres violencia minmeg sernameg centro reeducación</t>
  </si>
  <si>
    <t>mujer mujeres género violencia minmeg sernameg ministerio de la mujer centro de la mujer delitos atenciones</t>
  </si>
  <si>
    <t>mujer mujeres género violencia minmeg sernameg ministerio de la mujer casa de la mujer delitos atenciones</t>
  </si>
  <si>
    <t>mujer mujeres género violencia minmeg sernameg ministerio de la mujer delitos atenciones</t>
  </si>
  <si>
    <t>300-R</t>
  </si>
  <si>
    <t>100-C-1</t>
  </si>
  <si>
    <t>100-C-2</t>
  </si>
  <si>
    <t>100-C-3</t>
  </si>
  <si>
    <t>100-C-4</t>
  </si>
  <si>
    <t>100-C-5</t>
  </si>
  <si>
    <t>100-C-6</t>
  </si>
  <si>
    <t>100-C-7</t>
  </si>
  <si>
    <t>100-C-8</t>
  </si>
  <si>
    <t>100-C-9</t>
  </si>
  <si>
    <t>100-C-10</t>
  </si>
  <si>
    <t>100-C-11</t>
  </si>
  <si>
    <t>100-C-12</t>
  </si>
  <si>
    <t>200-C-13</t>
  </si>
  <si>
    <t>100-C-14</t>
  </si>
  <si>
    <t>100-C-15</t>
  </si>
  <si>
    <t>100-R-1</t>
  </si>
  <si>
    <t>100-R-2</t>
  </si>
  <si>
    <t>100-R-16</t>
  </si>
  <si>
    <t>100-R-3</t>
  </si>
  <si>
    <t>100-R-4</t>
  </si>
  <si>
    <t>100-R-5</t>
  </si>
  <si>
    <t>100-R-6</t>
  </si>
  <si>
    <t>100-R-7</t>
  </si>
  <si>
    <t>100-R-8</t>
  </si>
  <si>
    <t>100-R-9</t>
  </si>
  <si>
    <t>100-R-10</t>
  </si>
  <si>
    <t>100-R-11</t>
  </si>
  <si>
    <t>100-R-12</t>
  </si>
  <si>
    <t>200-R-13</t>
  </si>
  <si>
    <t>100-R-14</t>
  </si>
  <si>
    <t>100-R-15</t>
  </si>
  <si>
    <t>(N)</t>
  </si>
  <si>
    <t xml:space="preserve">(R) </t>
  </si>
  <si>
    <t xml:space="preserve">(C) </t>
  </si>
  <si>
    <t>Suscripción Regional (100)</t>
  </si>
  <si>
    <t>Nacional</t>
  </si>
  <si>
    <t>Regional</t>
  </si>
  <si>
    <t>Comunal</t>
  </si>
  <si>
    <t>Gráfico Base</t>
  </si>
  <si>
    <t>Suscripción RM (200)</t>
  </si>
  <si>
    <t>Suscripción Nacional (300)</t>
  </si>
  <si>
    <t>Mapa de Centros de la Mujer por comuna</t>
  </si>
  <si>
    <t>Mapa que muestra los Centros de la Mujer por comuna, de acuerdo a los datos publicados por el Servicio Nacional de la Mujer y la Equidad de Género de Chile para el año 2021.</t>
  </si>
  <si>
    <t>mujer mujeres género violencia minmeg sernameg ministerio centro apoyo comunal</t>
  </si>
  <si>
    <t>300-C</t>
  </si>
  <si>
    <t>mujer mujeres género violencia minmeg sernameg ministerio centro apoyo regional</t>
  </si>
  <si>
    <t>Cantidad de Centros de la Mujer por tipo de atención</t>
  </si>
  <si>
    <t>mujer mujeres género violencia minmeg sernameg ministerio centro apoyo chile atención</t>
  </si>
  <si>
    <t>Centros de Atención y Reparación para Mujeres Víctimas/Sobrevivientes de Violencia Sexual</t>
  </si>
  <si>
    <t>Centros de Reeducación de Hombres</t>
  </si>
  <si>
    <t>Casas de Acogida</t>
  </si>
  <si>
    <t>100-C-16</t>
  </si>
  <si>
    <t>Sentencias por delito de abuso sexual</t>
  </si>
  <si>
    <t>Abuso Sexual</t>
  </si>
  <si>
    <t>Sentencias Dictadas por Delitos de Abuso Sexual</t>
  </si>
  <si>
    <t>Periodo 2013-2019</t>
  </si>
  <si>
    <t>Número de sentencias</t>
  </si>
  <si>
    <t>Poder Judicial</t>
  </si>
  <si>
    <t>Sentencias Dictadas por Delitos de Abuso Sexual por región en la tipología de  Delitos sexuales, para el Periodo 2013-2019</t>
  </si>
  <si>
    <t>El gráfico muestra la evolución anual de la frecuencia de Sentencias Dictadas por Delitos de Abuso Sexual por región en la tipología de  Delitos sexuales, para el Periodo 2013-2019 de acuerdo a datos provenientes del Poder Judicial de Chile.</t>
  </si>
  <si>
    <t>Gráfico de Evolución</t>
  </si>
  <si>
    <t>abuso sexual delitos género violencia mujer mujeres casos víctimas detenciones sentencias regional</t>
  </si>
  <si>
    <t>Sentencias Dictadas por Delitos de Abuso Sexual por Juzgado de Garantía en la tipología de  Delitos sexuales, para el Periodo 2013-2019</t>
  </si>
  <si>
    <t>El gráfico muestra la evolución anual de la frecuencia de Sentencias Dictadas por Delitos de Abuso Sexual por Juzgado de Garantía en la tipología de  Delitos sexuales, para el Periodo 2013-2019 de acuerdo a datos provenientes del Poder Judicial de Chile.</t>
  </si>
  <si>
    <t>abuso sexual delitos género violencia mujer mujeres casos víctimas detenciones sentencias juzgado garantía</t>
  </si>
  <si>
    <t>Sentencias Dictadas por Delitos de Abuso Sexual por Delito en la tipología de  Delitos sexuales, para el Periodo 2013-2019</t>
  </si>
  <si>
    <t>El gráfico muestra la evolución anual de la frecuencia de Sentencias Dictadas por Delitos de Abuso Sexual por Delito en la tipología de  Delitos sexuales, para el Periodo 2013-2019 de acuerdo a datos provenientes del Poder Judicial de Chile.</t>
  </si>
  <si>
    <t>abuso sexual delitos género violencia mujer mujeres casos víctimas detenciones sentencias</t>
  </si>
  <si>
    <t>abuso sexual delitos género violencia mujer mujeres casos víctimas detenciones sentencias tarapacá</t>
  </si>
  <si>
    <t>abuso sexual delitos género violencia mujer mujeres casos víctimas detenciones sentencias antofagasta</t>
  </si>
  <si>
    <t>abuso sexual delitos género violencia mujer mujeres casos víctimas detenciones sentencias atacama</t>
  </si>
  <si>
    <t>abuso sexual delitos género violencia mujer mujeres casos víctimas detenciones sentencias coquimbo</t>
  </si>
  <si>
    <t>abuso sexual delitos género violencia mujer mujeres casos víctimas detenciones sentencias valparaíso</t>
  </si>
  <si>
    <t>abuso sexual delitos género violencia mujer mujeres casos víctimas detenciones sentencias ohiggins</t>
  </si>
  <si>
    <t>abuso sexual delitos género violencia mujer mujeres casos víctimas detenciones sentencias maule</t>
  </si>
  <si>
    <t>abuso sexual delitos género violencia mujer mujeres casos víctimas detenciones sentencias biobío</t>
  </si>
  <si>
    <t>abuso sexual delitos género violencia mujer mujeres casos víctimas detenciones sentencias araucanía</t>
  </si>
  <si>
    <t>abuso sexual delitos género violencia mujer mujeres casos víctimas detenciones sentencias lagos</t>
  </si>
  <si>
    <t>abuso sexual delitos género violencia mujer mujeres casos víctimas detenciones sentencias aysén</t>
  </si>
  <si>
    <t>abuso sexual delitos género violencia mujer mujeres casos víctimas detenciones sentencias magallanes</t>
  </si>
  <si>
    <t>abuso sexual delitos género violencia mujer mujeres casos víctimas detenciones sentencias metropolitana</t>
  </si>
  <si>
    <t>abuso sexual delitos género violencia mujer mujeres casos víctimas detenciones sentencias ríos</t>
  </si>
  <si>
    <t>abuso sexual delitos género violencia mujer mujeres casos víctimas detenciones sentencias arica parinacota</t>
  </si>
  <si>
    <t>abuso sexual delitos género violencia mujer mujeres casos víctimas detenciones sentencias ñuble</t>
  </si>
  <si>
    <t>abuso sexual delitos género violencia mujer mujeres casos víctimas detenciones sentencias tarapacá juzgado garantía</t>
  </si>
  <si>
    <t>abuso sexual delitos género violencia mujer mujeres casos víctimas detenciones sentencias juzgado garantía antofagasta</t>
  </si>
  <si>
    <t>abuso sexual delitos género violencia mujer mujeres casos víctimas detenciones sentencias juzgado garantía atacama</t>
  </si>
  <si>
    <t>abuso sexual delitos género violencia mujer mujeres casos víctimas detenciones sentencias coquimbo juzgado garantía</t>
  </si>
  <si>
    <t>abuso sexual delitos género violencia mujer mujeres casos víctimas detenciones sentencias valparaíso juzgado garantía</t>
  </si>
  <si>
    <t>abuso sexual delitos género violencia mujer mujeres casos víctimas detenciones sentencias ohiggins juzgado garantía</t>
  </si>
  <si>
    <t>abuso sexual delitos género violencia mujer mujeres casos víctimas detenciones sentencias maule juzgado garantía</t>
  </si>
  <si>
    <t>abuso sexual delitos género violencia mujer mujeres casos víctimas detenciones sentencias biobío juzgado garantía</t>
  </si>
  <si>
    <t>abuso sexual delitos género violencia mujer mujeres casos víctimas detenciones sentencias araucanía juzgado garantía</t>
  </si>
  <si>
    <t>abuso sexual delitos género violencia mujer mujeres casos víctimas detenciones sentencias lagos juzgado garantía</t>
  </si>
  <si>
    <t>abuso sexual delitos género violencia mujer mujeres casos víctimas detenciones sentencias aysén juzgado garantía</t>
  </si>
  <si>
    <t>abuso sexual delitos género violencia mujer mujeres casos víctimas detenciones sentencias magallanes juzgado garantía</t>
  </si>
  <si>
    <t>abuso sexual delitos género violencia mujer mujeres casos víctimas detenciones sentencias metropolitana juzgado garantía</t>
  </si>
  <si>
    <t>abuso sexual delitos género violencia mujer mujeres casos víctimas detenciones sentencias ríos juzgado garantía</t>
  </si>
  <si>
    <t>abuso sexual delitos género violencia mujer mujeres casos víctimas detenciones sentencias arica parinacota juzgado garantía</t>
  </si>
  <si>
    <t>abuso sexual delitos género violencia mujer mujeres casos víctimas detenciones sentencias ñuble juzgado garantía</t>
  </si>
  <si>
    <t>abuso sexual delitos género violencia mujer mujeres casos víctimas detenciones sentencias juzgado garantía iquique</t>
  </si>
  <si>
    <t>abuso sexual delitos género violencia mujer mujeres casos víctimas detenciones sentencias juzgado garantía calama</t>
  </si>
  <si>
    <t>abuso sexual delitos género violencia mujer mujeres casos víctimas detenciones sentencias juzgado garantía tocopilla</t>
  </si>
  <si>
    <t>Copiapo</t>
  </si>
  <si>
    <t>abuso sexual delitos género violencia mujer mujeres casos víctimas detenciones sentencias juzgado garantía copiapo</t>
  </si>
  <si>
    <t>abuso sexual delitos género violencia mujer mujeres casos víctimas detenciones sentencias juzgado garantía diego de almagro</t>
  </si>
  <si>
    <t>abuso sexual delitos género violencia mujer mujeres casos víctimas detenciones sentencias juzgado garantía vallenar</t>
  </si>
  <si>
    <t>abuso sexual delitos género violencia mujer mujeres casos víctimas detenciones sentencias juzgado garantía coquimbo</t>
  </si>
  <si>
    <t>abuso sexual delitos género violencia mujer mujeres casos víctimas detenciones sentencias juzgado garantía illapel</t>
  </si>
  <si>
    <t>abuso sexual delitos género violencia mujer mujeres casos víctimas detenciones sentencias juzgado garantía la serena</t>
  </si>
  <si>
    <t>abuso sexual delitos género violencia mujer mujeres casos víctimas detenciones sentencias juzgado garantía ovalle</t>
  </si>
  <si>
    <t>abuso sexual delitos género violencia mujer mujeres casos víctimas detenciones sentencias juzgado garantía vicuña</t>
  </si>
  <si>
    <t>abuso sexual delitos género violencia mujer mujeres casos víctimas detenciones sentencias juzgado garantía calera</t>
  </si>
  <si>
    <t>abuso sexual delitos género violencia mujer mujeres casos víctimas detenciones sentencias juzgado garantía la ligua</t>
  </si>
  <si>
    <t>abuso sexual delitos género violencia mujer mujeres casos víctimas detenciones sentencias juzgado garantía limache</t>
  </si>
  <si>
    <t>abuso sexual delitos género violencia mujer mujeres casos víctimas detenciones sentencias juzgado garantía los andes</t>
  </si>
  <si>
    <t>abuso sexual delitos género violencia mujer mujeres casos víctimas detenciones sentencias juzgado garantía quillota</t>
  </si>
  <si>
    <t>Quilpue</t>
  </si>
  <si>
    <t>abuso sexual delitos género violencia mujer mujeres casos víctimas detenciones sentencias juzgado garantía quilpue</t>
  </si>
  <si>
    <t>abuso sexual delitos género violencia mujer mujeres casos víctimas detenciones sentencias juzgado garantía san Felipe</t>
  </si>
  <si>
    <t>Valparaiso</t>
  </si>
  <si>
    <t>abuso sexual delitos género violencia mujer mujeres casos víctimas detenciones sentencias juzgado garantía valparaiso</t>
  </si>
  <si>
    <t>abuso sexual delitos género violencia mujer mujeres casos víctimas detenciones sentencias juzgado garantía villa alemana</t>
  </si>
  <si>
    <t>Viña Del Mar</t>
  </si>
  <si>
    <t>abuso sexual delitos género violencia mujer mujeres casos víctimas detenciones sentencias juzgado garantía viña del mar</t>
  </si>
  <si>
    <t>abuso sexual delitos género violencia mujer mujeres casos víctimas detenciones sentencias juzgado garantía graneros</t>
  </si>
  <si>
    <t>abuso sexual delitos género violencia mujer mujeres casos víctimas detenciones sentencias juzgado garantía rancagua</t>
  </si>
  <si>
    <t>abuso sexual delitos género violencia mujer mujeres casos víctimas detenciones sentencias juzgado garantía rengo</t>
  </si>
  <si>
    <t>abuso sexual delitos género violencia mujer mujeres casos víctimas detenciones sentencias juzgado garantía san Fernando</t>
  </si>
  <si>
    <t>abuso sexual delitos género violencia mujer mujeres casos víctimas detenciones sentencias juzgado garantía san vicente</t>
  </si>
  <si>
    <t>abuso sexual delitos género violencia mujer mujeres casos víctimas detenciones sentencias juzgado garantía santa cruz</t>
  </si>
  <si>
    <t>abuso sexual delitos género violencia mujer mujeres casos víctimas detenciones sentencias juzgado garantía cauquenes</t>
  </si>
  <si>
    <t>Constitucion</t>
  </si>
  <si>
    <t>abuso sexual delitos género violencia mujer mujeres casos víctimas detenciones sentencias juzgado garantía constitucion</t>
  </si>
  <si>
    <t>Curico</t>
  </si>
  <si>
    <t>abuso sexual delitos género violencia mujer mujeres casos víctimas detenciones sentencias juzgado garantía curico</t>
  </si>
  <si>
    <t>abuso sexual delitos género violencia mujer mujeres casos víctimas detenciones sentencias juzgado garantía linares</t>
  </si>
  <si>
    <t>abuso sexual delitos género violencia mujer mujeres casos víctimas detenciones sentencias juzgado garantía molina</t>
  </si>
  <si>
    <t>abuso sexual delitos género violencia mujer mujeres casos víctimas detenciones sentencias juzgado garantía parral</t>
  </si>
  <si>
    <t>abuso sexual delitos género violencia mujer mujeres casos víctimas detenciones sentencias juzgado garantía san Javier</t>
  </si>
  <si>
    <t>abuso sexual delitos género violencia mujer mujeres casos víctimas detenciones sentencias juzgado garantía talca</t>
  </si>
  <si>
    <t>abuso sexual delitos género violencia mujer mujeres casos víctimas detenciones sentencias juzgado garantía arauco</t>
  </si>
  <si>
    <t>abuso sexual delitos género violencia mujer mujeres casos víctimas detenciones sentencias juzgado garantía cañete</t>
  </si>
  <si>
    <t>abuso sexual delitos género violencia mujer mujeres casos víctimas detenciones sentencias juzgado garantía chiguayante</t>
  </si>
  <si>
    <t>Concepcion</t>
  </si>
  <si>
    <t>abuso sexual delitos género violencia mujer mujeres casos víctimas detenciones sentencias juzgado garantía concepcion</t>
  </si>
  <si>
    <t>abuso sexual delitos género violencia mujer mujeres casos víctimas detenciones sentencias juzgado garantía coronel</t>
  </si>
  <si>
    <t>abuso sexual delitos género violencia mujer mujeres casos víctimas detenciones sentencias juzgado garantía los angeles</t>
  </si>
  <si>
    <t>abuso sexual delitos género violencia mujer mujeres casos víctimas detenciones sentencias juzgado garantía talcahuano</t>
  </si>
  <si>
    <t>Tome</t>
  </si>
  <si>
    <t>abuso sexual delitos género violencia mujer mujeres casos víctimas detenciones sentencias juzgado garantía tome</t>
  </si>
  <si>
    <t>abuso sexual delitos género violencia mujer mujeres casos víctimas detenciones sentencias juzgado garantía angol</t>
  </si>
  <si>
    <t>abuso sexual delitos género violencia mujer mujeres casos víctimas detenciones sentencias juzgado garantía lautaro</t>
  </si>
  <si>
    <t>abuso sexual delitos género violencia mujer mujeres casos víctimas detenciones sentencias juzgado garantía loncoche</t>
  </si>
  <si>
    <t>abuso sexual delitos género violencia mujer mujeres casos víctimas detenciones sentencias juzgado garantía nueva imperial</t>
  </si>
  <si>
    <t>Pitrufquen</t>
  </si>
  <si>
    <t>abuso sexual delitos género violencia mujer mujeres casos víctimas detenciones sentencias juzgado garantía pitrufquen</t>
  </si>
  <si>
    <t>abuso sexual delitos género violencia mujer mujeres casos víctimas detenciones sentencias juzgado garantía temuco</t>
  </si>
  <si>
    <t>abuso sexual delitos género violencia mujer mujeres casos víctimas detenciones sentencias juzgado garantía victoria</t>
  </si>
  <si>
    <t>abuso sexual delitos género violencia mujer mujeres casos víctimas detenciones sentencias juzgado garantía villarrica</t>
  </si>
  <si>
    <t>abuso sexual delitos género violencia mujer mujeres casos víctimas detenciones sentencias juzgado garantía ancud</t>
  </si>
  <si>
    <t>abuso sexual delitos género violencia mujer mujeres casos víctimas detenciones sentencias juzgado garantía castro</t>
  </si>
  <si>
    <t>abuso sexual delitos género violencia mujer mujeres casos víctimas detenciones sentencias juzgado garantía osorno</t>
  </si>
  <si>
    <t>abuso sexual delitos género violencia mujer mujeres casos víctimas detenciones sentencias juzgado garantía puerto montt</t>
  </si>
  <si>
    <t>abuso sexual delitos género violencia mujer mujeres casos víctimas detenciones sentencias juzgado garantía puerto varas</t>
  </si>
  <si>
    <t>Rio Negro</t>
  </si>
  <si>
    <t>abuso sexual delitos género violencia mujer mujeres casos víctimas detenciones sentencias juzgado garantía rio negro</t>
  </si>
  <si>
    <t>Coyhaique</t>
  </si>
  <si>
    <t>abuso sexual delitos género violencia mujer mujeres casos víctimas detenciones sentencias juzgado garantía coyhaique</t>
  </si>
  <si>
    <t>abuso sexual delitos género violencia mujer mujeres casos víctimas detenciones sentencias juzgado garantía punta arenas</t>
  </si>
  <si>
    <t>abuso sexual delitos género violencia mujer mujeres casos víctimas detenciones sentencias juzgado garantía santiago</t>
  </si>
  <si>
    <t>abuso sexual delitos género violencia mujer mujeres casos víctimas detenciones sentencias juzgado garantía los lagos</t>
  </si>
  <si>
    <t>abuso sexual delitos género violencia mujer mujeres casos víctimas detenciones sentencias juzgado garantía mariquina</t>
  </si>
  <si>
    <t>abuso sexual delitos género violencia mujer mujeres casos víctimas detenciones sentencias juzgado garantía valdivia</t>
  </si>
  <si>
    <t>abuso sexual delitos género violencia mujer mujeres casos víctimas detenciones sentencias juzgado garantía arica</t>
  </si>
  <si>
    <t>Chillan</t>
  </si>
  <si>
    <t>abuso sexual delitos género violencia mujer mujeres casos víctimas detenciones sentencias juzgado garantía chillan</t>
  </si>
  <si>
    <t>abuso sexual delitos género violencia mujer mujeres casos víctimas detenciones sentencias juzgado garantía san carlos</t>
  </si>
  <si>
    <t>abuso sexual delitos género violencia mujer mujeres casos víctimas detenciones sentencias juzgado garantía yungay</t>
  </si>
  <si>
    <t>Sentencias Dictadas por Delitos de Abuso Sexual por región para el delito de Abuso Sexual Adulto, durante el Periodo 2013-2019</t>
  </si>
  <si>
    <t>El gráfico muestra la evolución anual de la frecuencia de Sentencias Dictadas por Delitos de Abuso Sexual por región para el delito de Abuso Sexual Adulto, durante el Periodo 2013-2019 de acuerdo a datos provenientes del Poder Judicial de Chile.</t>
  </si>
  <si>
    <t>Sentencias Dictadas por Delitos de Abuso Sexual por región para el delito de Abuso Sexual Calificado c/Introduccion Objetos O Uso Animal, durante el Periodo 2013-2019</t>
  </si>
  <si>
    <t>El gráfico muestra la evolución anual de la frecuencia de Sentencias Dictadas por Delitos de Abuso Sexual por región para el delito de Abuso Sexual Calificado c/Introduccion Objetos O Uso Animal, durante el Periodo 2013-2019 de acuerdo a datos provenientes del Poder Judicial de Chile.</t>
  </si>
  <si>
    <t>Sentencias Dictadas por Delitos de Abuso Sexual por región para el delito de Abuso Sexual Con Contacto De Menor De 14 Años, durante el Periodo 2013-2019</t>
  </si>
  <si>
    <t>El gráfico muestra la evolución anual de la frecuencia de Sentencias Dictadas por Delitos de Abuso Sexual por región para el delito de Abuso Sexual Con Contacto De Menor De 14 Años, durante el Periodo 2013-2019 de acuerdo a datos provenientes del Poder Judicial de Chile.</t>
  </si>
  <si>
    <t>Sentencias Dictadas por Delitos de Abuso Sexual por región para el delito de Abuso Sexual De 14 Años A Menor De 18 Años Con Circunstancia Estupro, durante el Periodo 2013-2019</t>
  </si>
  <si>
    <t>El gráfico muestra la evolución anual de la frecuencia de Sentencias Dictadas por Delitos de Abuso Sexual por región para el delito de Abuso Sexual De 14 Años A Menor De 18 Años Con Circunstancia Estupro, durante el Periodo 2013-2019 de acuerdo a datos provenientes del Poder Judicial de Chile.</t>
  </si>
  <si>
    <t>Sentencias Dictadas por Delitos de Abuso Sexual por región para el delito de Abuso Sexual De Mayor De 14 (Con Circunstancias De Violación), durante el Periodo 2013-2019</t>
  </si>
  <si>
    <t>El gráfico muestra la evolución anual de la frecuencia de Sentencias Dictadas por Delitos de Abuso Sexual por región para el delito de Abuso Sexual De Mayor De 14 (Con Circunstancias De Violación), durante el Periodo 2013-2019 de acuerdo a datos provenientes del Poder Judicial de Chile.</t>
  </si>
  <si>
    <t>Sentencias Dictadas por Delitos de Abuso Sexual por región para el delito de Abuso Sexual Mayor 14 /Sorpresa Sin Consentimiento, durante el Periodo 2013-2019</t>
  </si>
  <si>
    <t>El gráfico muestra la evolución anual de la frecuencia de Sentencias Dictadas por Delitos de Abuso Sexual por región para el delito de Abuso Sexual Mayor 14 /Sorpresa Sin Consentimiento, durante el Periodo 2013-2019 de acuerdo a datos provenientes del Poder Judicial de Chile.</t>
  </si>
  <si>
    <t>Sentencias Dictadas por Delitos de Abuso Sexual por región para el delito de Abuso Sexual Sin Contacto, durante el Periodo 2013-2019</t>
  </si>
  <si>
    <t>El gráfico muestra la evolución anual de la frecuencia de Sentencias Dictadas por Delitos de Abuso Sexual por región para el delito de Abuso Sexual Sin Contacto, durante el Periodo 2013-2019 de acuerdo a datos provenientes del Poder Judicial de Chile.</t>
  </si>
  <si>
    <t>Sentencias Dictadas por Delitos de Abuso Sexual por Juzgado de Garantía para el delito de Abuso Sexual Adulto, durante el Periodo 2013-2019</t>
  </si>
  <si>
    <t>El gráfico muestra la evolución anual de la frecuencia de Sentencias Dictadas por Delitos de Abuso Sexual por Juzgado de Garantía para el delito de Abuso Sexual Adulto, durante el Periodo 2013-2019 de acuerdo a datos provenientes del Poder Judicial de Chile.</t>
  </si>
  <si>
    <t>Sentencias Dictadas por Delitos de Abuso Sexual por Juzgado de Garantía para el delito de Abuso Sexual Calificado c/Introduccion Objetos O Uso Animal, durante el Periodo 2013-2019</t>
  </si>
  <si>
    <t>El gráfico muestra la evolución anual de la frecuencia de Sentencias Dictadas por Delitos de Abuso Sexual por Juzgado de Garantía para el delito de Abuso Sexual Calificado c/Introduccion Objetos O Uso Animal, durante el Periodo 2013-2019 de acuerdo a datos provenientes del Poder Judicial de Chile.</t>
  </si>
  <si>
    <t>Sentencias Dictadas por Delitos de Abuso Sexual por Juzgado de Garantía para el delito de Abuso Sexual Con Contacto De Menor De 14 Años, durante el Periodo 2013-2019</t>
  </si>
  <si>
    <t>El gráfico muestra la evolución anual de la frecuencia de Sentencias Dictadas por Delitos de Abuso Sexual por Juzgado de Garantía para el delito de Abuso Sexual Con Contacto De Menor De 14 Años, durante el Periodo 2013-2019 de acuerdo a datos provenientes del Poder Judicial de Chile.</t>
  </si>
  <si>
    <t>Sentencias Dictadas por Delitos de Abuso Sexual por Juzgado de Garantía para el delito de Abuso Sexual De 14 Años A Menor De 18 Años Con Circunstancia Estupro, durante el Periodo 2013-2019</t>
  </si>
  <si>
    <t>El gráfico muestra la evolución anual de la frecuencia de Sentencias Dictadas por Delitos de Abuso Sexual por Juzgado de Garantía para el delito de Abuso Sexual De 14 Años A Menor De 18 Años Con Circunstancia Estupro, durante el Periodo 2013-2019 de acuerdo a datos provenientes del Poder Judicial de Chile.</t>
  </si>
  <si>
    <t>Sentencias Dictadas por Delitos de Abuso Sexual por Juzgado de Garantía para el delito de Abuso Sexual De Mayor De 14 (Con Circunstancias De Violación), durante el Periodo 2013-2019</t>
  </si>
  <si>
    <t>El gráfico muestra la evolución anual de la frecuencia de Sentencias Dictadas por Delitos de Abuso Sexual por Juzgado de Garantía para el delito de Abuso Sexual De Mayor De 14 (Con Circunstancias De Violación), durante el Periodo 2013-2019 de acuerdo a datos provenientes del Poder Judicial de Chile.</t>
  </si>
  <si>
    <t>Sentencias Dictadas por Delitos de Abuso Sexual por Juzgado de Garantía para el delito de Abuso Sexual Mayor 14 /Sorpresa Sin Consentimiento, durante el Periodo 2013-2019</t>
  </si>
  <si>
    <t>El gráfico muestra la evolución anual de la frecuencia de Sentencias Dictadas por Delitos de Abuso Sexual por Juzgado de Garantía para el delito de Abuso Sexual Mayor 14 /Sorpresa Sin Consentimiento, durante el Periodo 2013-2019 de acuerdo a datos provenientes del Poder Judicial de Chile.</t>
  </si>
  <si>
    <t>Sentencias Dictadas por Delitos de Abuso Sexual por Juzgado de Garantía para el delito de Abuso Sexual Sin Contacto, durante el Periodo 2013-2019</t>
  </si>
  <si>
    <t>El gráfico muestra la evolución anual de la frecuencia de Sentencias Dictadas por Delitos de Abuso Sexual por Juzgado de Garantía para el delito de Abuso Sexual Sin Contacto, durante el Periodo 2013-2019 de acuerdo a datos provenientes del Poder Judicial de Chile.</t>
  </si>
  <si>
    <t xml:space="preserve">Variación Trimestral de Sentencias Dictadas (%) por Delitos de Abuso Sexual </t>
  </si>
  <si>
    <t>Porcentaje</t>
  </si>
  <si>
    <t>Variación Trimestral de Sentencias Dictadas (%) para el Delito de Abuso Sexual Adulto por región, durante el Periodo 2013-2019</t>
  </si>
  <si>
    <t>El gráfico muestra la evolución temporal de la Variación Trimestral de Sentencias Dictadas (%) para el Delito de Abuso Sexual Adulto por región, durante el Periodo 2013-2019 de acuerdo a datos provenientes del Poder Judicial de Chile.</t>
  </si>
  <si>
    <t>Variación Trimestral de Sentencias Dictadas (%) para el Delito de Abuso Sexual Calificado c/Introduccion Objetos O Uso Animal por región, durante el Periodo 2013-2019</t>
  </si>
  <si>
    <t>El gráfico muestra la evolución temporal de la Variación Trimestral de Sentencias Dictadas (%) para el Delito de Abuso Sexual Calificado c/Introduccion Objetos O Uso Animal por región, durante el Periodo 2013-2019 de acuerdo a datos provenientes del Poder Judicial de Chile.</t>
  </si>
  <si>
    <t>Variación Trimestral de Sentencias Dictadas (%) para el Delito de Abuso Sexual Con Contacto De Menor De 14 Años por región, durante el Periodo 2013-2019</t>
  </si>
  <si>
    <t>El gráfico muestra la evolución temporal de la Variación Trimestral de Sentencias Dictadas (%) para el Delito de Abuso Sexual Con Contacto De Menor De 14 Años por región, durante el Periodo 2013-2019 de acuerdo a datos provenientes del Poder Judicial de Chile.</t>
  </si>
  <si>
    <t>Variación Trimestral de Sentencias Dictadas (%) para el Delito de Abuso Sexual De 14 Años A Menor De 18 Años Con Circunstancia Estupro por región, durante el Periodo 2013-2019</t>
  </si>
  <si>
    <t>El gráfico muestra la evolución temporal de la Variación Trimestral de Sentencias Dictadas (%) para el Delito de Abuso Sexual De 14 Años A Menor De 18 Años Con Circunstancia Estupro por región, durante el Periodo 2013-2019 de acuerdo a datos provenientes del Poder Judicial de Chile.</t>
  </si>
  <si>
    <t>Variación Trimestral de Sentencias Dictadas (%) para el Delito de Abuso Sexual De Mayor De 14 (Con Circunstancias De Violación) por región, durante el Periodo 2013-2019</t>
  </si>
  <si>
    <t>El gráfico muestra la evolución temporal de la Variación Trimestral de Sentencias Dictadas (%) para el Delito de Abuso Sexual De Mayor De 14 (Con Circunstancias De Violación) por región, durante el Periodo 2013-2019 de acuerdo a datos provenientes del Poder Judicial de Chile.</t>
  </si>
  <si>
    <t>Variación Trimestral de Sentencias Dictadas (%) para el Delito de Abuso Sexual Mayor 14 /Sorpresa Sin Consentimiento por región, durante el Periodo 2013-2019</t>
  </si>
  <si>
    <t>El gráfico muestra la evolución temporal de la Variación Trimestral de Sentencias Dictadas (%) para el Delito de Abuso Sexual Mayor 14 /Sorpresa Sin Consentimiento por región, durante el Periodo 2013-2019 de acuerdo a datos provenientes del Poder Judicial de Chile.</t>
  </si>
  <si>
    <t>Variación Trimestral de Sentencias Dictadas (%) para el Delito de Abuso Sexual Sin Contacto por región, durante el Periodo 2013-2019</t>
  </si>
  <si>
    <t>El gráfico muestra la evolución temporal de la Variación Trimestral de Sentencias Dictadas (%) para el Delito de Abuso Sexual Sin Contacto por región, durante el Periodo 2013-2019 de acuerdo a datos provenientes del Poder Judicial de Chile.</t>
  </si>
  <si>
    <t>Variación Trimestral de Sentencias Dictadas (%) para el Delito de Acoso Sexual Lugares Públicos /Libre Acceso Público por región, durante el Periodo 2013-2019</t>
  </si>
  <si>
    <t>El gráfico muestra la evolución temporal de la Variación Trimestral de Sentencias Dictadas (%) para el Delito de Acoso Sexual Lugares Públicos /Libre Acceso Público por región, durante el Periodo 2013-2019 de acuerdo a datos provenientes del Poder Judicial de Chile.</t>
  </si>
  <si>
    <t>Variación Trimestral de Sentencias Dictadas (%) para el Delito de Abuso Sexual Adulto por Juzgado de Garantía, durante el Periodo 2013-2019</t>
  </si>
  <si>
    <t>El gráfico muestra la evolución temporal de la Variación Trimestral de Sentencias Dictadas (%) para el Delito de Abuso Sexual Adulto por Juzgado de Garantía, durante el Periodo 2013-2019 de acuerdo a datos provenientes del Poder Judicial de Chile.</t>
  </si>
  <si>
    <t>Variación Trimestral de Sentencias Dictadas (%) para el Delito de Abuso Sexual Calificado c/Introduccion Objetos O Uso Animal por Juzgado de Garantía, durante el Periodo 2013-2019</t>
  </si>
  <si>
    <t>El gráfico muestra la evolución temporal de la Variación Trimestral de Sentencias Dictadas (%) para el Delito de Abuso Sexual Calificado c/Introduccion Objetos O Uso Animal por Juzgado de Garantía, durante el Periodo 2013-2019 de acuerdo a datos provenientes del Poder Judicial de Chile.</t>
  </si>
  <si>
    <t>Variación Trimestral de Sentencias Dictadas (%) para el Delito de Abuso Sexual Con Contacto De Menor De 14 Años por Juzgado de Garantía, durante el Periodo 2013-2019</t>
  </si>
  <si>
    <t>El gráfico muestra la evolución temporal de la Variación Trimestral de Sentencias Dictadas (%) para el Delito de Abuso Sexual Con Contacto De Menor De 14 Años por Juzgado de Garantía, durante el Periodo 2013-2019 de acuerdo a datos provenientes del Poder Judicial de Chile.</t>
  </si>
  <si>
    <t>Variación Trimestral de Sentencias Dictadas (%) para el Delito de Abuso Sexual De 14 Años A Menor De 18 Años Con Circunstancia Estupro por Juzgado de Garantía, durante el Periodo 2013-2019</t>
  </si>
  <si>
    <t>El gráfico muestra la evolución temporal de la Variación Trimestral de Sentencias Dictadas (%) para el Delito de Abuso Sexual De 14 Años A Menor De 18 Años Con Circunstancia Estupro por Juzgado de Garantía, durante el Periodo 2013-2019 de acuerdo a datos provenientes del Poder Judicial de Chile.</t>
  </si>
  <si>
    <t>Variación Trimestral de Sentencias Dictadas (%) para el Delito de Abuso Sexual De Mayor De 14 (Con Circunstancias De Violación) por Juzgado de Garantía, durante el Periodo 2013-2019</t>
  </si>
  <si>
    <t>El gráfico muestra la evolución temporal de la Variación Trimestral de Sentencias Dictadas (%) para el Delito de Abuso Sexual De Mayor De 14 (Con Circunstancias De Violación) por Juzgado de Garantía, durante el Periodo 2013-2019 de acuerdo a datos provenientes del Poder Judicial de Chile.</t>
  </si>
  <si>
    <t>Variación Trimestral de Sentencias Dictadas (%) para el Delito de Abuso Sexual Mayor 14 /Sorpresa Sin Consentimiento por Juzgado de Garantía, durante el Periodo 2013-2019</t>
  </si>
  <si>
    <t>El gráfico muestra la evolución temporal de la Variación Trimestral de Sentencias Dictadas (%) para el Delito de Abuso Sexual Mayor 14 /Sorpresa Sin Consentimiento por Juzgado de Garantía, durante el Periodo 2013-2019 de acuerdo a datos provenientes del Poder Judicial de Chile.</t>
  </si>
  <si>
    <t>Variación Trimestral de Sentencias Dictadas (%) para el Delito de Abuso Sexual Sin Contacto por Juzgado de Garantía, durante el Periodo 2013-2019</t>
  </si>
  <si>
    <t>El gráfico muestra la evolución temporal de la Variación Trimestral de Sentencias Dictadas (%) para el Delito de Abuso Sexual Sin Contacto por Juzgado de Garantía, durante el Periodo 2013-2019 de acuerdo a datos provenientes del Poder Judicial de Chile.</t>
  </si>
  <si>
    <t>Variación Trimestral de Sentencias Dictadas (%) para el Delito de Acoso Sexual Lugares Públicos /Libre Acceso Público por Juzgado de Garantía, durante el Periodo 2013-2019</t>
  </si>
  <si>
    <t>El gráfico muestra la evolución temporal de la Variación Trimestral de Sentencias Dictadas (%) para el Delito de Acoso Sexual Lugares Públicos /Libre Acceso Público por Juzgado de Garantía, durante el Periodo 2013-2019 de acuerdo a datos provenientes del Poder Judicial de Chile.</t>
  </si>
  <si>
    <t>Mapa de Sentencias Dictadas Acumuladas</t>
  </si>
  <si>
    <t>Mapa de Sentencias Dictadas Acumuladas para el Delito de Abuso Sexual (Sólo Crimen) por región, durante el Periodo 2013-2019</t>
  </si>
  <si>
    <t>Se presenta la distribución geográfica de la frecuencia de sentencias para el periodo a través del Mapa de Sentencias Dictadas Acumuladas para el Delito de Abuso Sexual (Sólo Crimen) por región, durante el Periodo 2013-2019 de acuerdo a datos provenientes del Poder Judicial de Chile.</t>
  </si>
  <si>
    <t>Mapa de calor</t>
  </si>
  <si>
    <t>abuso sexual delitos género violencia mujer mujeres casos víctimas detenciones sentencias mapa</t>
  </si>
  <si>
    <t>Mapa de Sentencias Dictadas Acumuladas para el Delito de Abuso Sexual Adulto por región, durante el Periodo 2013-2019</t>
  </si>
  <si>
    <t>Se presenta la distribución geográfica de la frecuencia de sentencias para el periodo a través del Mapa de Sentencias Dictadas Acumuladas para el Delito de Abuso Sexual Adulto por región, durante el Periodo 2013-2019 de acuerdo a datos provenientes del Poder Judicial de Chile.</t>
  </si>
  <si>
    <t>Mapa de Sentencias Dictadas Acumuladas para el Delito de Abuso Sexual Calificado c/Introduccion Objetos O Uso Animal por región, durante el Periodo 2013-2019</t>
  </si>
  <si>
    <t>Se presenta la distribución geográfica de la frecuencia de sentencias para el periodo a través del Mapa de Sentencias Dictadas Acumuladas para el Delito de Abuso Sexual Calificado c/Introduccion Objetos O Uso Animal por región, durante el Periodo 2013-2019 de acuerdo a datos provenientes del Poder Judicial de Chile.</t>
  </si>
  <si>
    <t>Mapa de Sentencias Dictadas Acumuladas para el Delito de Abuso Sexual Con Contacto De Menor De 14 Años por región, durante el Periodo 2013-2019</t>
  </si>
  <si>
    <t>Se presenta la distribución geográfica de la frecuencia de sentencias para el periodo a través del Mapa de Sentencias Dictadas Acumuladas para el Delito de Abuso Sexual Con Contacto De Menor De 14 Años por región, durante el Periodo 2013-2019 de acuerdo a datos provenientes del Poder Judicial de Chile.</t>
  </si>
  <si>
    <t>Mapa de Sentencias Dictadas Acumuladas para el Delito de Abuso Sexual De 14 Años A Menor De 18 Años Con Circunstancia Estupro por región, durante el Periodo 2013-2019</t>
  </si>
  <si>
    <t>Se presenta la distribución geográfica de la frecuencia de sentencias para el periodo a través del Mapa de Sentencias Dictadas Acumuladas para el Delito de  Abuso Sexual De 14 Años A Menor De 18 Años Con Circunstancia Estupro por región, durante el Periodo 2013-2019 de acuerdo a datos provenientes del Poder Judicial de Chile.</t>
  </si>
  <si>
    <t>Mapa de Sentencias Dictadas Acumuladas para el Delito de Abuso Sexual De Mayor De 14 (Con Circunstancias De Violación) por región, durante el Periodo 2013-2019</t>
  </si>
  <si>
    <t>Se presenta la distribución geográfica de la frecuencia de sentencias para el periodo a través del Mapa de Sentencias Dictadas Acumuladas para el Delito de Abuso Sexual De Mayor De 14 (Con Circunstancias De Violación) por región, durante el Periodo 2013-2019 de acuerdo a datos provenientes del Poder Judicial de Chile.</t>
  </si>
  <si>
    <t>Mapa de Sentencias Dictadas Acumuladas para el Delito de Abuso Sexual Mayor 14 /Sorpresa Sin Consentimiento por región, durante el Periodo 2013-2019</t>
  </si>
  <si>
    <t>Se presenta la distribución geográfica de la frecuencia de sentencias para el periodo a través del Mapa de Sentencias Dictadas Acumuladas para el Delito de Abuso Sexual Mayor 14 /Sorpresa Sin Consentimiento por región, durante el Periodo 2013-2019 de acuerdo a datos provenientes del Poder Judicial de Chile.</t>
  </si>
  <si>
    <t>Mapa de Sentencias Dictadas Acumuladas para el Delito de Abuso Sexual Sin Contacto por región, durante el Periodo 2013-2019</t>
  </si>
  <si>
    <t>Se presenta la distribución geográfica de la frecuencia de sentencias para el periodo a través del Mapa de Sentencias Dictadas Acumuladas para el Delito de Abuso Sexual Sin Contacto por región, durante el Periodo 2013-2019 de acuerdo a datos provenientes del Poder Judicial de Chile.</t>
  </si>
  <si>
    <t>Mapa de Sentencias Dictadas Acumuladas para el Delito de Acoso Sexual Lugares Públicos /Libre Acceso Público por región, durante el Periodo 2013-2019</t>
  </si>
  <si>
    <t>Se presenta la distribución geográfica de la frecuencia de sentencias para el periodo a través del Mapa de Sentencias Dictadas Acumuladas para el Delito de Acoso Sexual Lugares Públicos /Libre Acceso Público por región, durante el Periodo 2013-2019 de acuerdo a datos provenientes del Poder Judicial de Chile.</t>
  </si>
  <si>
    <t>Mapa de Sentencias Dictadas</t>
  </si>
  <si>
    <t>Año 2019</t>
  </si>
  <si>
    <t>Mapa de Sentencias Dictadas para el Delito de Abuso Sexual Calificado c/Introduccion Objetos O Uso Animal por región, durante el Año 2019</t>
  </si>
  <si>
    <t>Se presenta la distribución geográfica de la frecuencia de sentencias para el último año informado a través del Mapa de Sentencias Dictadas para el Delito de Abuso Sexual Calificado c/Introduccion Objetos O Uso Animal por región, durante el Año 2019 de acuerdo a datos provenientes del Poder Judicial de Chile.</t>
  </si>
  <si>
    <t>Mapa de Sentencias Dictadas para el Delito de Abuso Sexual Con Contacto De Menor De 14 Años por región, durante el Año 2019</t>
  </si>
  <si>
    <t>Se presenta la distribución geográfica de la frecuencia de sentencias para el último año informado a través del Mapa de Sentencias Dictadas para el Delito de Abuso Sexual Con Contacto De Menor De 14 Años por región, durante el Año 2019 de acuerdo a datos provenientes del Poder Judicial de Chile.</t>
  </si>
  <si>
    <t>Mapa de Sentencias Dictadas para el Delito de Abuso Sexual De 14 Años A Menor De 18 Años Con Circunstancia Estupro por región, durante el Año 2019</t>
  </si>
  <si>
    <t>Se presenta la distribución geográfica de la frecuencia de sentencias para el último año informado a través del Mapa de Sentencias Dictadas para el Delito de Abuso Sexual De 14 Años A Menor De 18 Años Con Circunstancia Estupro por región, durante el Año 2019 de acuerdo a datos provenientes del Poder Judicial de Chile.</t>
  </si>
  <si>
    <t>Mapa de Sentencias Dictadas para el Delito de Abuso Sexual De Mayor De 14 (Con Circunstancias De Violación) por región, durante el Año 2019</t>
  </si>
  <si>
    <t>Se presenta la distribución geográfica de la frecuencia de sentencias para el último año informado a través del Mapa de Sentencias Dictadas para el Delito de Abuso Sexual De Mayor De 14 (Con Circunstancias De Violación) por región, durante el Año 2019 de acuerdo a datos provenientes del Poder Judicial de Chile.</t>
  </si>
  <si>
    <t>Mapa de Sentencias Dictadas para el Delito de Abuso Sexual Mayor 14 /Sorpresa Sin Consentimiento por región, durante el Año 2019</t>
  </si>
  <si>
    <t>Se presenta la distribución geográfica de la frecuencia de sentencias para el último año informado a través del Mapa de Sentencias Dictadas para el Delito de Abuso Sexual Mayor 14 /Sorpresa Sin Consentimiento por región, durante el Año 2019 de acuerdo a datos provenientes del Poder Judicial de Chile.</t>
  </si>
  <si>
    <t>Mapa de Sentencias Dictadas para el Delito de Abuso Sexual Sin Contacto por región, durante el Año 2019</t>
  </si>
  <si>
    <t>Se presenta la distribución geográfica de la frecuencia de sentencias para el último año informado a través del Mapa de Sentencias Dictadas para el Delito de Abuso Sexual Sin Contacto por región, durante el Año 2019 de acuerdo a datos provenientes del Poder Judicial de Chile.</t>
  </si>
  <si>
    <t>Mapa de Sentencias Dictadas para el Delito de Acoso Sexual Lugares Públicos /Libre Acceso Público por región, durante el Año 2019</t>
  </si>
  <si>
    <t>Se presenta la distribución geográfica de la frecuencia de sentencias para el último año informado a través del Mapa de Sentencias Dictadas para el Delito de Acoso Sexual Lugares Públicos /Libre Acceso Público por región, durante el Año 2019 de acuerdo a datos provenientes del Poder Judicial de Chile.</t>
  </si>
  <si>
    <t>0</t>
  </si>
  <si>
    <t>Mapa de Sentencias Dictadas Acumuladas para la tipología de Delitos Sexuales por región, durante el Periodo 2013-2019</t>
  </si>
  <si>
    <t>Se presenta la distribución geográfica de la frecuencia de sentencias para el periodo a través del Mapa de Sentencias Dictadas Acumuladas para la tipología de Delitos Sexuales por región, durante el Periodo 2013-2019, de acuerdo a datos provenientes del Poder Judicial de Chile.</t>
  </si>
  <si>
    <t>1</t>
  </si>
  <si>
    <t>Mapa de Sentencias Dictadas para la tipología de Delitos Sexuales por región, durante el Año 2019</t>
  </si>
  <si>
    <t>Se presenta la distribución geográfica de la frecuencia de sentencias para el último año informado a través del Mapa de Sentencias Dictadas para la tipología de Delitos Sexuales por región, durante el Año 2019, de acuerdo a datos provenientes del Poder Judicial de Chile.</t>
  </si>
  <si>
    <t>Sentencias Dictadas por Delitos Vinculados a la Mujer</t>
  </si>
  <si>
    <t>Sentencias Dictadas por Delitos Vinculados a la Mujer por región en la tipología de Delitos Violentos, para el Periodo 2013-2019</t>
  </si>
  <si>
    <t>El gráfico muestra la evolución anual de la frecuencia de Sentencias Dictadas por Delitos Vinculados a la Mujer por región en la tipología de Delitos Violentos, para el Periodo 2013-2019 de acuerdo a datos provenientes del Poder Judicial de Chile.</t>
  </si>
  <si>
    <t>sociedad delincuencia delitos frecuencia sentencias violentos secuestro homicidio tortura abuso lesiones mujer violencia femicidio violación regional</t>
  </si>
  <si>
    <t>Sentencias Dictadas por Delitos Vinculados a la Mujer por región en la tipología de Delitos Contra el Estado Civil y la Familia, para el Periodo 2013-2019</t>
  </si>
  <si>
    <t>El gráfico muestra la evolución anual de la frecuencia de Sentencias Dictadas por Delitos Vinculados a la Mujer por región en la tipología de Delitos Contra el Estado Civil y la Familia, para el Periodo 2013-2019 de acuerdo a datos provenientes del Poder Judicial de Chile.</t>
  </si>
  <si>
    <t>sociedad delincuencia delitos frecuencia sentencias violentos maltrato intrafamiliar mujer violencia regional</t>
  </si>
  <si>
    <t>Sentencias Dictadas por Delitos Vinculados a la Mujer por región en la tipología de Delitos Contra la Vida, Integridad o Dignidad Personal, para el Periodo 2013-2019</t>
  </si>
  <si>
    <t>El gráfico muestra la evolución anual de la frecuencia de Sentencias Dictadas por Delitos Vinculados a la Mujer por región en la tipología de Delitos Contra la Vida, Integridad o Dignidad Personal, para el Periodo 2013-2019 de acuerdo a datos provenientes del Poder Judicial de Chile.</t>
  </si>
  <si>
    <t>sociedad delincuencia delitos frecuencia sentencias violentos aborto causales mujer violencia consentimiento consentido regional</t>
  </si>
  <si>
    <t>Gráfico que muestra la frecuencia mensual de Sentencias Dictadas por Delitos Vinculados a la Mujer por Tipo de Delito en la Región de Tarapacá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</si>
  <si>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tarapacá</t>
  </si>
  <si>
    <t>Gráfico que muestra la frecuencia mensual de Sentencias Dictadas por Delitos Vinculados a la Mujer por Tipo de Delito en la Región de Antofagasta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</si>
  <si>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antofagasta</t>
  </si>
  <si>
    <t>Gráfico que muestra la frecuencia mensual de Sentencias Dictadas por Delitos Vinculados a la Mujer por Tipo de Delito en la Región de Atacama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</si>
  <si>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atacama</t>
  </si>
  <si>
    <t>Gráfico que muestra la frecuencia mensual de Sentencias Dictadas por Delitos Vinculados a la Mujer por Tipo de Delito en la Región de Coquimbo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</si>
  <si>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coquimbo</t>
  </si>
  <si>
    <t>Gráfico que muestra la frecuencia mensual de Sentencias Dictadas por Delitos Vinculados a la Mujer por Tipo de Delito en la Región de Valparaíso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</si>
  <si>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valparaíso</t>
  </si>
  <si>
    <t>Gráfico que muestra la frecuencia mensual de Sentencias Dictadas por Delitos Vinculados a la Mujer por Tipo de Delito en la Región de O'Higgins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</si>
  <si>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ohiggins</t>
  </si>
  <si>
    <t>Gráfico que muestra la frecuencia mensual de Sentencias Dictadas por Delitos Vinculados a la Mujer por Tipo de Delito en la Región de Maule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</si>
  <si>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maule</t>
  </si>
  <si>
    <t>Gráfico que muestra la frecuencia mensual de Sentencias Dictadas por Delitos Vinculados a la Mujer por Tipo de Delito en la Región del Biobío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</si>
  <si>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biobío</t>
  </si>
  <si>
    <t>Gráfico que muestra la frecuencia mensual de Sentencias Dictadas por Delitos Vinculados a la Mujer por Tipo de Delito en la Región de La Araucanía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</si>
  <si>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araucanía</t>
  </si>
  <si>
    <t>Gráfico que muestra la frecuencia mensual de Sentencias Dictadas por Delitos Vinculados a la Mujer por Tipo de Delito en la Región de Los Lagos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</si>
  <si>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los lagos</t>
  </si>
  <si>
    <t>Gráfico que muestra la frecuencia mensual de Sentencias Dictadas por Delitos Vinculados a la Mujer por Tipo de Delito en la Región de Aysén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</si>
  <si>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aysén</t>
  </si>
  <si>
    <t>Gráfico que muestra la frecuencia mensual de Sentencias Dictadas por Delitos Vinculados a la Mujer por Tipo de Delito en la Región de Magallanes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</si>
  <si>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magallanes</t>
  </si>
  <si>
    <t>Gráfico que muestra la frecuencia mensual de Sentencias Dictadas por Delitos Vinculados a la Mujer por Tipo de Delito en la Región Metropolitana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</si>
  <si>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metropolitana</t>
  </si>
  <si>
    <t>Gráfico que muestra la frecuencia mensual de Sentencias Dictadas por Delitos Vinculados a la Mujer por Tipo de Delito en la Región de Los Ríos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</si>
  <si>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los ríos</t>
  </si>
  <si>
    <t>Gráfico que muestra la frecuencia mensual de Sentencias Dictadas por Delitos Vinculados a la Mujer por Tipo de Delito en la Región de Arica y Parinacota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</si>
  <si>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arica parinacota</t>
  </si>
  <si>
    <t>Gráfico que muestra la frecuencia mensual de Sentencias Dictadas por Delitos Vinculados a la Mujer por Tipo de Delito en la Región de Ñuble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</si>
  <si>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sentencias contra vida dignidad integridad violentos familia estado civil mujer violencia ñuble</t>
  </si>
  <si>
    <t>sociedad delincuencia delitos frecuencia sentencias juzgado garantía mujer violencia tarapacá</t>
  </si>
  <si>
    <t>sociedad delincuencia delitos frecuencia sentencias juzgado garantía mujer violencia antofagasta</t>
  </si>
  <si>
    <t>sociedad delincuencia delitos frecuencia sentencias juzgado garantía mujer violencia atacama</t>
  </si>
  <si>
    <t>sociedad delincuencia delitos frecuencia sentencias juzgado garantía mujer violencia coquimbo</t>
  </si>
  <si>
    <t>sociedad delincuencia delitos frecuencia sentencias juzgado garantía mujer violencia valparaíso</t>
  </si>
  <si>
    <t>sociedad delincuencia delitos frecuencia sentencias juzgado garantía mujer violencia ohiggins</t>
  </si>
  <si>
    <t>sociedad delincuencia delitos frecuencia sentencias juzgado garantía mujer violencia maule</t>
  </si>
  <si>
    <t>sociedad delincuencia delitos frecuencia sentencias juzgado garantía mujer violencia biobío</t>
  </si>
  <si>
    <t>sociedad delincuencia delitos frecuencia sentencias juzgado garantía mujer violencia araucanía</t>
  </si>
  <si>
    <t>sociedad delincuencia delitos frecuencia sentencias juzgado garantía mujer violencia los lagos</t>
  </si>
  <si>
    <t>sociedad delincuencia delitos frecuencia sentencias juzgado garantía mujer violencia aysén</t>
  </si>
  <si>
    <t>sociedad delincuencia delitos frecuencia sentencias juzgado garantía mujer violencia magallanes</t>
  </si>
  <si>
    <t>sociedad delincuencia delitos frecuencia sentencias juzgado garantía mujer violencia metropolitana</t>
  </si>
  <si>
    <t>sociedad delincuencia delitos frecuencia sentencias juzgado garantía mujer violencia los ríos</t>
  </si>
  <si>
    <t>sociedad delincuencia delitos frecuencia sentencias juzgado garantía mujer violencia arica parinacota</t>
  </si>
  <si>
    <t>sociedad delincuencia delitos frecuencia sentencias juzgado garantía mujer violencia ñuble</t>
  </si>
  <si>
    <t>sociedad delincuencia delitos frecuencia sentencias secuestro homicio tortura aborto lesiones mujer violencia tarapacá</t>
  </si>
  <si>
    <t>sociedad delincuencia delitos frecuencia sentencias secuestro homicidio tortura aborto lesiones mujer violencia femicidio antofagasta</t>
  </si>
  <si>
    <t>sociedad delincuencia delitos frecuencia sentencias secuestro homicidio tortura aborto lesiones mujer violencia femicidio atacama</t>
  </si>
  <si>
    <t>sociedad delincuencia delitos frecuencia sentencias secuestro homicidio tortura aborto lesiones mujer violencia femicidio coquimbo</t>
  </si>
  <si>
    <t>sociedad delincuencia delitos frecuencia sentencias secuestro homicidio tortura aborto lesiones mujer violencia femicidio valparaíso</t>
  </si>
  <si>
    <t>sociedad delincuencia delitos frecuencia sentencias secuestro homicidio tortura aborto lesiones mujer violencia femicidio ohiggins</t>
  </si>
  <si>
    <t>sociedad delincuencia delitos frecuencia sentencias secuestro homicidio tortura aborto lesiones mujer violencia femicidio maule</t>
  </si>
  <si>
    <t>sociedad delincuencia delitos frecuencia sentencias secuestro homicidio tortura aborto lesiones mujer violencia femicidio biobío</t>
  </si>
  <si>
    <t>sociedad delincuencia delitos frecuencia sentencias secuestro homicidio tortura aborto lesiones mujer violencia femicidio araucanía</t>
  </si>
  <si>
    <t>sociedad delincuencia delitos frecuencia sentencias secuestro homicidio tortura aborto lesiones mujer violencia femicidio los lagos</t>
  </si>
  <si>
    <t>sociedad delincuencia delitos frecuencia sentencias secuestro homicidio tortura aborto lesiones mujer violencia femicidio aysén</t>
  </si>
  <si>
    <t>sociedad delincuencia delitos frecuencia sentencias secuestro homicidio tortura aborto lesiones mujer violencia femicidio magallanes</t>
  </si>
  <si>
    <t>sociedad delincuencia delitos frecuencia sentencias secuestro homicidio tortura aborto lesiones mujer violencia femicidio metropolitana</t>
  </si>
  <si>
    <t>sociedad delincuencia delitos frecuencia sentencias secuestro homicidio tortura aborto lesiones mujer violencia femicidio los ríos</t>
  </si>
  <si>
    <t>sociedad delincuencia delitos frecuencia sentencias secuestro homicidio tortura aborto lesiones mujer violencia femicidio arica parinacota</t>
  </si>
  <si>
    <t>sociedad delincuencia delitos frecuencia sentencias secuestro homicidio tortura aborto lesiones mujer violencia femicidio ñuble</t>
  </si>
  <si>
    <t>El gráfico muestra la evolución anual de la frecuencia de Sentencias Dictadas por Delitos Vinculados a la Mujer por Tipo de Delito en el Juzgado de Garantía de Iquique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</si>
  <si>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garantía sentencias juzgado contra vida dignidad integridad violentos familia civil mujer violencia</t>
  </si>
  <si>
    <t>El gráfico muestra la evolución anual de la frecuencia de Sentencias Dictadas por Delitos Vinculados a la Mujer por Tipo de Delito en el Juzgado de Garantía de Antofagasta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</si>
  <si>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Calama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</si>
  <si>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Tocopilla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</si>
  <si>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Copiapo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</si>
  <si>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Diego de Almagro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</si>
  <si>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Vallenar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</si>
  <si>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Coquimbo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</si>
  <si>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Illapel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</si>
  <si>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La Serena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</si>
  <si>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Ovalle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</si>
  <si>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Vicuña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</si>
  <si>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Calera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</si>
  <si>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La Ligua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</si>
  <si>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Limache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</si>
  <si>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Los Andes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</si>
  <si>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Quillota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</si>
  <si>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Quilpue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</si>
  <si>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San Felipe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</si>
  <si>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Valparaiso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</si>
  <si>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Villa Alemana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</si>
  <si>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Viña Del Mar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</si>
  <si>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Graneros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</si>
  <si>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Rancagua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</si>
  <si>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Rengo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</si>
  <si>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San Fernando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</si>
  <si>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San Vicente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</si>
  <si>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Santa Cruz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</si>
  <si>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Cauquenes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</si>
  <si>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Constitucion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</si>
  <si>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Curico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</si>
  <si>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Linares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</si>
  <si>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Molina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</si>
  <si>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Parral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</si>
  <si>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San Javier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</si>
  <si>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Talca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</si>
  <si>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Arauco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</si>
  <si>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Cañete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</si>
  <si>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Chiguayante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</si>
  <si>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Concepcion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</si>
  <si>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Coronel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</si>
  <si>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Los Angeles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</si>
  <si>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Talcahuano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</si>
  <si>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Tome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</si>
  <si>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Angol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</si>
  <si>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Lautaro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</si>
  <si>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Loncoche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</si>
  <si>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Nueva Imperial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</si>
  <si>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Pitrufquen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</si>
  <si>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Temuco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</si>
  <si>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Victoria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</si>
  <si>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Villarrica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</si>
  <si>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Ancud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</si>
  <si>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Castro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</si>
  <si>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Osorno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</si>
  <si>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Puerto Montt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</si>
  <si>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Puerto Varas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</si>
  <si>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Rio Negro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</si>
  <si>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Coyhaique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</si>
  <si>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Punta Arenas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</si>
  <si>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10°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</si>
  <si>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11°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</si>
  <si>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12°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</si>
  <si>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13°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</si>
  <si>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14°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</si>
  <si>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15°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</si>
  <si>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1°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</si>
  <si>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2°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</si>
  <si>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3°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</si>
  <si>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4°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</si>
  <si>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5°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</si>
  <si>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6°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</si>
  <si>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7°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</si>
  <si>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8°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</si>
  <si>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9°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</si>
  <si>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Los Lagos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</si>
  <si>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Mariquina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</si>
  <si>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Valdivia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</si>
  <si>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Arica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</si>
  <si>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Chillan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</si>
  <si>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San Carlos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</si>
  <si>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evolución anual de la frecuencia de Sentencias Dictadas por Delitos Vinculados a la Mujer por Tipo de Delito en el Juzgado de Garantía de Yungay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</si>
  <si>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sociedad delincuencia delitos frecuencia garantía sentencias juzgado secuestro homicidio femicidio abuso tortura maltrato intrafamiliar violación aborto consentimiento consentido mujer violencia</t>
  </si>
  <si>
    <t>Sentencias Dictadas por Delitos Vinculados a la Mujer por región para el delito de Femicidio Intimo, durante el Periodo 2013-2019</t>
  </si>
  <si>
    <t>El gráfico muestra la evolución anual de la frecuencia de Sentencias Dictadas por Delitos Vinculados a la Mujer por región para el delito de Femicidio Intimo, durante el Periodo 2013-2019 de acuerdo a datos provenientes del Poder Judicial de Chile.</t>
  </si>
  <si>
    <t>sociedad delincuencia delitos frecuencia sentencias femicidio íntimo mujer violencia regional</t>
  </si>
  <si>
    <t>Sentencias Dictadas por Delitos Vinculados a la Mujer por región para el delito de Secuestro Con Violación, durante el Periodo 2013-2019</t>
  </si>
  <si>
    <t>El gráfico muestra la evolución anual de la frecuencia de Sentencias Dictadas por Delitos Vinculados a la Mujer por región para el delito de Secuestro Con Violación, durante el Periodo 2013-2019 de acuerdo a datos provenientes del Poder Judicial de Chile.</t>
  </si>
  <si>
    <t>sociedad delincuencia delitos frecuencia sentencias secuestro violación mujer violencia regional</t>
  </si>
  <si>
    <t>Sentencias Dictadas por Delitos Vinculados a la Mujer por región para el delito de Secuestro Con Homicidio, Violación O Lesiones, durante el Periodo 2013-2019</t>
  </si>
  <si>
    <t>El gráfico muestra la evolución anual de la frecuencia de Sentencias Dictadas por Delitos Vinculados a la Mujer por región para el delito de Secuestro Con Homicidio, Violación O Lesiones, durante el Periodo 2013-2019 de acuerdo a datos provenientes del Poder Judicial de Chile.</t>
  </si>
  <si>
    <t>sociedad delincuencia delitos frecuencia sentencias secuestro homicidio violación lesiones mujer violencia regional</t>
  </si>
  <si>
    <t>Sentencias Dictadas por Delitos Vinculados a la Mujer por región para el delito de Tortura Con Violación, Abuso Sexual Agravado/Otros, durante el Periodo 2013-2019</t>
  </si>
  <si>
    <t>El gráfico muestra la evolución anual de la frecuencia de Sentencias Dictadas por Delitos Vinculados a la Mujer por región para el delito de Tortura Con Violación, Abuso Sexual Agravado/Otros, durante el Periodo 2013-2019 de acuerdo a datos provenientes del Poder Judicial de Chile.</t>
  </si>
  <si>
    <t>sociedad delincuencia delitos frecuencia sentencias tortura violación abuso sexual mujer violencia regional</t>
  </si>
  <si>
    <t>Sentencias Dictadas por Delitos Vinculados a la Mujer por región para el delito de Maltrato Habitual (Violencia Intrafamiliar), durante el Periodo 2013-2019</t>
  </si>
  <si>
    <t>El gráfico muestra la evolución anual de la frecuencia de Sentencias Dictadas por Delitos Vinculados a la Mujer por región para el delito de Maltrato Habitual (Violencia Intrafamiliar), durante el Periodo 2013-2019 de acuerdo a datos provenientes del Poder Judicial de Chile.</t>
  </si>
  <si>
    <t>sociedad delincuencia delitos frecuencia sentencias maltrato intrafamiliar mujer violencia regional</t>
  </si>
  <si>
    <t>Sentencias Dictadas por Delitos Vinculados a la Mujer por región para el delito de Aborto Cometido Por Facultativo Por Causales No Reguladas, durante el Periodo 2013-2019</t>
  </si>
  <si>
    <t>El gráfico muestra la evolución anual de la frecuencia de Sentencias Dictadas por Delitos Vinculados a la Mujer por región para el delito de Aborto Cometido Por Facultativo Por Causales No Reguladas, durante el Periodo 2013-2019 de acuerdo a datos provenientes del Poder Judicial de Chile.</t>
  </si>
  <si>
    <t>sociedad delincuencia delitos frecuencia sentencias aborto causales reguladas mujer violencia regional</t>
  </si>
  <si>
    <t>Sentencias Dictadas por Delitos Vinculados a la Mujer por región para el delito de Aborto Consentido Causales No Reguladas, durante el Periodo 2013-2019</t>
  </si>
  <si>
    <t>El gráfico muestra la evolución anual de la frecuencia de Sentencias Dictadas por Delitos Vinculados a la Mujer por región para el delito de Aborto Consentido Causales No Reguladas, durante el Periodo 2013-2019 de acuerdo a datos provenientes del Poder Judicial de Chile.</t>
  </si>
  <si>
    <t>sociedad delincuencia delitos frecuencia sentencias aborto causales consentimiento consentido reguladas mujer violencia regional</t>
  </si>
  <si>
    <t>Sentencias Dictadas por Delitos Vinculados a la Mujer por región para el delito de Aborto Sin Consentimiento, durante el Periodo 2013-2019</t>
  </si>
  <si>
    <t>El gráfico muestra la evolución anual de la frecuencia de Sentencias Dictadas por Delitos Vinculados a la Mujer por región para el delito de Aborto Sin Consentimiento, durante el Periodo 2013-2019 de acuerdo a datos provenientes del Poder Judicial de Chile.</t>
  </si>
  <si>
    <t>sociedad delincuencia delitos frecuencia sentencias aborto consentimiento mujer violencia regional</t>
  </si>
  <si>
    <t>Sentencias Dictadas por Delitos Vinculados a la Mujer por Juzgado de Garantía para el delito de Femicidio Intimo, durante el Periodo 2013-2019</t>
  </si>
  <si>
    <t>El gráfico muestra la evolución anual de la frecuencia de Sentencias Dictadas por Delitos Vinculados a la Mujer por Juzgado de Garantía para el delito de Femicidio Intimo, durante el Periodo 2013-2019 de acuerdo a datos provenientes del Poder Judicial de Chile.</t>
  </si>
  <si>
    <t>Sentencias Dictadas por Delitos Vinculados a la Mujer por Juzgado de Garantía para el delito de Secuestro Con Violación, durante el Periodo 2013-2019</t>
  </si>
  <si>
    <t>El gráfico muestra la evolución anual de la frecuencia de Sentencias Dictadas por Delitos Vinculados a la Mujer por Juzgado de Garantía para el delito de Secuestro Con Violación, durante el Periodo 2013-2019 de acuerdo a datos provenientes del Poder Judicial de Chile.</t>
  </si>
  <si>
    <t>sociedad delincuencia delitos frecuencia sentencias secuestro violación mujer violencia juzgado garantía</t>
  </si>
  <si>
    <t>Sentencias Dictadas por Delitos Vinculados a la Mujer por Juzgado de Garantía para el delito de Secuestro Con Homicidio, Violación O Lesiones, durante el Periodo 2013-2019</t>
  </si>
  <si>
    <t>El gráfico muestra la evolución anual de la frecuencia de Sentencias Dictadas por Delitos Vinculados a la Mujer por Juzgado de Garantía para el delito de Secuestro Con Homicidio, Violación O Lesiones, durante el Periodo 2013-2019 de acuerdo a datos provenientes del Poder Judicial de Chile.</t>
  </si>
  <si>
    <t>sociedad delincuencia delitos frecuencia sentencias secuestro homicidio violación lesiones mujer violencia juzgado garantía</t>
  </si>
  <si>
    <t>Sentencias Dictadas por Delitos Vinculados a la Mujer por Juzgado de Garantía para el delito de Tortura Con Violación, Abuso Sexual Agravado/Otros, durante el Periodo 2013-2019</t>
  </si>
  <si>
    <t>El gráfico muestra la evolución anual de la frecuencia de Sentencias Dictadas por Delitos Vinculados a la Mujer por Juzgado de Garantía para el delito de Tortura Con Violación, Abuso Sexual Agravado/Otros, durante el Periodo 2013-2019 de acuerdo a datos provenientes del Poder Judicial de Chile.</t>
  </si>
  <si>
    <t>sociedad delincuencia delitos frecuencia sentencias tortura violación abuso sexual mujer violencia juzgado garantía</t>
  </si>
  <si>
    <t>Sentencias Dictadas por Delitos Vinculados a la Mujer por Juzgado de Garantía para el delito de Maltrato Habitual (Violencia Intrafamiliar), durante el Periodo 2013-2019</t>
  </si>
  <si>
    <t>El gráfico muestra la evolución anual de la frecuencia de Sentencias Dictadas por Delitos Vinculados a la Mujer por Juzgado de Garantía para el delito de Maltrato Habitual (Violencia Intrafamiliar), durante el Periodo 2013-2019 de acuerdo a datos provenientes del Poder Judicial de Chile.</t>
  </si>
  <si>
    <t>sociedad delincuencia delitos frecuencia sentencias maltrato intrafamiliar mujer violencia juzgado garantía</t>
  </si>
  <si>
    <t>Sentencias Dictadas por Delitos Vinculados a la Mujer por Juzgado de Garantía para el delito de Aborto Cometido Por Facultativo Por Causales No Reguladas, durante el Periodo 2013-2019</t>
  </si>
  <si>
    <t>El gráfico muestra la evolución anual de la frecuencia de Sentencias Dictadas por Delitos Vinculados a la Mujer por Juzgado de Garantía para el delito de Aborto Cometido Por Facultativo Por Causales No Reguladas, durante el Periodo 2013-2019 de acuerdo a datos provenientes del Poder Judicial de Chile.</t>
  </si>
  <si>
    <t>sociedad delincuencia delitos frecuencia sentencias aborto causales reguladas mujer violencia juzgado garantía</t>
  </si>
  <si>
    <t>Sentencias Dictadas por Delitos Vinculados a la Mujer por Juzgado de Garantía para el delito de Aborto Consentido Causales No Reguladas, durante el Periodo 2013-2019</t>
  </si>
  <si>
    <t>El gráfico muestra la evolución anual de la frecuencia de Sentencias Dictadas por Delitos Vinculados a la Mujer por Juzgado de Garantía para el delito de Aborto Consentido Causales No Reguladas, durante el Periodo 2013-2019 de acuerdo a datos provenientes del Poder Judicial de Chile.</t>
  </si>
  <si>
    <t>sociedad delincuencia delitos frecuencia sentencias aborto causales consentimiento consentido reguladas mujer violencia juzgado garantía</t>
  </si>
  <si>
    <t>Sentencias Dictadas por Delitos Vinculados a la Mujer por Juzgado de Garantía para el delito de Aborto Sin Consentimiento, durante el Periodo 2013-2019</t>
  </si>
  <si>
    <t>El gráfico muestra la evolución anual de la frecuencia de Sentencias Dictadas por Delitos Vinculados a la Mujer por Juzgado de Garantía para el delito de Aborto Sin Consentimiento, durante el Periodo 2013-2019 de acuerdo a datos provenientes del Poder Judicial de Chile.</t>
  </si>
  <si>
    <t>sociedad delincuencia delitos frecuencia sentencias aborto consentimiento mujer violencia juzgado garantía</t>
  </si>
  <si>
    <t>Variación Trimestral de Sentencias Dictadas (%)</t>
  </si>
  <si>
    <t>El gráfico muestra la tendencia de la Variación Trimestral de Sentencias Dictadas (%) en la Región de Tarapacá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</si>
  <si>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Antofagasta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</si>
  <si>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Atacama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</si>
  <si>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Coquimbo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</si>
  <si>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Valparaíso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</si>
  <si>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O'Higgins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</si>
  <si>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Maule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</si>
  <si>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del Biobío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</si>
  <si>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La Araucanía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</si>
  <si>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Los Lagos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</si>
  <si>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Aysén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</si>
  <si>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Magallanes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</si>
  <si>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Metropolitana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</si>
  <si>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Los Ríos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</si>
  <si>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Arica y Parinacota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</si>
  <si>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El gráfico muestra la tendencia de la Variación Trimestral de Sentencias Dictadas (%) en la Región de Ñuble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t>
  </si>
  <si>
    <t>Variación Trimestral de Sentencias Dictadas (%) para el Delito de Femicidio Intimo por región, durante el Periodo 2013-2019</t>
  </si>
  <si>
    <t>El gráfico muestra la evolución temporal de la Variación Trimestral de Sentencias Dictadas (%) para el Delito de Femicidio Intimo por región, durante el Periodo 2013-2019 de acuerdo a datos provenientes del Poder Judicial de Chile.</t>
  </si>
  <si>
    <t>Variación Trimestral de Sentencias Dictadas (%) para el Delito de Secuestro Con Violación por región, durante el Periodo 2013-2019</t>
  </si>
  <si>
    <t>El gráfico muestra la evolución temporal de la Variación Trimestral de Sentencias Dictadas (%) para el Delito de Secuestro Con Violación por región, durante el Periodo 2013-2019 de acuerdo a datos provenientes del Poder Judicial de Chile.</t>
  </si>
  <si>
    <t>Variación Trimestral de Sentencias Dictadas (%) para el Delito de Secuestro Con Homicidio, Violación O Lesiones por región, durante el Periodo 2013-2019</t>
  </si>
  <si>
    <t>El gráfico muestra la evolución temporal de la Variación Trimestral de Sentencias Dictadas (%) para el Delito de Secuestro Con Homicidio por región, durante el Periodo 2013-2019 de acuerdo a datos provenientes del Poder Judicial de Chile.</t>
  </si>
  <si>
    <t>Variación Trimestral de Sentencias Dictadas (%) para el Delito de Tortura Con Violación, Abuso Sexual Agravado/Otros por región, durante el Periodo 2013-2019</t>
  </si>
  <si>
    <t>El gráfico muestra la evolución temporal de la Variación Trimestral de Sentencias Dictadas (%) para el Delito de Tortura Con Violación, Abuso Sexual Agravado/Otros por región, durante el Periodo 2013-2019 de acuerdo a datos provenientes del Poder Judicial de Chile.</t>
  </si>
  <si>
    <t>Variación Trimestral de Sentencias Dictadas (%) para el Delito de Maltrato Habitual (Violencia Intrafamiliar) por región, durante el Periodo 2013-2019</t>
  </si>
  <si>
    <t>El gráfico muestra la evolución temporal de la Variación Trimestral de Sentencias Dictadas (%) para el Delito de Maltrato Habitual (Violencia Intrafamiliar) por región, durante el Periodo 2013-2019 de acuerdo a datos provenientes del Poder Judicial de Chile.</t>
  </si>
  <si>
    <t>Variación Trimestral de Sentencias Dictadas (%) para el Delito de Aborto Cometido Por Facultativo Por Causales No Reguladas por región, durante el Periodo 2013-2019</t>
  </si>
  <si>
    <t>El gráfico muestra la evolución temporal de la Variación Trimestral de Sentencias Dictadas (%) para el Delito de Aborto Cometido Por Facultativo Por Causales No Reguladas por región, durante el Periodo 2013-2019 de acuerdo a datos provenientes del Poder Judicial de Chile.</t>
  </si>
  <si>
    <t>Variación Trimestral de Sentencias Dictadas (%) para el Delito de Aborto Consentido Causales No Reguladas por región, durante el Periodo 2013-2019</t>
  </si>
  <si>
    <t>El gráfico muestra la evolución temporal de la Variación Trimestral de Sentencias Dictadas (%) para el Delito de Aborto Consentido Causales No Reguladas por región, durante el Periodo 2013-2019 de acuerdo a datos provenientes del Poder Judicial de Chile.</t>
  </si>
  <si>
    <t>Variación Trimestral de Sentencias Dictadas (%) para el Delito de Aborto Sin Consentimiento por región, durante el Periodo 2013-2019</t>
  </si>
  <si>
    <t>El gráfico muestra la evolución temporal de la Variación Trimestral de Sentencias Dictadas (%) para el Delito de Aborto Sin Consentimiento por región, durante el Periodo 2013-2019 de acuerdo a datos provenientes del Poder Judicial de Chile.</t>
  </si>
  <si>
    <t>Variación Trimestral de Sentencias Dictadas (%) para el Delito de Maltrato Habitual (Violencia Intrafamiliar) por Juzgado de Garantía, durante el Periodo 2013-2019</t>
  </si>
  <si>
    <t>El gráfico muestra la evolución temporal de la Variación Trimestral de Sentencias Dictadas (%) para el Delito de Maltrato Habitual (Violencia Intrafamiliar) por Juzgado de Garantía, durante el Periodo 2013-2019 de acuerdo a datos provenientes del Poder Judicial de Chile.</t>
  </si>
  <si>
    <t>Sentencias Dictadas por Delitos Vinculados a la Mujer por Juzgado de Garantía en la tipología de Delitos Violentos, para el Periodo 2013-2019</t>
  </si>
  <si>
    <t>El gráfico muestra la evolución anual de la frecuencia de Sentencias Dictadas por Delitos Vinculados a la Mujer por Juzgado de Garantía en la tipología de Delitos Violentos, para el Periodo 2013-2019 de acuerdo a datos provenientes del Poder Judicial de Chile.</t>
  </si>
  <si>
    <t>sociedad delincuencia delitos frecuencia sentencias violentos secuestro homicidio tortura abuso lesiones mujer violencia femicidio violación juzgado garantía</t>
  </si>
  <si>
    <t>Sentencias Dictadas por Delitos Vinculados a la Mujer por Juzgado de Garantía en la tipología de Delitos Contra el Estado Civil y la Familia, para el Periodo 2013-2019</t>
  </si>
  <si>
    <t>El gráfico muestra la evolución anual de la frecuencia de Sentencias Dictadas por Delitos Vinculados a la Mujer por Juzgado de Garantía en la tipología de Delitos Contra el Estado Civil y la Familia, para el Periodo 2013-2019 de acuerdo a datos provenientes del Poder Judicial de Chile.</t>
  </si>
  <si>
    <t>sociedad delincuencia delitos frecuencia sentencias violentos maltrato intrafamiliar mujer violencia juzgado garantía</t>
  </si>
  <si>
    <t>Sentencias Dictadas por Delitos Vinculados a la Mujer por Juzgado de Garantía en la tipología de Delitos Contra la Vida, Integridad o Dignidad Personal, para el Periodo 2013-2019</t>
  </si>
  <si>
    <t>El gráfico muestra la evolución anual de la frecuencia de Sentencias Dictadas por Delitos Vinculados a la Mujer por Juzgado de Garantía en la tipología de Delitos Contra la Vida, Integridad o Dignidad Personal, para el Periodo 2013-2019 de acuerdo a datos provenientes del Poder Judicial de Chile.</t>
  </si>
  <si>
    <t>sociedad delincuencia delitos frecuencia sentencias violentos aborto causales mujer violencia consentimiento consentido juzgado garantía</t>
  </si>
  <si>
    <t>Sentencias Dictadas por Delitos Vinculados a la Mujer por Delito en la tipología de Delitos Violentos, para el Periodo 2013-2019</t>
  </si>
  <si>
    <t>El gráfico muestra la evolución anual de la frecuencia de Sentencias Dictadas por Delitos Vinculados a la Mujer por Delito en la tipología de Delitos Violentos, para el Periodo 2013-2019 de acuerdo a datos provenientes del Poder Judicial de Chile.</t>
  </si>
  <si>
    <t>sociedad delincuencia delitos frecuencia sentencias violentos secuestro homicidio tortura abuso lesiones mujer violencia femicidio violación</t>
  </si>
  <si>
    <t>Sentencias Dictadas por Delitos Vinculados a la Mujer por Delito en la tipología de Delitos Contra el Estado Civil y la Familia, para el Periodo 2013-2019</t>
  </si>
  <si>
    <t>El gráfico muestra la evolución anual de la frecuencia de Sentencias Dictadas por Delitos Vinculados a la Mujer por Delito en la tipología de Delitos Contra el Estado Civil y la Familia, para el Periodo 2013-2019 de acuerdo a datos provenientes del Poder Judicial de Chile.</t>
  </si>
  <si>
    <t>sociedad delincuencia delitos frecuencia sentencias violentos maltrato intrafamiliar mujer violencia</t>
  </si>
  <si>
    <t>Sentencias Dictadas por Delitos Vinculados a la Mujer por Delito en la tipología de Delitos Contra la Vida, Integridad o Dignidad Personal, para el Periodo 2013-2019</t>
  </si>
  <si>
    <t>El gráfico muestra la evolución anual de la frecuencia de Sentencias Dictadas por Delitos Vinculados a la Mujer por Delito en la tipología de Delitos Contra la Vida, Integridad o Dignidad Personal, para el Periodo 2013-2019 de acuerdo a datos provenientes del Poder Judicial de Chile.</t>
  </si>
  <si>
    <t>sociedad delincuencia delitos frecuencia sentencias violentos aborto causales mujer violencia consentimiento consentido</t>
  </si>
  <si>
    <t>Mapa de Sentencias Dictadas Acumuladas por región, durante el Periodo 2013-2019</t>
  </si>
  <si>
    <t>Se presenta la distribución geográfica por región de la frecuencia de sentencias a través del Mapa de Sentencias Dictadas Acumuladas, durante el Periodo 2013-2019, de acuerdo a datos provenientes del Poder Judicial de Chile.</t>
  </si>
  <si>
    <t>sociedad delincuencia delitos frecuencia sentencias mujer violencia mapa acumulado</t>
  </si>
  <si>
    <t>Mapa de Sentencias Dictadas por región, durante el Año 2019</t>
  </si>
  <si>
    <t>Se presenta la distribución geográfica por región de la frecuencia de sentencias a través del Mapa de Sentencias Dictadas, durante el Año 2019, de acuerdo a datos provenientes del Poder Judicial de Chile.</t>
  </si>
  <si>
    <t>sociedad delincuencia delitos frecuencia sentencias mujer violencia mapa</t>
  </si>
  <si>
    <t>Sentencias Dictadas por Delitos Vinculados a la Mujer por Delito en la Región de Tarapacá durante el Periodo 2013-2019</t>
  </si>
  <si>
    <t>https://analytics.zoho.com/open-view/2395394000007166209?ZOHO_CRITERIA=%22Localiza%20CL%22.%22Codreg%22%3D16</t>
  </si>
  <si>
    <t>https://analytics.zoho.com/open-view/2395394000007130420?ZOHO_CRITERIA=%22Localiza%20CL%22.%22Codreg%22%3D1</t>
  </si>
  <si>
    <t>https://analytics.zoho.com/open-view/2395394000007130420?ZOHO_CRITERIA=%22Localiza%20CL%22.%22Codreg%22%3D2</t>
  </si>
  <si>
    <t>https://analytics.zoho.com/open-view/2395394000007130420?ZOHO_CRITERIA=%22Localiza%20CL%22.%22Codreg%22%3D3</t>
  </si>
  <si>
    <t>https://analytics.zoho.com/open-view/2395394000007130420?ZOHO_CRITERIA=%22Localiza%20CL%22.%22Codreg%22%3D4</t>
  </si>
  <si>
    <t>https://analytics.zoho.com/open-view/2395394000007130420?ZOHO_CRITERIA=%22Localiza%20CL%22.%22Codreg%22%3D5</t>
  </si>
  <si>
    <t>https://analytics.zoho.com/open-view/2395394000007130420?ZOHO_CRITERIA=%22Localiza%20CL%22.%22Codreg%22%3D6</t>
  </si>
  <si>
    <t>https://analytics.zoho.com/open-view/2395394000007130420?ZOHO_CRITERIA=%22Localiza%20CL%22.%22Codreg%22%3D7</t>
  </si>
  <si>
    <t>https://analytics.zoho.com/open-view/2395394000007130420?ZOHO_CRITERIA=%22Localiza%20CL%22.%22Codreg%22%3D8</t>
  </si>
  <si>
    <t>https://analytics.zoho.com/open-view/2395394000007130420?ZOHO_CRITERIA=%22Localiza%20CL%22.%22Codreg%22%3D9</t>
  </si>
  <si>
    <t>https://analytics.zoho.com/open-view/2395394000007130420?ZOHO_CRITERIA=%22Localiza%20CL%22.%22Codreg%22%3D10</t>
  </si>
  <si>
    <t>https://analytics.zoho.com/open-view/2395394000007130420?ZOHO_CRITERIA=%22Localiza%20CL%22.%22Codreg%22%3D11</t>
  </si>
  <si>
    <t>https://analytics.zoho.com/open-view/2395394000007130420?ZOHO_CRITERIA=%22Localiza%20CL%22.%22Codreg%22%3D12</t>
  </si>
  <si>
    <t>https://analytics.zoho.com/open-view/2395394000007130420?ZOHO_CRITERIA=%22Localiza%20CL%22.%22Codreg%22%3D13</t>
  </si>
  <si>
    <t>https://analytics.zoho.com/open-view/2395394000007130420?ZOHO_CRITERIA=%22Localiza%20CL%22.%22Codreg%22%3D14</t>
  </si>
  <si>
    <t>https://analytics.zoho.com/open-view/2395394000007130420?ZOHO_CRITERIA=%22Localiza%20CL%22.%22Codreg%22%3D15</t>
  </si>
  <si>
    <t>https://analytics.zoho.com/open-view/2395394000007130420?ZOHO_CRITERIA=%22Localiza%20CL%22.%22Codreg%22%3D16</t>
  </si>
  <si>
    <t>https://analytics.zoho.com/open-view/2395394000007166809?ZOHO_CRITERIA=%22Localiza%20CL%22.%22Codreg%22%3D1</t>
  </si>
  <si>
    <t>https://analytics.zoho.com/open-view/2395394000007166809?ZOHO_CRITERIA=%22Localiza%20CL%22.%22Codreg%22%3D2</t>
  </si>
  <si>
    <t>https://analytics.zoho.com/open-view/2395394000007166809?ZOHO_CRITERIA=%22Localiza%20CL%22.%22Codreg%22%3D3</t>
  </si>
  <si>
    <t>https://analytics.zoho.com/open-view/2395394000007166809?ZOHO_CRITERIA=%22Localiza%20CL%22.%22Codreg%22%3D4</t>
  </si>
  <si>
    <t>https://analytics.zoho.com/open-view/2395394000007166809?ZOHO_CRITERIA=%22Localiza%20CL%22.%22Codreg%22%3D5</t>
  </si>
  <si>
    <t>https://analytics.zoho.com/open-view/2395394000007166809?ZOHO_CRITERIA=%22Localiza%20CL%22.%22Codreg%22%3D6</t>
  </si>
  <si>
    <t>https://analytics.zoho.com/open-view/2395394000007166809?ZOHO_CRITERIA=%22Localiza%20CL%22.%22Codreg%22%3D7</t>
  </si>
  <si>
    <t>https://analytics.zoho.com/open-view/2395394000007166809?ZOHO_CRITERIA=%22Localiza%20CL%22.%22Codreg%22%3D8</t>
  </si>
  <si>
    <t>https://analytics.zoho.com/open-view/2395394000007166809?ZOHO_CRITERIA=%22Localiza%20CL%22.%22Codreg%22%3D9</t>
  </si>
  <si>
    <t>https://analytics.zoho.com/open-view/2395394000007166809?ZOHO_CRITERIA=%22Localiza%20CL%22.%22Codreg%22%3D10</t>
  </si>
  <si>
    <t>https://analytics.zoho.com/open-view/2395394000007166809?ZOHO_CRITERIA=%22Localiza%20CL%22.%22Codreg%22%3D11</t>
  </si>
  <si>
    <t>https://analytics.zoho.com/open-view/2395394000007166809?ZOHO_CRITERIA=%22Localiza%20CL%22.%22Codreg%22%3D12</t>
  </si>
  <si>
    <t>https://analytics.zoho.com/open-view/2395394000007166809?ZOHO_CRITERIA=%22Localiza%20CL%22.%22Codreg%22%3D13</t>
  </si>
  <si>
    <t>https://analytics.zoho.com/open-view/2395394000007166809?ZOHO_CRITERIA=%22Localiza%20CL%22.%22Codreg%22%3D14</t>
  </si>
  <si>
    <t>https://analytics.zoho.com/open-view/2395394000007166809?ZOHO_CRITERIA=%22Localiza%20CL%22.%22Codreg%22%3D15</t>
  </si>
  <si>
    <t>https://analytics.zoho.com/open-view/2395394000007166809?ZOHO_CRITERIA=%22Localiza%20CL%22.%22Codreg%22%3D16</t>
  </si>
  <si>
    <t>https://analytics.zoho.com/open-view/2395394000007166659?ZOHO_CRITERIA=%22Trasposicion_27.15%22.%22Id_Juzgado_Garant%C3%ADa%22%3D1</t>
  </si>
  <si>
    <t>https://analytics.zoho.com/open-view/2395394000007166659?ZOHO_CRITERIA=%22Trasposicion_27.15%22.%22Id_Juzgado_Garant%C3%ADa%22%3D2</t>
  </si>
  <si>
    <t>https://analytics.zoho.com/open-view/2395394000007166659?ZOHO_CRITERIA=%22Trasposicion_27.15%22.%22Id_Juzgado_Garant%C3%ADa%22%3D3</t>
  </si>
  <si>
    <t>https://analytics.zoho.com/open-view/2395394000007166659?ZOHO_CRITERIA=%22Trasposicion_27.15%22.%22Id_Juzgado_Garant%C3%ADa%22%3D4</t>
  </si>
  <si>
    <t>https://analytics.zoho.com/open-view/2395394000007166659?ZOHO_CRITERIA=%22Trasposicion_27.15%22.%22Id_Juzgado_Garant%C3%ADa%22%3D5</t>
  </si>
  <si>
    <t>https://analytics.zoho.com/open-view/2395394000007166659?ZOHO_CRITERIA=%22Trasposicion_27.15%22.%22Id_Juzgado_Garant%C3%ADa%22%3D6</t>
  </si>
  <si>
    <t>https://analytics.zoho.com/open-view/2395394000007166659?ZOHO_CRITERIA=%22Trasposicion_27.15%22.%22Id_Juzgado_Garant%C3%ADa%22%3D7</t>
  </si>
  <si>
    <t>https://analytics.zoho.com/open-view/2395394000007166659?ZOHO_CRITERIA=%22Trasposicion_27.15%22.%22Id_Juzgado_Garant%C3%ADa%22%3D8</t>
  </si>
  <si>
    <t>https://analytics.zoho.com/open-view/2395394000007166659?ZOHO_CRITERIA=%22Trasposicion_27.15%22.%22Id_Juzgado_Garant%C3%ADa%22%3D9</t>
  </si>
  <si>
    <t>https://analytics.zoho.com/open-view/2395394000007166659?ZOHO_CRITERIA=%22Trasposicion_27.15%22.%22Id_Juzgado_Garant%C3%ADa%22%3D10</t>
  </si>
  <si>
    <t>https://analytics.zoho.com/open-view/2395394000007166659?ZOHO_CRITERIA=%22Trasposicion_27.15%22.%22Id_Juzgado_Garant%C3%ADa%22%3D11</t>
  </si>
  <si>
    <t>https://analytics.zoho.com/open-view/2395394000007166659?ZOHO_CRITERIA=%22Trasposicion_27.15%22.%22Id_Juzgado_Garant%C3%ADa%22%3D12</t>
  </si>
  <si>
    <t>https://analytics.zoho.com/open-view/2395394000007166659?ZOHO_CRITERIA=%22Trasposicion_27.15%22.%22Id_Juzgado_Garant%C3%ADa%22%3D13</t>
  </si>
  <si>
    <t>https://analytics.zoho.com/open-view/2395394000007166659?ZOHO_CRITERIA=%22Trasposicion_27.15%22.%22Id_Juzgado_Garant%C3%ADa%22%3D14</t>
  </si>
  <si>
    <t>https://analytics.zoho.com/open-view/2395394000007166659?ZOHO_CRITERIA=%22Trasposicion_27.15%22.%22Id_Juzgado_Garant%C3%ADa%22%3D15</t>
  </si>
  <si>
    <t>https://analytics.zoho.com/open-view/2395394000007166659?ZOHO_CRITERIA=%22Trasposicion_27.15%22.%22Id_Juzgado_Garant%C3%ADa%22%3D16</t>
  </si>
  <si>
    <t>https://analytics.zoho.com/open-view/2395394000007166659?ZOHO_CRITERIA=%22Trasposicion_27.15%22.%22Id_Juzgado_Garant%C3%ADa%22%3D17</t>
  </si>
  <si>
    <t>https://analytics.zoho.com/open-view/2395394000007166659?ZOHO_CRITERIA=%22Trasposicion_27.15%22.%22Id_Juzgado_Garant%C3%ADa%22%3D18</t>
  </si>
  <si>
    <t>https://analytics.zoho.com/open-view/2395394000007166659?ZOHO_CRITERIA=%22Trasposicion_27.15%22.%22Id_Juzgado_Garant%C3%ADa%22%3D19</t>
  </si>
  <si>
    <t>https://analytics.zoho.com/open-view/2395394000007166659?ZOHO_CRITERIA=%22Trasposicion_27.15%22.%22Id_Juzgado_Garant%C3%ADa%22%3D20</t>
  </si>
  <si>
    <t>https://analytics.zoho.com/open-view/2395394000007166659?ZOHO_CRITERIA=%22Trasposicion_27.15%22.%22Id_Juzgado_Garant%C3%ADa%22%3D21</t>
  </si>
  <si>
    <t>https://analytics.zoho.com/open-view/2395394000007166659?ZOHO_CRITERIA=%22Trasposicion_27.15%22.%22Id_Juzgado_Garant%C3%ADa%22%3D22</t>
  </si>
  <si>
    <t>https://analytics.zoho.com/open-view/2395394000007166659?ZOHO_CRITERIA=%22Trasposicion_27.15%22.%22Id_Juzgado_Garant%C3%ADa%22%3D23</t>
  </si>
  <si>
    <t>https://analytics.zoho.com/open-view/2395394000007166659?ZOHO_CRITERIA=%22Trasposicion_27.15%22.%22Id_Juzgado_Garant%C3%ADa%22%3D24</t>
  </si>
  <si>
    <t>https://analytics.zoho.com/open-view/2395394000007166659?ZOHO_CRITERIA=%22Trasposicion_27.15%22.%22Id_Juzgado_Garant%C3%ADa%22%3D25</t>
  </si>
  <si>
    <t>https://analytics.zoho.com/open-view/2395394000007166659?ZOHO_CRITERIA=%22Trasposicion_27.15%22.%22Id_Juzgado_Garant%C3%ADa%22%3D26</t>
  </si>
  <si>
    <t>https://analytics.zoho.com/open-view/2395394000007166659?ZOHO_CRITERIA=%22Trasposicion_27.15%22.%22Id_Juzgado_Garant%C3%ADa%22%3D27</t>
  </si>
  <si>
    <t>https://analytics.zoho.com/open-view/2395394000007166659?ZOHO_CRITERIA=%22Trasposicion_27.15%22.%22Id_Juzgado_Garant%C3%ADa%22%3D28</t>
  </si>
  <si>
    <t>https://analytics.zoho.com/open-view/2395394000007166659?ZOHO_CRITERIA=%22Trasposicion_27.15%22.%22Id_Juzgado_Garant%C3%ADa%22%3D29</t>
  </si>
  <si>
    <t>https://analytics.zoho.com/open-view/2395394000007166659?ZOHO_CRITERIA=%22Trasposicion_27.15%22.%22Id_Juzgado_Garant%C3%ADa%22%3D30</t>
  </si>
  <si>
    <t>https://analytics.zoho.com/open-view/2395394000007166659?ZOHO_CRITERIA=%22Trasposicion_27.15%22.%22Id_Juzgado_Garant%C3%ADa%22%3D31</t>
  </si>
  <si>
    <t>https://analytics.zoho.com/open-view/2395394000007166659?ZOHO_CRITERIA=%22Trasposicion_27.15%22.%22Id_Juzgado_Garant%C3%ADa%22%3D32</t>
  </si>
  <si>
    <t>https://analytics.zoho.com/open-view/2395394000007166659?ZOHO_CRITERIA=%22Trasposicion_27.15%22.%22Id_Juzgado_Garant%C3%ADa%22%3D33</t>
  </si>
  <si>
    <t>https://analytics.zoho.com/open-view/2395394000007166659?ZOHO_CRITERIA=%22Trasposicion_27.15%22.%22Id_Juzgado_Garant%C3%ADa%22%3D34</t>
  </si>
  <si>
    <t>https://analytics.zoho.com/open-view/2395394000007166659?ZOHO_CRITERIA=%22Trasposicion_27.15%22.%22Id_Juzgado_Garant%C3%ADa%22%3D35</t>
  </si>
  <si>
    <t>https://analytics.zoho.com/open-view/2395394000007166659?ZOHO_CRITERIA=%22Trasposicion_27.15%22.%22Id_Juzgado_Garant%C3%ADa%22%3D36</t>
  </si>
  <si>
    <t>https://analytics.zoho.com/open-view/2395394000007166659?ZOHO_CRITERIA=%22Trasposicion_27.15%22.%22Id_Juzgado_Garant%C3%ADa%22%3D37</t>
  </si>
  <si>
    <t>https://analytics.zoho.com/open-view/2395394000007166659?ZOHO_CRITERIA=%22Trasposicion_27.15%22.%22Id_Juzgado_Garant%C3%ADa%22%3D38</t>
  </si>
  <si>
    <t>https://analytics.zoho.com/open-view/2395394000007166659?ZOHO_CRITERIA=%22Trasposicion_27.15%22.%22Id_Juzgado_Garant%C3%ADa%22%3D39</t>
  </si>
  <si>
    <t>https://analytics.zoho.com/open-view/2395394000007166659?ZOHO_CRITERIA=%22Trasposicion_27.15%22.%22Id_Juzgado_Garant%C3%ADa%22%3D40</t>
  </si>
  <si>
    <t>https://analytics.zoho.com/open-view/2395394000007166659?ZOHO_CRITERIA=%22Trasposicion_27.15%22.%22Id_Juzgado_Garant%C3%ADa%22%3D41</t>
  </si>
  <si>
    <t>https://analytics.zoho.com/open-view/2395394000007166659?ZOHO_CRITERIA=%22Trasposicion_27.15%22.%22Id_Juzgado_Garant%C3%ADa%22%3D42</t>
  </si>
  <si>
    <t>https://analytics.zoho.com/open-view/2395394000007166659?ZOHO_CRITERIA=%22Trasposicion_27.15%22.%22Id_Juzgado_Garant%C3%ADa%22%3D43</t>
  </si>
  <si>
    <t>https://analytics.zoho.com/open-view/2395394000007166659?ZOHO_CRITERIA=%22Trasposicion_27.15%22.%22Id_Juzgado_Garant%C3%ADa%22%3D44</t>
  </si>
  <si>
    <t>https://analytics.zoho.com/open-view/2395394000007166659?ZOHO_CRITERIA=%22Trasposicion_27.15%22.%22Id_Juzgado_Garant%C3%ADa%22%3D45</t>
  </si>
  <si>
    <t>https://analytics.zoho.com/open-view/2395394000007166659?ZOHO_CRITERIA=%22Trasposicion_27.15%22.%22Id_Juzgado_Garant%C3%ADa%22%3D46</t>
  </si>
  <si>
    <t>https://analytics.zoho.com/open-view/2395394000007166659?ZOHO_CRITERIA=%22Trasposicion_27.15%22.%22Id_Juzgado_Garant%C3%ADa%22%3D47</t>
  </si>
  <si>
    <t>https://analytics.zoho.com/open-view/2395394000007166659?ZOHO_CRITERIA=%22Trasposicion_27.15%22.%22Id_Juzgado_Garant%C3%ADa%22%3D48</t>
  </si>
  <si>
    <t>https://analytics.zoho.com/open-view/2395394000007166659?ZOHO_CRITERIA=%22Trasposicion_27.15%22.%22Id_Juzgado_Garant%C3%ADa%22%3D49</t>
  </si>
  <si>
    <t>https://analytics.zoho.com/open-view/2395394000007166659?ZOHO_CRITERIA=%22Trasposicion_27.15%22.%22Id_Juzgado_Garant%C3%ADa%22%3D50</t>
  </si>
  <si>
    <t>https://analytics.zoho.com/open-view/2395394000007166659?ZOHO_CRITERIA=%22Trasposicion_27.15%22.%22Id_Juzgado_Garant%C3%ADa%22%3D51</t>
  </si>
  <si>
    <t>https://analytics.zoho.com/open-view/2395394000007166659?ZOHO_CRITERIA=%22Trasposicion_27.15%22.%22Id_Juzgado_Garant%C3%ADa%22%3D52</t>
  </si>
  <si>
    <t>https://analytics.zoho.com/open-view/2395394000007166659?ZOHO_CRITERIA=%22Trasposicion_27.15%22.%22Id_Juzgado_Garant%C3%ADa%22%3D53</t>
  </si>
  <si>
    <t>https://analytics.zoho.com/open-view/2395394000007166659?ZOHO_CRITERIA=%22Trasposicion_27.15%22.%22Id_Juzgado_Garant%C3%ADa%22%3D54</t>
  </si>
  <si>
    <t>https://analytics.zoho.com/open-view/2395394000007166659?ZOHO_CRITERIA=%22Trasposicion_27.15%22.%22Id_Juzgado_Garant%C3%ADa%22%3D55</t>
  </si>
  <si>
    <t>https://analytics.zoho.com/open-view/2395394000007166659?ZOHO_CRITERIA=%22Trasposicion_27.15%22.%22Id_Juzgado_Garant%C3%ADa%22%3D56</t>
  </si>
  <si>
    <t>https://analytics.zoho.com/open-view/2395394000007166659?ZOHO_CRITERIA=%22Trasposicion_27.15%22.%22Id_Juzgado_Garant%C3%ADa%22%3D57</t>
  </si>
  <si>
    <t>https://analytics.zoho.com/open-view/2395394000007166659?ZOHO_CRITERIA=%22Trasposicion_27.15%22.%22Id_Juzgado_Garant%C3%ADa%22%3D58</t>
  </si>
  <si>
    <t>https://analytics.zoho.com/open-view/2395394000007166659?ZOHO_CRITERIA=%22Trasposicion_27.15%22.%22Id_Juzgado_Garant%C3%ADa%22%3D59</t>
  </si>
  <si>
    <t>https://analytics.zoho.com/open-view/2395394000007166659?ZOHO_CRITERIA=%22Trasposicion_27.15%22.%22Id_Juzgado_Garant%C3%ADa%22%3D60</t>
  </si>
  <si>
    <t>https://analytics.zoho.com/open-view/2395394000007166659?ZOHO_CRITERIA=%22Trasposicion_27.15%22.%22Id_Juzgado_Garant%C3%ADa%22%3D61</t>
  </si>
  <si>
    <t>https://analytics.zoho.com/open-view/2395394000007166659?ZOHO_CRITERIA=%22Trasposicion_27.15%22.%22Id_Juzgado_Garant%C3%ADa%22%3D62</t>
  </si>
  <si>
    <t>https://analytics.zoho.com/open-view/2395394000007166659?ZOHO_CRITERIA=%22Trasposicion_27.15%22.%22Id_Juzgado_Garant%C3%ADa%22%3D63</t>
  </si>
  <si>
    <t>https://analytics.zoho.com/open-view/2395394000007166659?ZOHO_CRITERIA=%22Trasposicion_27.15%22.%22Id_Juzgado_Garant%C3%ADa%22%3D64</t>
  </si>
  <si>
    <t>https://analytics.zoho.com/open-view/2395394000007166659?ZOHO_CRITERIA=%22Trasposicion_27.15%22.%22Id_Juzgado_Garant%C3%ADa%22%3D65</t>
  </si>
  <si>
    <t>https://analytics.zoho.com/open-view/2395394000007166659?ZOHO_CRITERIA=%22Trasposicion_27.15%22.%22Id_Juzgado_Garant%C3%ADa%22%3D66</t>
  </si>
  <si>
    <t>https://analytics.zoho.com/open-view/2395394000007166659?ZOHO_CRITERIA=%22Trasposicion_27.15%22.%22Id_Juzgado_Garant%C3%ADa%22%3D67</t>
  </si>
  <si>
    <t>https://analytics.zoho.com/open-view/2395394000007166659?ZOHO_CRITERIA=%22Trasposicion_27.15%22.%22Id_Juzgado_Garant%C3%ADa%22%3D68</t>
  </si>
  <si>
    <t>https://analytics.zoho.com/open-view/2395394000007166659?ZOHO_CRITERIA=%22Trasposicion_27.15%22.%22Id_Juzgado_Garant%C3%ADa%22%3D69</t>
  </si>
  <si>
    <t>https://analytics.zoho.com/open-view/2395394000007166659?ZOHO_CRITERIA=%22Trasposicion_27.15%22.%22Id_Juzgado_Garant%C3%ADa%22%3D70</t>
  </si>
  <si>
    <t>https://analytics.zoho.com/open-view/2395394000007166659?ZOHO_CRITERIA=%22Trasposicion_27.15%22.%22Id_Juzgado_Garant%C3%ADa%22%3D71</t>
  </si>
  <si>
    <t>https://analytics.zoho.com/open-view/2395394000007166659?ZOHO_CRITERIA=%22Trasposicion_27.15%22.%22Id_Juzgado_Garant%C3%ADa%22%3D72</t>
  </si>
  <si>
    <t>https://analytics.zoho.com/open-view/2395394000007166659?ZOHO_CRITERIA=%22Trasposicion_27.15%22.%22Id_Juzgado_Garant%C3%ADa%22%3D73</t>
  </si>
  <si>
    <t>https://analytics.zoho.com/open-view/2395394000007166659?ZOHO_CRITERIA=%22Trasposicion_27.15%22.%22Id_Juzgado_Garant%C3%ADa%22%3D74</t>
  </si>
  <si>
    <t>https://analytics.zoho.com/open-view/2395394000007166659?ZOHO_CRITERIA=%22Trasposicion_27.15%22.%22Id_Juzgado_Garant%C3%ADa%22%3D75</t>
  </si>
  <si>
    <t>https://analytics.zoho.com/open-view/2395394000007166659?ZOHO_CRITERIA=%22Trasposicion_27.15%22.%22Id_Juzgado_Garant%C3%ADa%22%3D76</t>
  </si>
  <si>
    <t>https://analytics.zoho.com/open-view/2395394000007166659?ZOHO_CRITERIA=%22Trasposicion_27.15%22.%22Id_Juzgado_Garant%C3%ADa%22%3D77</t>
  </si>
  <si>
    <t>https://analytics.zoho.com/open-view/2395394000007166659?ZOHO_CRITERIA=%22Trasposicion_27.15%22.%22Id_Juzgado_Garant%C3%ADa%22%3D78</t>
  </si>
  <si>
    <t>https://analytics.zoho.com/open-view/2395394000007166659?ZOHO_CRITERIA=%22Trasposicion_27.15%22.%22Id_Juzgado_Garant%C3%ADa%22%3D79</t>
  </si>
  <si>
    <t>https://analytics.zoho.com/open-view/2395394000007166659?ZOHO_CRITERIA=%22Trasposicion_27.15%22.%22Id_Juzgado_Garant%C3%ADa%22%3D80</t>
  </si>
  <si>
    <t>https://analytics.zoho.com/open-view/2395394000007166659?ZOHO_CRITERIA=%22Trasposicion_27.15%22.%22Id_Juzgado_Garant%C3%ADa%22%3D81</t>
  </si>
  <si>
    <t>https://analytics.zoho.com/open-view/2395394000007166659?ZOHO_CRITERIA=%22Trasposicion_27.15%22.%22Id_Juzgado_Garant%C3%ADa%22%3D82</t>
  </si>
  <si>
    <t>https://analytics.zoho.com/open-view/2395394000007166623?ZOHO_CRITERIA=%22Trasposicion_27.15%22.%22Id_Juzgado_Garant%C3%ADa%22%3D1</t>
  </si>
  <si>
    <t>https://analytics.zoho.com/open-view/2395394000007166623?ZOHO_CRITERIA=%22Trasposicion_27.15%22.%22Id_Juzgado_Garant%C3%ADa%22%3D2</t>
  </si>
  <si>
    <t>https://analytics.zoho.com/open-view/2395394000007166623?ZOHO_CRITERIA=%22Trasposicion_27.15%22.%22Id_Juzgado_Garant%C3%ADa%22%3D3</t>
  </si>
  <si>
    <t>https://analytics.zoho.com/open-view/2395394000007166623?ZOHO_CRITERIA=%22Trasposicion_27.15%22.%22Id_Juzgado_Garant%C3%ADa%22%3D4</t>
  </si>
  <si>
    <t>https://analytics.zoho.com/open-view/2395394000007166623?ZOHO_CRITERIA=%22Trasposicion_27.15%22.%22Id_Juzgado_Garant%C3%ADa%22%3D5</t>
  </si>
  <si>
    <t>https://analytics.zoho.com/open-view/2395394000007166623?ZOHO_CRITERIA=%22Trasposicion_27.15%22.%22Id_Juzgado_Garant%C3%ADa%22%3D6</t>
  </si>
  <si>
    <t>https://analytics.zoho.com/open-view/2395394000007166623?ZOHO_CRITERIA=%22Trasposicion_27.15%22.%22Id_Juzgado_Garant%C3%ADa%22%3D7</t>
  </si>
  <si>
    <t>https://analytics.zoho.com/open-view/2395394000007166623?ZOHO_CRITERIA=%22Trasposicion_27.15%22.%22Id_Juzgado_Garant%C3%ADa%22%3D8</t>
  </si>
  <si>
    <t>https://analytics.zoho.com/open-view/2395394000007166623?ZOHO_CRITERIA=%22Trasposicion_27.15%22.%22Id_Juzgado_Garant%C3%ADa%22%3D9</t>
  </si>
  <si>
    <t>https://analytics.zoho.com/open-view/2395394000007166623?ZOHO_CRITERIA=%22Trasposicion_27.15%22.%22Id_Juzgado_Garant%C3%ADa%22%3D10</t>
  </si>
  <si>
    <t>https://analytics.zoho.com/open-view/2395394000007166623?ZOHO_CRITERIA=%22Trasposicion_27.15%22.%22Id_Juzgado_Garant%C3%ADa%22%3D11</t>
  </si>
  <si>
    <t>https://analytics.zoho.com/open-view/2395394000007166623?ZOHO_CRITERIA=%22Trasposicion_27.15%22.%22Id_Juzgado_Garant%C3%ADa%22%3D12</t>
  </si>
  <si>
    <t>https://analytics.zoho.com/open-view/2395394000007166623?ZOHO_CRITERIA=%22Trasposicion_27.15%22.%22Id_Juzgado_Garant%C3%ADa%22%3D13</t>
  </si>
  <si>
    <t>https://analytics.zoho.com/open-view/2395394000007166623?ZOHO_CRITERIA=%22Trasposicion_27.15%22.%22Id_Juzgado_Garant%C3%ADa%22%3D14</t>
  </si>
  <si>
    <t>https://analytics.zoho.com/open-view/2395394000007166623?ZOHO_CRITERIA=%22Trasposicion_27.15%22.%22Id_Juzgado_Garant%C3%ADa%22%3D15</t>
  </si>
  <si>
    <t>https://analytics.zoho.com/open-view/2395394000007166623?ZOHO_CRITERIA=%22Trasposicion_27.15%22.%22Id_Juzgado_Garant%C3%ADa%22%3D16</t>
  </si>
  <si>
    <t>https://analytics.zoho.com/open-view/2395394000007166623?ZOHO_CRITERIA=%22Trasposicion_27.15%22.%22Id_Juzgado_Garant%C3%ADa%22%3D17</t>
  </si>
  <si>
    <t>https://analytics.zoho.com/open-view/2395394000007166623?ZOHO_CRITERIA=%22Trasposicion_27.15%22.%22Id_Juzgado_Garant%C3%ADa%22%3D18</t>
  </si>
  <si>
    <t>https://analytics.zoho.com/open-view/2395394000007166623?ZOHO_CRITERIA=%22Trasposicion_27.15%22.%22Id_Juzgado_Garant%C3%ADa%22%3D19</t>
  </si>
  <si>
    <t>https://analytics.zoho.com/open-view/2395394000007166623?ZOHO_CRITERIA=%22Trasposicion_27.15%22.%22Id_Juzgado_Garant%C3%ADa%22%3D20</t>
  </si>
  <si>
    <t>https://analytics.zoho.com/open-view/2395394000007166623?ZOHO_CRITERIA=%22Trasposicion_27.15%22.%22Id_Juzgado_Garant%C3%ADa%22%3D21</t>
  </si>
  <si>
    <t>https://analytics.zoho.com/open-view/2395394000007166623?ZOHO_CRITERIA=%22Trasposicion_27.15%22.%22Id_Juzgado_Garant%C3%ADa%22%3D22</t>
  </si>
  <si>
    <t>https://analytics.zoho.com/open-view/2395394000007166623?ZOHO_CRITERIA=%22Trasposicion_27.15%22.%22Id_Juzgado_Garant%C3%ADa%22%3D23</t>
  </si>
  <si>
    <t>https://analytics.zoho.com/open-view/2395394000007166623?ZOHO_CRITERIA=%22Trasposicion_27.15%22.%22Id_Juzgado_Garant%C3%ADa%22%3D24</t>
  </si>
  <si>
    <t>https://analytics.zoho.com/open-view/2395394000007166623?ZOHO_CRITERIA=%22Trasposicion_27.15%22.%22Id_Juzgado_Garant%C3%ADa%22%3D25</t>
  </si>
  <si>
    <t>https://analytics.zoho.com/open-view/2395394000007166623?ZOHO_CRITERIA=%22Trasposicion_27.15%22.%22Id_Juzgado_Garant%C3%ADa%22%3D26</t>
  </si>
  <si>
    <t>https://analytics.zoho.com/open-view/2395394000007166623?ZOHO_CRITERIA=%22Trasposicion_27.15%22.%22Id_Juzgado_Garant%C3%ADa%22%3D27</t>
  </si>
  <si>
    <t>https://analytics.zoho.com/open-view/2395394000007166623?ZOHO_CRITERIA=%22Trasposicion_27.15%22.%22Id_Juzgado_Garant%C3%ADa%22%3D28</t>
  </si>
  <si>
    <t>https://analytics.zoho.com/open-view/2395394000007166623?ZOHO_CRITERIA=%22Trasposicion_27.15%22.%22Id_Juzgado_Garant%C3%ADa%22%3D29</t>
  </si>
  <si>
    <t>https://analytics.zoho.com/open-view/2395394000007166623?ZOHO_CRITERIA=%22Trasposicion_27.15%22.%22Id_Juzgado_Garant%C3%ADa%22%3D30</t>
  </si>
  <si>
    <t>https://analytics.zoho.com/open-view/2395394000007166623?ZOHO_CRITERIA=%22Trasposicion_27.15%22.%22Id_Juzgado_Garant%C3%ADa%22%3D31</t>
  </si>
  <si>
    <t>https://analytics.zoho.com/open-view/2395394000007166623?ZOHO_CRITERIA=%22Trasposicion_27.15%22.%22Id_Juzgado_Garant%C3%ADa%22%3D32</t>
  </si>
  <si>
    <t>https://analytics.zoho.com/open-view/2395394000007166623?ZOHO_CRITERIA=%22Trasposicion_27.15%22.%22Id_Juzgado_Garant%C3%ADa%22%3D33</t>
  </si>
  <si>
    <t>https://analytics.zoho.com/open-view/2395394000007166623?ZOHO_CRITERIA=%22Trasposicion_27.15%22.%22Id_Juzgado_Garant%C3%ADa%22%3D34</t>
  </si>
  <si>
    <t>https://analytics.zoho.com/open-view/2395394000007166623?ZOHO_CRITERIA=%22Trasposicion_27.15%22.%22Id_Juzgado_Garant%C3%ADa%22%3D35</t>
  </si>
  <si>
    <t>https://analytics.zoho.com/open-view/2395394000007166623?ZOHO_CRITERIA=%22Trasposicion_27.15%22.%22Id_Juzgado_Garant%C3%ADa%22%3D36</t>
  </si>
  <si>
    <t>https://analytics.zoho.com/open-view/2395394000007166623?ZOHO_CRITERIA=%22Trasposicion_27.15%22.%22Id_Juzgado_Garant%C3%ADa%22%3D37</t>
  </si>
  <si>
    <t>https://analytics.zoho.com/open-view/2395394000007166623?ZOHO_CRITERIA=%22Trasposicion_27.15%22.%22Id_Juzgado_Garant%C3%ADa%22%3D38</t>
  </si>
  <si>
    <t>https://analytics.zoho.com/open-view/2395394000007166623?ZOHO_CRITERIA=%22Trasposicion_27.15%22.%22Id_Juzgado_Garant%C3%ADa%22%3D39</t>
  </si>
  <si>
    <t>https://analytics.zoho.com/open-view/2395394000007166623?ZOHO_CRITERIA=%22Trasposicion_27.15%22.%22Id_Juzgado_Garant%C3%ADa%22%3D40</t>
  </si>
  <si>
    <t>https://analytics.zoho.com/open-view/2395394000007166623?ZOHO_CRITERIA=%22Trasposicion_27.15%22.%22Id_Juzgado_Garant%C3%ADa%22%3D41</t>
  </si>
  <si>
    <t>https://analytics.zoho.com/open-view/2395394000007166623?ZOHO_CRITERIA=%22Trasposicion_27.15%22.%22Id_Juzgado_Garant%C3%ADa%22%3D42</t>
  </si>
  <si>
    <t>https://analytics.zoho.com/open-view/2395394000007166623?ZOHO_CRITERIA=%22Trasposicion_27.15%22.%22Id_Juzgado_Garant%C3%ADa%22%3D43</t>
  </si>
  <si>
    <t>https://analytics.zoho.com/open-view/2395394000007166623?ZOHO_CRITERIA=%22Trasposicion_27.15%22.%22Id_Juzgado_Garant%C3%ADa%22%3D44</t>
  </si>
  <si>
    <t>https://analytics.zoho.com/open-view/2395394000007166623?ZOHO_CRITERIA=%22Trasposicion_27.15%22.%22Id_Juzgado_Garant%C3%ADa%22%3D45</t>
  </si>
  <si>
    <t>https://analytics.zoho.com/open-view/2395394000007166623?ZOHO_CRITERIA=%22Trasposicion_27.15%22.%22Id_Juzgado_Garant%C3%ADa%22%3D46</t>
  </si>
  <si>
    <t>https://analytics.zoho.com/open-view/2395394000007166623?ZOHO_CRITERIA=%22Trasposicion_27.15%22.%22Id_Juzgado_Garant%C3%ADa%22%3D47</t>
  </si>
  <si>
    <t>https://analytics.zoho.com/open-view/2395394000007166623?ZOHO_CRITERIA=%22Trasposicion_27.15%22.%22Id_Juzgado_Garant%C3%ADa%22%3D48</t>
  </si>
  <si>
    <t>https://analytics.zoho.com/open-view/2395394000007166623?ZOHO_CRITERIA=%22Trasposicion_27.15%22.%22Id_Juzgado_Garant%C3%ADa%22%3D49</t>
  </si>
  <si>
    <t>https://analytics.zoho.com/open-view/2395394000007166623?ZOHO_CRITERIA=%22Trasposicion_27.15%22.%22Id_Juzgado_Garant%C3%ADa%22%3D50</t>
  </si>
  <si>
    <t>https://analytics.zoho.com/open-view/2395394000007166623?ZOHO_CRITERIA=%22Trasposicion_27.15%22.%22Id_Juzgado_Garant%C3%ADa%22%3D51</t>
  </si>
  <si>
    <t>https://analytics.zoho.com/open-view/2395394000007166623?ZOHO_CRITERIA=%22Trasposicion_27.15%22.%22Id_Juzgado_Garant%C3%ADa%22%3D52</t>
  </si>
  <si>
    <t>https://analytics.zoho.com/open-view/2395394000007166623?ZOHO_CRITERIA=%22Trasposicion_27.15%22.%22Id_Juzgado_Garant%C3%ADa%22%3D53</t>
  </si>
  <si>
    <t>https://analytics.zoho.com/open-view/2395394000007166623?ZOHO_CRITERIA=%22Trasposicion_27.15%22.%22Id_Juzgado_Garant%C3%ADa%22%3D54</t>
  </si>
  <si>
    <t>https://analytics.zoho.com/open-view/2395394000007166623?ZOHO_CRITERIA=%22Trasposicion_27.15%22.%22Id_Juzgado_Garant%C3%ADa%22%3D55</t>
  </si>
  <si>
    <t>https://analytics.zoho.com/open-view/2395394000007166623?ZOHO_CRITERIA=%22Trasposicion_27.15%22.%22Id_Juzgado_Garant%C3%ADa%22%3D56</t>
  </si>
  <si>
    <t>https://analytics.zoho.com/open-view/2395394000007166623?ZOHO_CRITERIA=%22Trasposicion_27.15%22.%22Id_Juzgado_Garant%C3%ADa%22%3D57</t>
  </si>
  <si>
    <t>https://analytics.zoho.com/open-view/2395394000007166623?ZOHO_CRITERIA=%22Trasposicion_27.15%22.%22Id_Juzgado_Garant%C3%ADa%22%3D58</t>
  </si>
  <si>
    <t>https://analytics.zoho.com/open-view/2395394000007166623?ZOHO_CRITERIA=%22Trasposicion_27.15%22.%22Id_Juzgado_Garant%C3%ADa%22%3D59</t>
  </si>
  <si>
    <t>https://analytics.zoho.com/open-view/2395394000007166623?ZOHO_CRITERIA=%22Trasposicion_27.15%22.%22Id_Juzgado_Garant%C3%ADa%22%3D60</t>
  </si>
  <si>
    <t>https://analytics.zoho.com/open-view/2395394000007166623?ZOHO_CRITERIA=%22Trasposicion_27.15%22.%22Id_Juzgado_Garant%C3%ADa%22%3D61</t>
  </si>
  <si>
    <t>https://analytics.zoho.com/open-view/2395394000007166623?ZOHO_CRITERIA=%22Trasposicion_27.15%22.%22Id_Juzgado_Garant%C3%ADa%22%3D62</t>
  </si>
  <si>
    <t>https://analytics.zoho.com/open-view/2395394000007166623?ZOHO_CRITERIA=%22Trasposicion_27.15%22.%22Id_Juzgado_Garant%C3%ADa%22%3D63</t>
  </si>
  <si>
    <t>https://analytics.zoho.com/open-view/2395394000007166623?ZOHO_CRITERIA=%22Trasposicion_27.15%22.%22Id_Juzgado_Garant%C3%ADa%22%3D64</t>
  </si>
  <si>
    <t>https://analytics.zoho.com/open-view/2395394000007166623?ZOHO_CRITERIA=%22Trasposicion_27.15%22.%22Id_Juzgado_Garant%C3%ADa%22%3D65</t>
  </si>
  <si>
    <t>https://analytics.zoho.com/open-view/2395394000007166623?ZOHO_CRITERIA=%22Trasposicion_27.15%22.%22Id_Juzgado_Garant%C3%ADa%22%3D66</t>
  </si>
  <si>
    <t>https://analytics.zoho.com/open-view/2395394000007166623?ZOHO_CRITERIA=%22Trasposicion_27.15%22.%22Id_Juzgado_Garant%C3%ADa%22%3D67</t>
  </si>
  <si>
    <t>https://analytics.zoho.com/open-view/2395394000007166623?ZOHO_CRITERIA=%22Trasposicion_27.15%22.%22Id_Juzgado_Garant%C3%ADa%22%3D68</t>
  </si>
  <si>
    <t>https://analytics.zoho.com/open-view/2395394000007166623?ZOHO_CRITERIA=%22Trasposicion_27.15%22.%22Id_Juzgado_Garant%C3%ADa%22%3D69</t>
  </si>
  <si>
    <t>https://analytics.zoho.com/open-view/2395394000007166623?ZOHO_CRITERIA=%22Trasposicion_27.15%22.%22Id_Juzgado_Garant%C3%ADa%22%3D70</t>
  </si>
  <si>
    <t>https://analytics.zoho.com/open-view/2395394000007166623?ZOHO_CRITERIA=%22Trasposicion_27.15%22.%22Id_Juzgado_Garant%C3%ADa%22%3D71</t>
  </si>
  <si>
    <t>https://analytics.zoho.com/open-view/2395394000007166623?ZOHO_CRITERIA=%22Trasposicion_27.15%22.%22Id_Juzgado_Garant%C3%ADa%22%3D72</t>
  </si>
  <si>
    <t>https://analytics.zoho.com/open-view/2395394000007166623?ZOHO_CRITERIA=%22Trasposicion_27.15%22.%22Id_Juzgado_Garant%C3%ADa%22%3D73</t>
  </si>
  <si>
    <t>https://analytics.zoho.com/open-view/2395394000007166623?ZOHO_CRITERIA=%22Trasposicion_27.15%22.%22Id_Juzgado_Garant%C3%ADa%22%3D74</t>
  </si>
  <si>
    <t>https://analytics.zoho.com/open-view/2395394000007166623?ZOHO_CRITERIA=%22Trasposicion_27.15%22.%22Id_Juzgado_Garant%C3%ADa%22%3D75</t>
  </si>
  <si>
    <t>https://analytics.zoho.com/open-view/2395394000007166623?ZOHO_CRITERIA=%22Trasposicion_27.15%22.%22Id_Juzgado_Garant%C3%ADa%22%3D76</t>
  </si>
  <si>
    <t>https://analytics.zoho.com/open-view/2395394000007166623?ZOHO_CRITERIA=%22Trasposicion_27.15%22.%22Id_Juzgado_Garant%C3%ADa%22%3D77</t>
  </si>
  <si>
    <t>https://analytics.zoho.com/open-view/2395394000007166623?ZOHO_CRITERIA=%22Trasposicion_27.15%22.%22Id_Juzgado_Garant%C3%ADa%22%3D78</t>
  </si>
  <si>
    <t>https://analytics.zoho.com/open-view/2395394000007166623?ZOHO_CRITERIA=%22Trasposicion_27.15%22.%22Id_Juzgado_Garant%C3%ADa%22%3D79</t>
  </si>
  <si>
    <t>https://analytics.zoho.com/open-view/2395394000007166623?ZOHO_CRITERIA=%22Trasposicion_27.15%22.%22Id_Juzgado_Garant%C3%ADa%22%3D80</t>
  </si>
  <si>
    <t>https://analytics.zoho.com/open-view/2395394000007166623?ZOHO_CRITERIA=%22Trasposicion_27.15%22.%22Id_Juzgado_Garant%C3%ADa%22%3D81</t>
  </si>
  <si>
    <t>https://analytics.zoho.com/open-view/2395394000007166623?ZOHO_CRITERIA=%22Trasposicion_27.15%22.%22Id_Juzgado_Garant%C3%ADa%22%3D82</t>
  </si>
  <si>
    <t>https://analytics.zoho.com/open-view/2395394000007166583?ZOHO_CRITERIA=%22Trasposicion_27.15%22.%22Id_Categor%C3%ADa%22%3D270102004</t>
  </si>
  <si>
    <t>https://analytics.zoho.com/open-view/2395394000007166583?ZOHO_CRITERIA=%22Trasposicion_27.15%22.%22Id_Categor%C3%ADa%22%3D270102005</t>
  </si>
  <si>
    <t>https://analytics.zoho.com/open-view/2395394000007166583?ZOHO_CRITERIA=%22Trasposicion_27.15%22.%22Id_Categor%C3%ADa%22%3D270102006</t>
  </si>
  <si>
    <t>https://analytics.zoho.com/open-view/2395394000007166583?ZOHO_CRITERIA=%22Trasposicion_27.15%22.%22Id_Categor%C3%ADa%22%3D270102007</t>
  </si>
  <si>
    <t>https://analytics.zoho.com/open-view/2395394000007166583?ZOHO_CRITERIA=%22Trasposicion_27.15%22.%22Id_Categor%C3%ADa%22%3D270102008</t>
  </si>
  <si>
    <t>https://analytics.zoho.com/open-view/2395394000007166583?ZOHO_CRITERIA=%22Trasposicion_27.15%22.%22Id_Categor%C3%ADa%22%3D270102009</t>
  </si>
  <si>
    <t>https://analytics.zoho.com/open-view/2395394000007166583?ZOHO_CRITERIA=%22Trasposicion_27.15%22.%22Id_Categor%C3%ADa%22%3D270102010</t>
  </si>
  <si>
    <t>https://analytics.zoho.com/open-view/2395394000007166547?ZOHO_CRITERIA=%22Trasposicion_27.15%22.%22Id_Categor%C3%ADa%22%3D270102004</t>
  </si>
  <si>
    <t>https://analytics.zoho.com/open-view/2395394000007166547?ZOHO_CRITERIA=%22Trasposicion_27.15%22.%22Id_Categor%C3%ADa%22%3D270102005</t>
  </si>
  <si>
    <t>https://analytics.zoho.com/open-view/2395394000007166547?ZOHO_CRITERIA=%22Trasposicion_27.15%22.%22Id_Categor%C3%ADa%22%3D270102006</t>
  </si>
  <si>
    <t>https://analytics.zoho.com/open-view/2395394000007166547?ZOHO_CRITERIA=%22Trasposicion_27.15%22.%22Id_Categor%C3%ADa%22%3D270102007</t>
  </si>
  <si>
    <t>https://analytics.zoho.com/open-view/2395394000007166547?ZOHO_CRITERIA=%22Trasposicion_27.15%22.%22Id_Categor%C3%ADa%22%3D270102008</t>
  </si>
  <si>
    <t>https://analytics.zoho.com/open-view/2395394000007166547?ZOHO_CRITERIA=%22Trasposicion_27.15%22.%22Id_Categor%C3%ADa%22%3D270102009</t>
  </si>
  <si>
    <t>https://analytics.zoho.com/open-view/2395394000007166547?ZOHO_CRITERIA=%22Trasposicion_27.15%22.%22Id_Categor%C3%ADa%22%3D270102010</t>
  </si>
  <si>
    <t>https://analytics.zoho.com/open-view/2395394000007166500?ZOHO_CRITERIA=%22Localiza%20CL%22.%22Codreg%22%3D1</t>
  </si>
  <si>
    <t>https://analytics.zoho.com/open-view/2395394000007166500?ZOHO_CRITERIA=%22Localiza%20CL%22.%22Codreg%22%3D2</t>
  </si>
  <si>
    <t>https://analytics.zoho.com/open-view/2395394000007166500?ZOHO_CRITERIA=%22Localiza%20CL%22.%22Codreg%22%3D3</t>
  </si>
  <si>
    <t>https://analytics.zoho.com/open-view/2395394000007166500?ZOHO_CRITERIA=%22Localiza%20CL%22.%22Codreg%22%3D4</t>
  </si>
  <si>
    <t>https://analytics.zoho.com/open-view/2395394000007166500?ZOHO_CRITERIA=%22Localiza%20CL%22.%22Codreg%22%3D5</t>
  </si>
  <si>
    <t>https://analytics.zoho.com/open-view/2395394000007166500?ZOHO_CRITERIA=%22Localiza%20CL%22.%22Codreg%22%3D6</t>
  </si>
  <si>
    <t>https://analytics.zoho.com/open-view/2395394000007166500?ZOHO_CRITERIA=%22Localiza%20CL%22.%22Codreg%22%3D7</t>
  </si>
  <si>
    <t>https://analytics.zoho.com/open-view/2395394000007166500?ZOHO_CRITERIA=%22Localiza%20CL%22.%22Codreg%22%3D8</t>
  </si>
  <si>
    <t>https://analytics.zoho.com/open-view/2395394000007166500?ZOHO_CRITERIA=%22Localiza%20CL%22.%22Codreg%22%3D9</t>
  </si>
  <si>
    <t>https://analytics.zoho.com/open-view/2395394000007166500?ZOHO_CRITERIA=%22Localiza%20CL%22.%22Codreg%22%3D10</t>
  </si>
  <si>
    <t>https://analytics.zoho.com/open-view/2395394000007166500?ZOHO_CRITERIA=%22Localiza%20CL%22.%22Codreg%22%3D11</t>
  </si>
  <si>
    <t>https://analytics.zoho.com/open-view/2395394000007166500?ZOHO_CRITERIA=%22Localiza%20CL%22.%22Codreg%22%3D12</t>
  </si>
  <si>
    <t>https://analytics.zoho.com/open-view/2395394000007166500?ZOHO_CRITERIA=%22Localiza%20CL%22.%22Codreg%22%3D13</t>
  </si>
  <si>
    <t>https://analytics.zoho.com/open-view/2395394000007166500?ZOHO_CRITERIA=%22Localiza%20CL%22.%22Codreg%22%3D14</t>
  </si>
  <si>
    <t>https://analytics.zoho.com/open-view/2395394000007166500?ZOHO_CRITERIA=%22Localiza%20CL%22.%22Codreg%22%3D15</t>
  </si>
  <si>
    <t>https://analytics.zoho.com/open-view/2395394000007166500?ZOHO_CRITERIA=%22Localiza%20CL%22.%22Codreg%22%3D16</t>
  </si>
  <si>
    <t>https://analytics.zoho.com/open-view/2395394000007166460?ZOHO_CRITERIA=%22Localiza%20CL%22.%22Codreg%22%3D1</t>
  </si>
  <si>
    <t>https://analytics.zoho.com/open-view/2395394000007166460?ZOHO_CRITERIA=%22Localiza%20CL%22.%22Codreg%22%3D2</t>
  </si>
  <si>
    <t>https://analytics.zoho.com/open-view/2395394000007166460?ZOHO_CRITERIA=%22Localiza%20CL%22.%22Codreg%22%3D3</t>
  </si>
  <si>
    <t>https://analytics.zoho.com/open-view/2395394000007166460?ZOHO_CRITERIA=%22Localiza%20CL%22.%22Codreg%22%3D4</t>
  </si>
  <si>
    <t>https://analytics.zoho.com/open-view/2395394000007166460?ZOHO_CRITERIA=%22Localiza%20CL%22.%22Codreg%22%3D5</t>
  </si>
  <si>
    <t>https://analytics.zoho.com/open-view/2395394000007166460?ZOHO_CRITERIA=%22Localiza%20CL%22.%22Codreg%22%3D6</t>
  </si>
  <si>
    <t>https://analytics.zoho.com/open-view/2395394000007166460?ZOHO_CRITERIA=%22Localiza%20CL%22.%22Codreg%22%3D7</t>
  </si>
  <si>
    <t>https://analytics.zoho.com/open-view/2395394000007166460?ZOHO_CRITERIA=%22Localiza%20CL%22.%22Codreg%22%3D8</t>
  </si>
  <si>
    <t>https://analytics.zoho.com/open-view/2395394000007166460?ZOHO_CRITERIA=%22Localiza%20CL%22.%22Codreg%22%3D9</t>
  </si>
  <si>
    <t>https://analytics.zoho.com/open-view/2395394000007166460?ZOHO_CRITERIA=%22Localiza%20CL%22.%22Codreg%22%3D10</t>
  </si>
  <si>
    <t>https://analytics.zoho.com/open-view/2395394000007166460?ZOHO_CRITERIA=%22Localiza%20CL%22.%22Codreg%22%3D11</t>
  </si>
  <si>
    <t>https://analytics.zoho.com/open-view/2395394000007166460?ZOHO_CRITERIA=%22Localiza%20CL%22.%22Codreg%22%3D12</t>
  </si>
  <si>
    <t>https://analytics.zoho.com/open-view/2395394000007166460?ZOHO_CRITERIA=%22Localiza%20CL%22.%22Codreg%22%3D13</t>
  </si>
  <si>
    <t>https://analytics.zoho.com/open-view/2395394000007166460?ZOHO_CRITERIA=%22Localiza%20CL%22.%22Codreg%22%3D14</t>
  </si>
  <si>
    <t>https://analytics.zoho.com/open-view/2395394000007166460?ZOHO_CRITERIA=%22Localiza%20CL%22.%22Codreg%22%3D15</t>
  </si>
  <si>
    <t>https://analytics.zoho.com/open-view/2395394000007166460?ZOHO_CRITERIA=%22Localiza%20CL%22.%22Codreg%22%3D16</t>
  </si>
  <si>
    <t>https://analytics.zoho.com/open-view/2395394000007166420?ZOHO_CRITERIA=%22Localiza%20CL%22.%22Codreg%22%3D1</t>
  </si>
  <si>
    <t>https://analytics.zoho.com/open-view/2395394000007166420?ZOHO_CRITERIA=%22Localiza%20CL%22.%22Codreg%22%3D2</t>
  </si>
  <si>
    <t>https://analytics.zoho.com/open-view/2395394000007166420?ZOHO_CRITERIA=%22Localiza%20CL%22.%22Codreg%22%3D3</t>
  </si>
  <si>
    <t>https://analytics.zoho.com/open-view/2395394000007166420?ZOHO_CRITERIA=%22Localiza%20CL%22.%22Codreg%22%3D4</t>
  </si>
  <si>
    <t>https://analytics.zoho.com/open-view/2395394000007166420?ZOHO_CRITERIA=%22Localiza%20CL%22.%22Codreg%22%3D5</t>
  </si>
  <si>
    <t>https://analytics.zoho.com/open-view/2395394000007166420?ZOHO_CRITERIA=%22Localiza%20CL%22.%22Codreg%22%3D6</t>
  </si>
  <si>
    <t>https://analytics.zoho.com/open-view/2395394000007166420?ZOHO_CRITERIA=%22Localiza%20CL%22.%22Codreg%22%3D7</t>
  </si>
  <si>
    <t>https://analytics.zoho.com/open-view/2395394000007166420?ZOHO_CRITERIA=%22Localiza%20CL%22.%22Codreg%22%3D8</t>
  </si>
  <si>
    <t>https://analytics.zoho.com/open-view/2395394000007166420?ZOHO_CRITERIA=%22Localiza%20CL%22.%22Codreg%22%3D9</t>
  </si>
  <si>
    <t>https://analytics.zoho.com/open-view/2395394000007166420?ZOHO_CRITERIA=%22Localiza%20CL%22.%22Codreg%22%3D10</t>
  </si>
  <si>
    <t>https://analytics.zoho.com/open-view/2395394000007166420?ZOHO_CRITERIA=%22Localiza%20CL%22.%22Codreg%22%3D11</t>
  </si>
  <si>
    <t>https://analytics.zoho.com/open-view/2395394000007166420?ZOHO_CRITERIA=%22Localiza%20CL%22.%22Codreg%22%3D12</t>
  </si>
  <si>
    <t>https://analytics.zoho.com/open-view/2395394000007166420?ZOHO_CRITERIA=%22Localiza%20CL%22.%22Codreg%22%3D13</t>
  </si>
  <si>
    <t>https://analytics.zoho.com/open-view/2395394000007166420?ZOHO_CRITERIA=%22Localiza%20CL%22.%22Codreg%22%3D14</t>
  </si>
  <si>
    <t>https://analytics.zoho.com/open-view/2395394000007166420?ZOHO_CRITERIA=%22Localiza%20CL%22.%22Codreg%22%3D15</t>
  </si>
  <si>
    <t>https://analytics.zoho.com/open-view/2395394000007166420?ZOHO_CRITERIA=%22Localiza%20CL%22.%22Codreg%22%3D16</t>
  </si>
  <si>
    <t>https://analytics.zoho.com/open-view/2395394000007166376?ZOHO_CRITERIA=%22Trasposicion_27.15%22.%22Id_Categor%C3%ADa%22%3D270102004</t>
  </si>
  <si>
    <t>https://analytics.zoho.com/open-view/2395394000007166376?ZOHO_CRITERIA=%22Trasposicion_27.15%22.%22Id_Categor%C3%ADa%22%3D270102005</t>
  </si>
  <si>
    <t>https://analytics.zoho.com/open-view/2395394000007166376?ZOHO_CRITERIA=%22Trasposicion_27.15%22.%22Id_Categor%C3%ADa%22%3D270102006</t>
  </si>
  <si>
    <t>https://analytics.zoho.com/open-view/2395394000007166376?ZOHO_CRITERIA=%22Trasposicion_27.15%22.%22Id_Categor%C3%ADa%22%3D270102007</t>
  </si>
  <si>
    <t>https://analytics.zoho.com/open-view/2395394000007166376?ZOHO_CRITERIA=%22Trasposicion_27.15%22.%22Id_Categor%C3%ADa%22%3D270102008</t>
  </si>
  <si>
    <t>https://analytics.zoho.com/open-view/2395394000007166376?ZOHO_CRITERIA=%22Trasposicion_27.15%22.%22Id_Categor%C3%ADa%22%3D270102009</t>
  </si>
  <si>
    <t>https://analytics.zoho.com/open-view/2395394000007166376?ZOHO_CRITERIA=%22Trasposicion_27.15%22.%22Id_Categor%C3%ADa%22%3D270102010</t>
  </si>
  <si>
    <t>https://analytics.zoho.com/open-view/2395394000007166376?ZOHO_CRITERIA=%22Trasposicion_27.15%22.%22Id_Categor%C3%ADa%22%3D270102016</t>
  </si>
  <si>
    <t>https://analytics.zoho.com/open-view/2395394000007166336?ZOHO_CRITERIA=%22Trasposicion_27.15%22.%22Id_Categor%C3%ADa%22%3D270102004</t>
  </si>
  <si>
    <t>https://analytics.zoho.com/open-view/2395394000007166336?ZOHO_CRITERIA=%22Trasposicion_27.15%22.%22Id_Categor%C3%ADa%22%3D270102005</t>
  </si>
  <si>
    <t>https://analytics.zoho.com/open-view/2395394000007166336?ZOHO_CRITERIA=%22Trasposicion_27.15%22.%22Id_Categor%C3%ADa%22%3D270102006</t>
  </si>
  <si>
    <t>https://analytics.zoho.com/open-view/2395394000007166336?ZOHO_CRITERIA=%22Trasposicion_27.15%22.%22Id_Categor%C3%ADa%22%3D270102007</t>
  </si>
  <si>
    <t>https://analytics.zoho.com/open-view/2395394000007166336?ZOHO_CRITERIA=%22Trasposicion_27.15%22.%22Id_Categor%C3%ADa%22%3D270102008</t>
  </si>
  <si>
    <t>https://analytics.zoho.com/open-view/2395394000007166336?ZOHO_CRITERIA=%22Trasposicion_27.15%22.%22Id_Categor%C3%ADa%22%3D270102009</t>
  </si>
  <si>
    <t>https://analytics.zoho.com/open-view/2395394000007166336?ZOHO_CRITERIA=%22Trasposicion_27.15%22.%22Id_Categor%C3%ADa%22%3D270102010</t>
  </si>
  <si>
    <t>https://analytics.zoho.com/open-view/2395394000007166336?ZOHO_CRITERIA=%22Trasposicion_27.15%22.%22Id_Categor%C3%ADa%22%3D270102016</t>
  </si>
  <si>
    <t>https://analytics.zoho.com/open-view/2395394000007166300?ZOHO_CRITERIA=%22Trasposicion_27.15%22.%22Id_Categor%C3%ADa%22%20%3D%20270102003</t>
  </si>
  <si>
    <t>https://analytics.zoho.com/open-view/2395394000007166300?ZOHO_CRITERIA=%22Trasposicion_27.15%22.%22Id_Categor%C3%ADa%22%20%3D%20270102004</t>
  </si>
  <si>
    <t>https://analytics.zoho.com/open-view/2395394000007166300?ZOHO_CRITERIA=%22Trasposicion_27.15%22.%22Id_Categor%C3%ADa%22%20%3D%20270102005</t>
  </si>
  <si>
    <t>https://analytics.zoho.com/open-view/2395394000007166300?ZOHO_CRITERIA=%22Trasposicion_27.15%22.%22Id_Categor%C3%ADa%22%20%3D%20270102006</t>
  </si>
  <si>
    <t>https://analytics.zoho.com/open-view/2395394000007166300?ZOHO_CRITERIA=%22Trasposicion_27.15%22.%22Id_Categor%C3%ADa%22%20%3D%20270102007</t>
  </si>
  <si>
    <t>https://analytics.zoho.com/open-view/2395394000007166300?ZOHO_CRITERIA=%22Trasposicion_27.15%22.%22Id_Categor%C3%ADa%22%20%3D%20270102008</t>
  </si>
  <si>
    <t>https://analytics.zoho.com/open-view/2395394000007166300?ZOHO_CRITERIA=%22Trasposicion_27.15%22.%22Id_Categor%C3%ADa%22%20%3D%20270102009</t>
  </si>
  <si>
    <t>https://analytics.zoho.com/open-view/2395394000007166300?ZOHO_CRITERIA=%22Trasposicion_27.15%22.%22Id_Categor%C3%ADa%22%20%3D%20270102010</t>
  </si>
  <si>
    <t>https://analytics.zoho.com/open-view/2395394000007166300?ZOHO_CRITERIA=%22Trasposicion_27.15%22.%22Id_Categor%C3%ADa%22%20%3D%20270102016</t>
  </si>
  <si>
    <t>https://analytics.zoho.com/open-view/2395394000007166258?ZOHO_CRITERIA=%22Trasposicion_27.15%22.%22Id_Categor%C3%ADa%22%3D270102005</t>
  </si>
  <si>
    <t>https://analytics.zoho.com/open-view/2395394000007166258?ZOHO_CRITERIA=%22Trasposicion_27.15%22.%22Id_Categor%C3%ADa%22%3D270102006</t>
  </si>
  <si>
    <t>https://analytics.zoho.com/open-view/2395394000007166258?ZOHO_CRITERIA=%22Trasposicion_27.15%22.%22Id_Categor%C3%ADa%22%3D270102007</t>
  </si>
  <si>
    <t>https://analytics.zoho.com/open-view/2395394000007166258?ZOHO_CRITERIA=%22Trasposicion_27.15%22.%22Id_Categor%C3%ADa%22%3D270102008</t>
  </si>
  <si>
    <t>https://analytics.zoho.com/open-view/2395394000007166258?ZOHO_CRITERIA=%22Trasposicion_27.15%22.%22Id_Categor%C3%ADa%22%3D270102009</t>
  </si>
  <si>
    <t>https://analytics.zoho.com/open-view/2395394000007166258?ZOHO_CRITERIA=%22Trasposicion_27.15%22.%22Id_Categor%C3%ADa%22%3D270102010</t>
  </si>
  <si>
    <t>https://analytics.zoho.com/open-view/2395394000007166258?ZOHO_CRITERIA=%22Trasposicion_27.15%22.%22Id_Categor%C3%ADa%22%3D270102016</t>
  </si>
  <si>
    <t>https://analytics.zoho.com/open-view/2395394000007166300</t>
  </si>
  <si>
    <t>https://analytics.zoho.com/open-view/2395394000007166258</t>
  </si>
  <si>
    <t>https://analytics.zoho.com/open-view/2395394000007166769</t>
  </si>
  <si>
    <t>https://analytics.zoho.com/open-view/2395394000007166733</t>
  </si>
  <si>
    <t>https://analytics.zoho.com/open-view/2395394000007166697</t>
  </si>
  <si>
    <t>https://analytics.zoho.com/open-view/2395394000007166209?ZOHO_CRITERIA=%22Localiza%20CL%22.%22Codreg%22%3D1</t>
  </si>
  <si>
    <t>https://analytics.zoho.com/open-view/2395394000007166209?ZOHO_CRITERIA=%22Localiza%20CL%22.%22Codreg%22%3D2</t>
  </si>
  <si>
    <t>https://analytics.zoho.com/open-view/2395394000007166209?ZOHO_CRITERIA=%22Localiza%20CL%22.%22Codreg%22%3D3</t>
  </si>
  <si>
    <t>https://analytics.zoho.com/open-view/2395394000007166209?ZOHO_CRITERIA=%22Localiza%20CL%22.%22Codreg%22%3D4</t>
  </si>
  <si>
    <t>https://analytics.zoho.com/open-view/2395394000007166209?ZOHO_CRITERIA=%22Localiza%20CL%22.%22Codreg%22%3D5</t>
  </si>
  <si>
    <t>https://analytics.zoho.com/open-view/2395394000007166209?ZOHO_CRITERIA=%22Localiza%20CL%22.%22Codreg%22%3D6</t>
  </si>
  <si>
    <t>https://analytics.zoho.com/open-view/2395394000007166209?ZOHO_CRITERIA=%22Localiza%20CL%22.%22Codreg%22%3D7</t>
  </si>
  <si>
    <t>https://analytics.zoho.com/open-view/2395394000007166209?ZOHO_CRITERIA=%22Localiza%20CL%22.%22Codreg%22%3D8</t>
  </si>
  <si>
    <t>https://analytics.zoho.com/open-view/2395394000007166209?ZOHO_CRITERIA=%22Localiza%20CL%22.%22Codreg%22%3D9</t>
  </si>
  <si>
    <t>https://analytics.zoho.com/open-view/2395394000007166209?ZOHO_CRITERIA=%22Localiza%20CL%22.%22Codreg%22%3D10</t>
  </si>
  <si>
    <t>https://analytics.zoho.com/open-view/2395394000007166209?ZOHO_CRITERIA=%22Localiza%20CL%22.%22Codreg%22%3D11</t>
  </si>
  <si>
    <t>https://analytics.zoho.com/open-view/2395394000007166209?ZOHO_CRITERIA=%22Localiza%20CL%22.%22Codreg%22%3D12</t>
  </si>
  <si>
    <t>https://analytics.zoho.com/open-view/2395394000007166209?ZOHO_CRITERIA=%22Localiza%20CL%22.%22Codreg%22%3D13</t>
  </si>
  <si>
    <t>https://analytics.zoho.com/open-view/2395394000007166209?ZOHO_CRITERIA=%22Localiza%20CL%22.%22Codreg%22%3D14</t>
  </si>
  <si>
    <t>https://analytics.zoho.com/open-view/2395394000007166209?ZOHO_CRITERIA=%22Localiza%20CL%22.%22Codreg%22%3D15</t>
  </si>
  <si>
    <t>https://analytics.zoho.com/open-view/2395394000007158043?ZOHO_CRITERIA=%22Trasposicion_27.16%22.%22Id_Producto%22%3D270103</t>
  </si>
  <si>
    <t>https://analytics.zoho.com/open-view/2395394000007158043?ZOHO_CRITERIA=%22Trasposicion_27.16%22.%22Id_Producto%22%3D270104</t>
  </si>
  <si>
    <t>https://analytics.zoho.com/open-view/2395394000007158043?ZOHO_CRITERIA=%22Trasposicion_27.16%22.%22Id_Producto%22%3D270105</t>
  </si>
  <si>
    <t>https://analytics.zoho.com/open-view/2395394000007118833?ZOHO_CRITERIA=%22Localiza%20CL%22.%22Codreg%22%3D1</t>
  </si>
  <si>
    <t>https://analytics.zoho.com/open-view/2395394000007118833?ZOHO_CRITERIA=%22Localiza%20CL%22.%22Codreg%22%3D2</t>
  </si>
  <si>
    <t>https://analytics.zoho.com/open-view/2395394000007118833?ZOHO_CRITERIA=%22Localiza%20CL%22.%22Codreg%22%3D3</t>
  </si>
  <si>
    <t>https://analytics.zoho.com/open-view/2395394000007118833?ZOHO_CRITERIA=%22Localiza%20CL%22.%22Codreg%22%3D4</t>
  </si>
  <si>
    <t>https://analytics.zoho.com/open-view/2395394000007118833?ZOHO_CRITERIA=%22Localiza%20CL%22.%22Codreg%22%3D5</t>
  </si>
  <si>
    <t>https://analytics.zoho.com/open-view/2395394000007118833?ZOHO_CRITERIA=%22Localiza%20CL%22.%22Codreg%22%3D6</t>
  </si>
  <si>
    <t>https://analytics.zoho.com/open-view/2395394000007118833?ZOHO_CRITERIA=%22Localiza%20CL%22.%22Codreg%22%3D7</t>
  </si>
  <si>
    <t>https://analytics.zoho.com/open-view/2395394000007118833?ZOHO_CRITERIA=%22Localiza%20CL%22.%22Codreg%22%3D8</t>
  </si>
  <si>
    <t>https://analytics.zoho.com/open-view/2395394000007118833?ZOHO_CRITERIA=%22Localiza%20CL%22.%22Codreg%22%3D9</t>
  </si>
  <si>
    <t>https://analytics.zoho.com/open-view/2395394000007118833?ZOHO_CRITERIA=%22Localiza%20CL%22.%22Codreg%22%3D10</t>
  </si>
  <si>
    <t>https://analytics.zoho.com/open-view/2395394000007118833?ZOHO_CRITERIA=%22Localiza%20CL%22.%22Codreg%22%3D11</t>
  </si>
  <si>
    <t>https://analytics.zoho.com/open-view/2395394000007118833?ZOHO_CRITERIA=%22Localiza%20CL%22.%22Codreg%22%3D12</t>
  </si>
  <si>
    <t>https://analytics.zoho.com/open-view/2395394000007118833?ZOHO_CRITERIA=%22Localiza%20CL%22.%22Codreg%22%3D13</t>
  </si>
  <si>
    <t>https://analytics.zoho.com/open-view/2395394000007118833?ZOHO_CRITERIA=%22Localiza%20CL%22.%22Codreg%22%3D14</t>
  </si>
  <si>
    <t>https://analytics.zoho.com/open-view/2395394000007118833?ZOHO_CRITERIA=%22Localiza%20CL%22.%22Codreg%22%3D15</t>
  </si>
  <si>
    <t>https://analytics.zoho.com/open-view/2395394000007118833?ZOHO_CRITERIA=%22Localiza%20CL%22.%22Codreg%22%3D16</t>
  </si>
  <si>
    <t>https://analytics.zoho.com/open-view/2395394000007130196?ZOHO_CRITERIA=%22Localiza%20CL%22.%22Codreg%22%3D1</t>
  </si>
  <si>
    <t>https://analytics.zoho.com/open-view/2395394000007130196?ZOHO_CRITERIA=%22Localiza%20CL%22.%22Codreg%22%3D2</t>
  </si>
  <si>
    <t>https://analytics.zoho.com/open-view/2395394000007130196?ZOHO_CRITERIA=%22Localiza%20CL%22.%22Codreg%22%3D3</t>
  </si>
  <si>
    <t>https://analytics.zoho.com/open-view/2395394000007130196?ZOHO_CRITERIA=%22Localiza%20CL%22.%22Codreg%22%3D4</t>
  </si>
  <si>
    <t>https://analytics.zoho.com/open-view/2395394000007130196?ZOHO_CRITERIA=%22Localiza%20CL%22.%22Codreg%22%3D5</t>
  </si>
  <si>
    <t>https://analytics.zoho.com/open-view/2395394000007130196?ZOHO_CRITERIA=%22Localiza%20CL%22.%22Codreg%22%3D6</t>
  </si>
  <si>
    <t>https://analytics.zoho.com/open-view/2395394000007130196?ZOHO_CRITERIA=%22Localiza%20CL%22.%22Codreg%22%3D7</t>
  </si>
  <si>
    <t>https://analytics.zoho.com/open-view/2395394000007130196?ZOHO_CRITERIA=%22Localiza%20CL%22.%22Codreg%22%3D8</t>
  </si>
  <si>
    <t>https://analytics.zoho.com/open-view/2395394000007130196?ZOHO_CRITERIA=%22Localiza%20CL%22.%22Codreg%22%3D9</t>
  </si>
  <si>
    <t>https://analytics.zoho.com/open-view/2395394000007130196?ZOHO_CRITERIA=%22Localiza%20CL%22.%22Codreg%22%3D10</t>
  </si>
  <si>
    <t>https://analytics.zoho.com/open-view/2395394000007130196?ZOHO_CRITERIA=%22Localiza%20CL%22.%22Codreg%22%3D11</t>
  </si>
  <si>
    <t>https://analytics.zoho.com/open-view/2395394000007130196?ZOHO_CRITERIA=%22Localiza%20CL%22.%22Codreg%22%3D12</t>
  </si>
  <si>
    <t>https://analytics.zoho.com/open-view/2395394000007130196?ZOHO_CRITERIA=%22Localiza%20CL%22.%22Codreg%22%3D13</t>
  </si>
  <si>
    <t>https://analytics.zoho.com/open-view/2395394000007130196?ZOHO_CRITERIA=%22Localiza%20CL%22.%22Codreg%22%3D14</t>
  </si>
  <si>
    <t>https://analytics.zoho.com/open-view/2395394000007130196?ZOHO_CRITERIA=%22Localiza%20CL%22.%22Codreg%22%3D15</t>
  </si>
  <si>
    <t>https://analytics.zoho.com/open-view/2395394000007130196?ZOHO_CRITERIA=%22Localiza%20CL%22.%22Codreg%22%3D16</t>
  </si>
  <si>
    <t>https://analytics.zoho.com/open-view/2395394000007158003?ZOHO_CRITERIA=%22Localiza%20CL%22.%22Codreg%22%3D1</t>
  </si>
  <si>
    <t>https://analytics.zoho.com/open-view/2395394000007158003?ZOHO_CRITERIA=%22Localiza%20CL%22.%22Codreg%22%3D2</t>
  </si>
  <si>
    <t>https://analytics.zoho.com/open-view/2395394000007158003?ZOHO_CRITERIA=%22Localiza%20CL%22.%22Codreg%22%3D3</t>
  </si>
  <si>
    <t>https://analytics.zoho.com/open-view/2395394000007158003?ZOHO_CRITERIA=%22Localiza%20CL%22.%22Codreg%22%3D4</t>
  </si>
  <si>
    <t>https://analytics.zoho.com/open-view/2395394000007158003?ZOHO_CRITERIA=%22Localiza%20CL%22.%22Codreg%22%3D5</t>
  </si>
  <si>
    <t>https://analytics.zoho.com/open-view/2395394000007158003?ZOHO_CRITERIA=%22Localiza%20CL%22.%22Codreg%22%3D6</t>
  </si>
  <si>
    <t>https://analytics.zoho.com/open-view/2395394000007158003?ZOHO_CRITERIA=%22Localiza%20CL%22.%22Codreg%22%3D7</t>
  </si>
  <si>
    <t>https://analytics.zoho.com/open-view/2395394000007158003?ZOHO_CRITERIA=%22Localiza%20CL%22.%22Codreg%22%3D8</t>
  </si>
  <si>
    <t>https://analytics.zoho.com/open-view/2395394000007158003?ZOHO_CRITERIA=%22Localiza%20CL%22.%22Codreg%22%3D9</t>
  </si>
  <si>
    <t>https://analytics.zoho.com/open-view/2395394000007158003?ZOHO_CRITERIA=%22Localiza%20CL%22.%22Codreg%22%3D10</t>
  </si>
  <si>
    <t>https://analytics.zoho.com/open-view/2395394000007158003?ZOHO_CRITERIA=%22Localiza%20CL%22.%22Codreg%22%3D11</t>
  </si>
  <si>
    <t>https://analytics.zoho.com/open-view/2395394000007158003?ZOHO_CRITERIA=%22Localiza%20CL%22.%22Codreg%22%3D12</t>
  </si>
  <si>
    <t>https://analytics.zoho.com/open-view/2395394000007158003?ZOHO_CRITERIA=%22Localiza%20CL%22.%22Codreg%22%3D13</t>
  </si>
  <si>
    <t>https://analytics.zoho.com/open-view/2395394000007158003?ZOHO_CRITERIA=%22Localiza%20CL%22.%22Codreg%22%3D14</t>
  </si>
  <si>
    <t>https://analytics.zoho.com/open-view/2395394000007158003?ZOHO_CRITERIA=%22Localiza%20CL%22.%22Codreg%22%3D15</t>
  </si>
  <si>
    <t>https://analytics.zoho.com/open-view/2395394000007158003?ZOHO_CRITERIA=%22Localiza%20CL%22.%22Codreg%22%3D16</t>
  </si>
  <si>
    <t>https://analytics.zoho.com/open-view/2395394000007158163?ZOHO_CRITERIA=%22Trasposicion_27.16%22.%22Id_Juzgado_Garant%C3%ADa%22%3D1</t>
  </si>
  <si>
    <t>https://analytics.zoho.com/open-view/2395394000007158163?ZOHO_CRITERIA=%22Trasposicion_27.16%22.%22Id_Juzgado_Garant%C3%ADa%22%3D2</t>
  </si>
  <si>
    <t>https://analytics.zoho.com/open-view/2395394000007158163?ZOHO_CRITERIA=%22Trasposicion_27.16%22.%22Id_Juzgado_Garant%C3%ADa%22%3D3</t>
  </si>
  <si>
    <t>https://analytics.zoho.com/open-view/2395394000007158163?ZOHO_CRITERIA=%22Trasposicion_27.16%22.%22Id_Juzgado_Garant%C3%ADa%22%3D4</t>
  </si>
  <si>
    <t>https://analytics.zoho.com/open-view/2395394000007158163?ZOHO_CRITERIA=%22Trasposicion_27.16%22.%22Id_Juzgado_Garant%C3%ADa%22%3D5</t>
  </si>
  <si>
    <t>https://analytics.zoho.com/open-view/2395394000007158163?ZOHO_CRITERIA=%22Trasposicion_27.16%22.%22Id_Juzgado_Garant%C3%ADa%22%3D6</t>
  </si>
  <si>
    <t>https://analytics.zoho.com/open-view/2395394000007158163?ZOHO_CRITERIA=%22Trasposicion_27.16%22.%22Id_Juzgado_Garant%C3%ADa%22%3D7</t>
  </si>
  <si>
    <t>https://analytics.zoho.com/open-view/2395394000007158163?ZOHO_CRITERIA=%22Trasposicion_27.16%22.%22Id_Juzgado_Garant%C3%ADa%22%3D8</t>
  </si>
  <si>
    <t>https://analytics.zoho.com/open-view/2395394000007158163?ZOHO_CRITERIA=%22Trasposicion_27.16%22.%22Id_Juzgado_Garant%C3%ADa%22%3D9</t>
  </si>
  <si>
    <t>https://analytics.zoho.com/open-view/2395394000007158163?ZOHO_CRITERIA=%22Trasposicion_27.16%22.%22Id_Juzgado_Garant%C3%ADa%22%3D10</t>
  </si>
  <si>
    <t>https://analytics.zoho.com/open-view/2395394000007158163?ZOHO_CRITERIA=%22Trasposicion_27.16%22.%22Id_Juzgado_Garant%C3%ADa%22%3D11</t>
  </si>
  <si>
    <t>https://analytics.zoho.com/open-view/2395394000007158163?ZOHO_CRITERIA=%22Trasposicion_27.16%22.%22Id_Juzgado_Garant%C3%ADa%22%3D12</t>
  </si>
  <si>
    <t>https://analytics.zoho.com/open-view/2395394000007158163?ZOHO_CRITERIA=%22Trasposicion_27.16%22.%22Id_Juzgado_Garant%C3%ADa%22%3D13</t>
  </si>
  <si>
    <t>https://analytics.zoho.com/open-view/2395394000007158163?ZOHO_CRITERIA=%22Trasposicion_27.16%22.%22Id_Juzgado_Garant%C3%ADa%22%3D14</t>
  </si>
  <si>
    <t>https://analytics.zoho.com/open-view/2395394000007158163?ZOHO_CRITERIA=%22Trasposicion_27.16%22.%22Id_Juzgado_Garant%C3%ADa%22%3D15</t>
  </si>
  <si>
    <t>https://analytics.zoho.com/open-view/2395394000007158163?ZOHO_CRITERIA=%22Trasposicion_27.16%22.%22Id_Juzgado_Garant%C3%ADa%22%3D16</t>
  </si>
  <si>
    <t>https://analytics.zoho.com/open-view/2395394000007158163?ZOHO_CRITERIA=%22Trasposicion_27.16%22.%22Id_Juzgado_Garant%C3%ADa%22%3D17</t>
  </si>
  <si>
    <t>https://analytics.zoho.com/open-view/2395394000007158163?ZOHO_CRITERIA=%22Trasposicion_27.16%22.%22Id_Juzgado_Garant%C3%ADa%22%3D18</t>
  </si>
  <si>
    <t>https://analytics.zoho.com/open-view/2395394000007158163?ZOHO_CRITERIA=%22Trasposicion_27.16%22.%22Id_Juzgado_Garant%C3%ADa%22%3D19</t>
  </si>
  <si>
    <t>https://analytics.zoho.com/open-view/2395394000007158163?ZOHO_CRITERIA=%22Trasposicion_27.16%22.%22Id_Juzgado_Garant%C3%ADa%22%3D20</t>
  </si>
  <si>
    <t>https://analytics.zoho.com/open-view/2395394000007158163?ZOHO_CRITERIA=%22Trasposicion_27.16%22.%22Id_Juzgado_Garant%C3%ADa%22%3D21</t>
  </si>
  <si>
    <t>https://analytics.zoho.com/open-view/2395394000007158163?ZOHO_CRITERIA=%22Trasposicion_27.16%22.%22Id_Juzgado_Garant%C3%ADa%22%3D22</t>
  </si>
  <si>
    <t>https://analytics.zoho.com/open-view/2395394000007158163?ZOHO_CRITERIA=%22Trasposicion_27.16%22.%22Id_Juzgado_Garant%C3%ADa%22%3D23</t>
  </si>
  <si>
    <t>https://analytics.zoho.com/open-view/2395394000007158163?ZOHO_CRITERIA=%22Trasposicion_27.16%22.%22Id_Juzgado_Garant%C3%ADa%22%3D24</t>
  </si>
  <si>
    <t>https://analytics.zoho.com/open-view/2395394000007158163?ZOHO_CRITERIA=%22Trasposicion_27.16%22.%22Id_Juzgado_Garant%C3%ADa%22%3D25</t>
  </si>
  <si>
    <t>https://analytics.zoho.com/open-view/2395394000007158163?ZOHO_CRITERIA=%22Trasposicion_27.16%22.%22Id_Juzgado_Garant%C3%ADa%22%3D26</t>
  </si>
  <si>
    <t>https://analytics.zoho.com/open-view/2395394000007158163?ZOHO_CRITERIA=%22Trasposicion_27.16%22.%22Id_Juzgado_Garant%C3%ADa%22%3D27</t>
  </si>
  <si>
    <t>https://analytics.zoho.com/open-view/2395394000007158163?ZOHO_CRITERIA=%22Trasposicion_27.16%22.%22Id_Juzgado_Garant%C3%ADa%22%3D28</t>
  </si>
  <si>
    <t>https://analytics.zoho.com/open-view/2395394000007158163?ZOHO_CRITERIA=%22Trasposicion_27.16%22.%22Id_Juzgado_Garant%C3%ADa%22%3D29</t>
  </si>
  <si>
    <t>https://analytics.zoho.com/open-view/2395394000007158163?ZOHO_CRITERIA=%22Trasposicion_27.16%22.%22Id_Juzgado_Garant%C3%ADa%22%3D30</t>
  </si>
  <si>
    <t>https://analytics.zoho.com/open-view/2395394000007158163?ZOHO_CRITERIA=%22Trasposicion_27.16%22.%22Id_Juzgado_Garant%C3%ADa%22%3D31</t>
  </si>
  <si>
    <t>https://analytics.zoho.com/open-view/2395394000007158163?ZOHO_CRITERIA=%22Trasposicion_27.16%22.%22Id_Juzgado_Garant%C3%ADa%22%3D32</t>
  </si>
  <si>
    <t>https://analytics.zoho.com/open-view/2395394000007158163?ZOHO_CRITERIA=%22Trasposicion_27.16%22.%22Id_Juzgado_Garant%C3%ADa%22%3D33</t>
  </si>
  <si>
    <t>https://analytics.zoho.com/open-view/2395394000007158163?ZOHO_CRITERIA=%22Trasposicion_27.16%22.%22Id_Juzgado_Garant%C3%ADa%22%3D34</t>
  </si>
  <si>
    <t>https://analytics.zoho.com/open-view/2395394000007158163?ZOHO_CRITERIA=%22Trasposicion_27.16%22.%22Id_Juzgado_Garant%C3%ADa%22%3D35</t>
  </si>
  <si>
    <t>https://analytics.zoho.com/open-view/2395394000007158163?ZOHO_CRITERIA=%22Trasposicion_27.16%22.%22Id_Juzgado_Garant%C3%ADa%22%3D36</t>
  </si>
  <si>
    <t>https://analytics.zoho.com/open-view/2395394000007158163?ZOHO_CRITERIA=%22Trasposicion_27.16%22.%22Id_Juzgado_Garant%C3%ADa%22%3D37</t>
  </si>
  <si>
    <t>https://analytics.zoho.com/open-view/2395394000007158163?ZOHO_CRITERIA=%22Trasposicion_27.16%22.%22Id_Juzgado_Garant%C3%ADa%22%3D38</t>
  </si>
  <si>
    <t>https://analytics.zoho.com/open-view/2395394000007158163?ZOHO_CRITERIA=%22Trasposicion_27.16%22.%22Id_Juzgado_Garant%C3%ADa%22%3D39</t>
  </si>
  <si>
    <t>https://analytics.zoho.com/open-view/2395394000007158163?ZOHO_CRITERIA=%22Trasposicion_27.16%22.%22Id_Juzgado_Garant%C3%ADa%22%3D40</t>
  </si>
  <si>
    <t>https://analytics.zoho.com/open-view/2395394000007158163?ZOHO_CRITERIA=%22Trasposicion_27.16%22.%22Id_Juzgado_Garant%C3%ADa%22%3D41</t>
  </si>
  <si>
    <t>https://analytics.zoho.com/open-view/2395394000007158163?ZOHO_CRITERIA=%22Trasposicion_27.16%22.%22Id_Juzgado_Garant%C3%ADa%22%3D42</t>
  </si>
  <si>
    <t>https://analytics.zoho.com/open-view/2395394000007158163?ZOHO_CRITERIA=%22Trasposicion_27.16%22.%22Id_Juzgado_Garant%C3%ADa%22%3D43</t>
  </si>
  <si>
    <t>https://analytics.zoho.com/open-view/2395394000007158163?ZOHO_CRITERIA=%22Trasposicion_27.16%22.%22Id_Juzgado_Garant%C3%ADa%22%3D44</t>
  </si>
  <si>
    <t>https://analytics.zoho.com/open-view/2395394000007158163?ZOHO_CRITERIA=%22Trasposicion_27.16%22.%22Id_Juzgado_Garant%C3%ADa%22%3D45</t>
  </si>
  <si>
    <t>https://analytics.zoho.com/open-view/2395394000007158163?ZOHO_CRITERIA=%22Trasposicion_27.16%22.%22Id_Juzgado_Garant%C3%ADa%22%3D46</t>
  </si>
  <si>
    <t>https://analytics.zoho.com/open-view/2395394000007158163?ZOHO_CRITERIA=%22Trasposicion_27.16%22.%22Id_Juzgado_Garant%C3%ADa%22%3D47</t>
  </si>
  <si>
    <t>https://analytics.zoho.com/open-view/2395394000007158163?ZOHO_CRITERIA=%22Trasposicion_27.16%22.%22Id_Juzgado_Garant%C3%ADa%22%3D48</t>
  </si>
  <si>
    <t>https://analytics.zoho.com/open-view/2395394000007158163?ZOHO_CRITERIA=%22Trasposicion_27.16%22.%22Id_Juzgado_Garant%C3%ADa%22%3D49</t>
  </si>
  <si>
    <t>https://analytics.zoho.com/open-view/2395394000007158163?ZOHO_CRITERIA=%22Trasposicion_27.16%22.%22Id_Juzgado_Garant%C3%ADa%22%3D50</t>
  </si>
  <si>
    <t>https://analytics.zoho.com/open-view/2395394000007158163?ZOHO_CRITERIA=%22Trasposicion_27.16%22.%22Id_Juzgado_Garant%C3%ADa%22%3D51</t>
  </si>
  <si>
    <t>https://analytics.zoho.com/open-view/2395394000007158163?ZOHO_CRITERIA=%22Trasposicion_27.16%22.%22Id_Juzgado_Garant%C3%ADa%22%3D52</t>
  </si>
  <si>
    <t>https://analytics.zoho.com/open-view/2395394000007158163?ZOHO_CRITERIA=%22Trasposicion_27.16%22.%22Id_Juzgado_Garant%C3%ADa%22%3D53</t>
  </si>
  <si>
    <t>https://analytics.zoho.com/open-view/2395394000007158163?ZOHO_CRITERIA=%22Trasposicion_27.16%22.%22Id_Juzgado_Garant%C3%ADa%22%3D54</t>
  </si>
  <si>
    <t>https://analytics.zoho.com/open-view/2395394000007158163?ZOHO_CRITERIA=%22Trasposicion_27.16%22.%22Id_Juzgado_Garant%C3%ADa%22%3D55</t>
  </si>
  <si>
    <t>https://analytics.zoho.com/open-view/2395394000007158163?ZOHO_CRITERIA=%22Trasposicion_27.16%22.%22Id_Juzgado_Garant%C3%ADa%22%3D56</t>
  </si>
  <si>
    <t>https://analytics.zoho.com/open-view/2395394000007158163?ZOHO_CRITERIA=%22Trasposicion_27.16%22.%22Id_Juzgado_Garant%C3%ADa%22%3D57</t>
  </si>
  <si>
    <t>https://analytics.zoho.com/open-view/2395394000007158163?ZOHO_CRITERIA=%22Trasposicion_27.16%22.%22Id_Juzgado_Garant%C3%ADa%22%3D58</t>
  </si>
  <si>
    <t>https://analytics.zoho.com/open-view/2395394000007158163?ZOHO_CRITERIA=%22Trasposicion_27.16%22.%22Id_Juzgado_Garant%C3%ADa%22%3D59</t>
  </si>
  <si>
    <t>https://analytics.zoho.com/open-view/2395394000007158163?ZOHO_CRITERIA=%22Trasposicion_27.16%22.%22Id_Juzgado_Garant%C3%ADa%22%3D60</t>
  </si>
  <si>
    <t>https://analytics.zoho.com/open-view/2395394000007158163?ZOHO_CRITERIA=%22Trasposicion_27.16%22.%22Id_Juzgado_Garant%C3%ADa%22%3D61</t>
  </si>
  <si>
    <t>https://analytics.zoho.com/open-view/2395394000007158163?ZOHO_CRITERIA=%22Trasposicion_27.16%22.%22Id_Juzgado_Garant%C3%ADa%22%3D62</t>
  </si>
  <si>
    <t>https://analytics.zoho.com/open-view/2395394000007158163?ZOHO_CRITERIA=%22Trasposicion_27.16%22.%22Id_Juzgado_Garant%C3%ADa%22%3D63</t>
  </si>
  <si>
    <t>https://analytics.zoho.com/open-view/2395394000007158163?ZOHO_CRITERIA=%22Trasposicion_27.16%22.%22Id_Juzgado_Garant%C3%ADa%22%3D64</t>
  </si>
  <si>
    <t>https://analytics.zoho.com/open-view/2395394000007158163?ZOHO_CRITERIA=%22Trasposicion_27.16%22.%22Id_Juzgado_Garant%C3%ADa%22%3D65</t>
  </si>
  <si>
    <t>https://analytics.zoho.com/open-view/2395394000007158163?ZOHO_CRITERIA=%22Trasposicion_27.16%22.%22Id_Juzgado_Garant%C3%ADa%22%3D66</t>
  </si>
  <si>
    <t>https://analytics.zoho.com/open-view/2395394000007158163?ZOHO_CRITERIA=%22Trasposicion_27.16%22.%22Id_Juzgado_Garant%C3%ADa%22%3D67</t>
  </si>
  <si>
    <t>https://analytics.zoho.com/open-view/2395394000007158163?ZOHO_CRITERIA=%22Trasposicion_27.16%22.%22Id_Juzgado_Garant%C3%ADa%22%3D68</t>
  </si>
  <si>
    <t>https://analytics.zoho.com/open-view/2395394000007158163?ZOHO_CRITERIA=%22Trasposicion_27.16%22.%22Id_Juzgado_Garant%C3%ADa%22%3D69</t>
  </si>
  <si>
    <t>https://analytics.zoho.com/open-view/2395394000007158163?ZOHO_CRITERIA=%22Trasposicion_27.16%22.%22Id_Juzgado_Garant%C3%ADa%22%3D70</t>
  </si>
  <si>
    <t>https://analytics.zoho.com/open-view/2395394000007158163?ZOHO_CRITERIA=%22Trasposicion_27.16%22.%22Id_Juzgado_Garant%C3%ADa%22%3D71</t>
  </si>
  <si>
    <t>https://analytics.zoho.com/open-view/2395394000007158163?ZOHO_CRITERIA=%22Trasposicion_27.16%22.%22Id_Juzgado_Garant%C3%ADa%22%3D72</t>
  </si>
  <si>
    <t>https://analytics.zoho.com/open-view/2395394000007158163?ZOHO_CRITERIA=%22Trasposicion_27.16%22.%22Id_Juzgado_Garant%C3%ADa%22%3D73</t>
  </si>
  <si>
    <t>https://analytics.zoho.com/open-view/2395394000007158163?ZOHO_CRITERIA=%22Trasposicion_27.16%22.%22Id_Juzgado_Garant%C3%ADa%22%3D74</t>
  </si>
  <si>
    <t>https://analytics.zoho.com/open-view/2395394000007158163?ZOHO_CRITERIA=%22Trasposicion_27.16%22.%22Id_Juzgado_Garant%C3%ADa%22%3D75</t>
  </si>
  <si>
    <t>https://analytics.zoho.com/open-view/2395394000007158163?ZOHO_CRITERIA=%22Trasposicion_27.16%22.%22Id_Juzgado_Garant%C3%ADa%22%3D76</t>
  </si>
  <si>
    <t>https://analytics.zoho.com/open-view/2395394000007158163?ZOHO_CRITERIA=%22Trasposicion_27.16%22.%22Id_Juzgado_Garant%C3%ADa%22%3D77</t>
  </si>
  <si>
    <t>https://analytics.zoho.com/open-view/2395394000007158163?ZOHO_CRITERIA=%22Trasposicion_27.16%22.%22Id_Juzgado_Garant%C3%ADa%22%3D78</t>
  </si>
  <si>
    <t>https://analytics.zoho.com/open-view/2395394000007158163?ZOHO_CRITERIA=%22Trasposicion_27.16%22.%22Id_Juzgado_Garant%C3%ADa%22%3D79</t>
  </si>
  <si>
    <t>https://analytics.zoho.com/open-view/2395394000007158163?ZOHO_CRITERIA=%22Trasposicion_27.16%22.%22Id_Juzgado_Garant%C3%ADa%22%3D80</t>
  </si>
  <si>
    <t>https://analytics.zoho.com/open-view/2395394000007158163?ZOHO_CRITERIA=%22Trasposicion_27.16%22.%22Id_Juzgado_Garant%C3%ADa%22%3D81</t>
  </si>
  <si>
    <t>https://analytics.zoho.com/open-view/2395394000007158163?ZOHO_CRITERIA=%22Trasposicion_27.16%22.%22Id_Juzgado_Garant%C3%ADa%22%3D82</t>
  </si>
  <si>
    <t>https://analytics.zoho.com/open-view/2395394000007158201?ZOHO_CRITERIA=%22Trasposicion_27.16%22.%22Id_Juzgado_Garant%C3%ADa%22%3D1</t>
  </si>
  <si>
    <t>https://analytics.zoho.com/open-view/2395394000007158201?ZOHO_CRITERIA=%22Trasposicion_27.16%22.%22Id_Juzgado_Garant%C3%ADa%22%3D2</t>
  </si>
  <si>
    <t>https://analytics.zoho.com/open-view/2395394000007158201?ZOHO_CRITERIA=%22Trasposicion_27.16%22.%22Id_Juzgado_Garant%C3%ADa%22%3D3</t>
  </si>
  <si>
    <t>https://analytics.zoho.com/open-view/2395394000007158201?ZOHO_CRITERIA=%22Trasposicion_27.16%22.%22Id_Juzgado_Garant%C3%ADa%22%3D4</t>
  </si>
  <si>
    <t>https://analytics.zoho.com/open-view/2395394000007158201?ZOHO_CRITERIA=%22Trasposicion_27.16%22.%22Id_Juzgado_Garant%C3%ADa%22%3D5</t>
  </si>
  <si>
    <t>https://analytics.zoho.com/open-view/2395394000007158201?ZOHO_CRITERIA=%22Trasposicion_27.16%22.%22Id_Juzgado_Garant%C3%ADa%22%3D6</t>
  </si>
  <si>
    <t>https://analytics.zoho.com/open-view/2395394000007158201?ZOHO_CRITERIA=%22Trasposicion_27.16%22.%22Id_Juzgado_Garant%C3%ADa%22%3D7</t>
  </si>
  <si>
    <t>https://analytics.zoho.com/open-view/2395394000007158201?ZOHO_CRITERIA=%22Trasposicion_27.16%22.%22Id_Juzgado_Garant%C3%ADa%22%3D8</t>
  </si>
  <si>
    <t>https://analytics.zoho.com/open-view/2395394000007158201?ZOHO_CRITERIA=%22Trasposicion_27.16%22.%22Id_Juzgado_Garant%C3%ADa%22%3D9</t>
  </si>
  <si>
    <t>https://analytics.zoho.com/open-view/2395394000007158201?ZOHO_CRITERIA=%22Trasposicion_27.16%22.%22Id_Juzgado_Garant%C3%ADa%22%3D10</t>
  </si>
  <si>
    <t>https://analytics.zoho.com/open-view/2395394000007158201?ZOHO_CRITERIA=%22Trasposicion_27.16%22.%22Id_Juzgado_Garant%C3%ADa%22%3D11</t>
  </si>
  <si>
    <t>https://analytics.zoho.com/open-view/2395394000007158201?ZOHO_CRITERIA=%22Trasposicion_27.16%22.%22Id_Juzgado_Garant%C3%ADa%22%3D12</t>
  </si>
  <si>
    <t>https://analytics.zoho.com/open-view/2395394000007158201?ZOHO_CRITERIA=%22Trasposicion_27.16%22.%22Id_Juzgado_Garant%C3%ADa%22%3D13</t>
  </si>
  <si>
    <t>https://analytics.zoho.com/open-view/2395394000007158201?ZOHO_CRITERIA=%22Trasposicion_27.16%22.%22Id_Juzgado_Garant%C3%ADa%22%3D14</t>
  </si>
  <si>
    <t>https://analytics.zoho.com/open-view/2395394000007158201?ZOHO_CRITERIA=%22Trasposicion_27.16%22.%22Id_Juzgado_Garant%C3%ADa%22%3D15</t>
  </si>
  <si>
    <t>https://analytics.zoho.com/open-view/2395394000007158201?ZOHO_CRITERIA=%22Trasposicion_27.16%22.%22Id_Juzgado_Garant%C3%ADa%22%3D16</t>
  </si>
  <si>
    <t>https://analytics.zoho.com/open-view/2395394000007158201?ZOHO_CRITERIA=%22Trasposicion_27.16%22.%22Id_Juzgado_Garant%C3%ADa%22%3D17</t>
  </si>
  <si>
    <t>https://analytics.zoho.com/open-view/2395394000007158201?ZOHO_CRITERIA=%22Trasposicion_27.16%22.%22Id_Juzgado_Garant%C3%ADa%22%3D18</t>
  </si>
  <si>
    <t>https://analytics.zoho.com/open-view/2395394000007158201?ZOHO_CRITERIA=%22Trasposicion_27.16%22.%22Id_Juzgado_Garant%C3%ADa%22%3D19</t>
  </si>
  <si>
    <t>https://analytics.zoho.com/open-view/2395394000007158201?ZOHO_CRITERIA=%22Trasposicion_27.16%22.%22Id_Juzgado_Garant%C3%ADa%22%3D20</t>
  </si>
  <si>
    <t>https://analytics.zoho.com/open-view/2395394000007158201?ZOHO_CRITERIA=%22Trasposicion_27.16%22.%22Id_Juzgado_Garant%C3%ADa%22%3D21</t>
  </si>
  <si>
    <t>https://analytics.zoho.com/open-view/2395394000007158201?ZOHO_CRITERIA=%22Trasposicion_27.16%22.%22Id_Juzgado_Garant%C3%ADa%22%3D22</t>
  </si>
  <si>
    <t>https://analytics.zoho.com/open-view/2395394000007158201?ZOHO_CRITERIA=%22Trasposicion_27.16%22.%22Id_Juzgado_Garant%C3%ADa%22%3D23</t>
  </si>
  <si>
    <t>https://analytics.zoho.com/open-view/2395394000007158201?ZOHO_CRITERIA=%22Trasposicion_27.16%22.%22Id_Juzgado_Garant%C3%ADa%22%3D24</t>
  </si>
  <si>
    <t>https://analytics.zoho.com/open-view/2395394000007158201?ZOHO_CRITERIA=%22Trasposicion_27.16%22.%22Id_Juzgado_Garant%C3%ADa%22%3D25</t>
  </si>
  <si>
    <t>https://analytics.zoho.com/open-view/2395394000007158201?ZOHO_CRITERIA=%22Trasposicion_27.16%22.%22Id_Juzgado_Garant%C3%ADa%22%3D26</t>
  </si>
  <si>
    <t>https://analytics.zoho.com/open-view/2395394000007158201?ZOHO_CRITERIA=%22Trasposicion_27.16%22.%22Id_Juzgado_Garant%C3%ADa%22%3D27</t>
  </si>
  <si>
    <t>https://analytics.zoho.com/open-view/2395394000007158201?ZOHO_CRITERIA=%22Trasposicion_27.16%22.%22Id_Juzgado_Garant%C3%ADa%22%3D28</t>
  </si>
  <si>
    <t>https://analytics.zoho.com/open-view/2395394000007158201?ZOHO_CRITERIA=%22Trasposicion_27.16%22.%22Id_Juzgado_Garant%C3%ADa%22%3D29</t>
  </si>
  <si>
    <t>https://analytics.zoho.com/open-view/2395394000007158201?ZOHO_CRITERIA=%22Trasposicion_27.16%22.%22Id_Juzgado_Garant%C3%ADa%22%3D30</t>
  </si>
  <si>
    <t>https://analytics.zoho.com/open-view/2395394000007158201?ZOHO_CRITERIA=%22Trasposicion_27.16%22.%22Id_Juzgado_Garant%C3%ADa%22%3D31</t>
  </si>
  <si>
    <t>https://analytics.zoho.com/open-view/2395394000007158201?ZOHO_CRITERIA=%22Trasposicion_27.16%22.%22Id_Juzgado_Garant%C3%ADa%22%3D32</t>
  </si>
  <si>
    <t>https://analytics.zoho.com/open-view/2395394000007158201?ZOHO_CRITERIA=%22Trasposicion_27.16%22.%22Id_Juzgado_Garant%C3%ADa%22%3D33</t>
  </si>
  <si>
    <t>https://analytics.zoho.com/open-view/2395394000007158201?ZOHO_CRITERIA=%22Trasposicion_27.16%22.%22Id_Juzgado_Garant%C3%ADa%22%3D34</t>
  </si>
  <si>
    <t>https://analytics.zoho.com/open-view/2395394000007158201?ZOHO_CRITERIA=%22Trasposicion_27.16%22.%22Id_Juzgado_Garant%C3%ADa%22%3D35</t>
  </si>
  <si>
    <t>https://analytics.zoho.com/open-view/2395394000007158201?ZOHO_CRITERIA=%22Trasposicion_27.16%22.%22Id_Juzgado_Garant%C3%ADa%22%3D36</t>
  </si>
  <si>
    <t>https://analytics.zoho.com/open-view/2395394000007158201?ZOHO_CRITERIA=%22Trasposicion_27.16%22.%22Id_Juzgado_Garant%C3%ADa%22%3D37</t>
  </si>
  <si>
    <t>https://analytics.zoho.com/open-view/2395394000007158201?ZOHO_CRITERIA=%22Trasposicion_27.16%22.%22Id_Juzgado_Garant%C3%ADa%22%3D38</t>
  </si>
  <si>
    <t>https://analytics.zoho.com/open-view/2395394000007158201?ZOHO_CRITERIA=%22Trasposicion_27.16%22.%22Id_Juzgado_Garant%C3%ADa%22%3D39</t>
  </si>
  <si>
    <t>https://analytics.zoho.com/open-view/2395394000007158201?ZOHO_CRITERIA=%22Trasposicion_27.16%22.%22Id_Juzgado_Garant%C3%ADa%22%3D40</t>
  </si>
  <si>
    <t>https://analytics.zoho.com/open-view/2395394000007158201?ZOHO_CRITERIA=%22Trasposicion_27.16%22.%22Id_Juzgado_Garant%C3%ADa%22%3D41</t>
  </si>
  <si>
    <t>https://analytics.zoho.com/open-view/2395394000007158201?ZOHO_CRITERIA=%22Trasposicion_27.16%22.%22Id_Juzgado_Garant%C3%ADa%22%3D42</t>
  </si>
  <si>
    <t>https://analytics.zoho.com/open-view/2395394000007158201?ZOHO_CRITERIA=%22Trasposicion_27.16%22.%22Id_Juzgado_Garant%C3%ADa%22%3D43</t>
  </si>
  <si>
    <t>https://analytics.zoho.com/open-view/2395394000007158201?ZOHO_CRITERIA=%22Trasposicion_27.16%22.%22Id_Juzgado_Garant%C3%ADa%22%3D44</t>
  </si>
  <si>
    <t>https://analytics.zoho.com/open-view/2395394000007158201?ZOHO_CRITERIA=%22Trasposicion_27.16%22.%22Id_Juzgado_Garant%C3%ADa%22%3D45</t>
  </si>
  <si>
    <t>https://analytics.zoho.com/open-view/2395394000007158201?ZOHO_CRITERIA=%22Trasposicion_27.16%22.%22Id_Juzgado_Garant%C3%ADa%22%3D46</t>
  </si>
  <si>
    <t>https://analytics.zoho.com/open-view/2395394000007158201?ZOHO_CRITERIA=%22Trasposicion_27.16%22.%22Id_Juzgado_Garant%C3%ADa%22%3D47</t>
  </si>
  <si>
    <t>https://analytics.zoho.com/open-view/2395394000007158201?ZOHO_CRITERIA=%22Trasposicion_27.16%22.%22Id_Juzgado_Garant%C3%ADa%22%3D48</t>
  </si>
  <si>
    <t>https://analytics.zoho.com/open-view/2395394000007158201?ZOHO_CRITERIA=%22Trasposicion_27.16%22.%22Id_Juzgado_Garant%C3%ADa%22%3D49</t>
  </si>
  <si>
    <t>https://analytics.zoho.com/open-view/2395394000007158201?ZOHO_CRITERIA=%22Trasposicion_27.16%22.%22Id_Juzgado_Garant%C3%ADa%22%3D50</t>
  </si>
  <si>
    <t>https://analytics.zoho.com/open-view/2395394000007158201?ZOHO_CRITERIA=%22Trasposicion_27.16%22.%22Id_Juzgado_Garant%C3%ADa%22%3D51</t>
  </si>
  <si>
    <t>https://analytics.zoho.com/open-view/2395394000007158201?ZOHO_CRITERIA=%22Trasposicion_27.16%22.%22Id_Juzgado_Garant%C3%ADa%22%3D52</t>
  </si>
  <si>
    <t>https://analytics.zoho.com/open-view/2395394000007158201?ZOHO_CRITERIA=%22Trasposicion_27.16%22.%22Id_Juzgado_Garant%C3%ADa%22%3D53</t>
  </si>
  <si>
    <t>https://analytics.zoho.com/open-view/2395394000007158201?ZOHO_CRITERIA=%22Trasposicion_27.16%22.%22Id_Juzgado_Garant%C3%ADa%22%3D54</t>
  </si>
  <si>
    <t>https://analytics.zoho.com/open-view/2395394000007158201?ZOHO_CRITERIA=%22Trasposicion_27.16%22.%22Id_Juzgado_Garant%C3%ADa%22%3D55</t>
  </si>
  <si>
    <t>https://analytics.zoho.com/open-view/2395394000007158201?ZOHO_CRITERIA=%22Trasposicion_27.16%22.%22Id_Juzgado_Garant%C3%ADa%22%3D56</t>
  </si>
  <si>
    <t>https://analytics.zoho.com/open-view/2395394000007158201?ZOHO_CRITERIA=%22Trasposicion_27.16%22.%22Id_Juzgado_Garant%C3%ADa%22%3D57</t>
  </si>
  <si>
    <t>https://analytics.zoho.com/open-view/2395394000007158201?ZOHO_CRITERIA=%22Trasposicion_27.16%22.%22Id_Juzgado_Garant%C3%ADa%22%3D58</t>
  </si>
  <si>
    <t>https://analytics.zoho.com/open-view/2395394000007158201?ZOHO_CRITERIA=%22Trasposicion_27.16%22.%22Id_Juzgado_Garant%C3%ADa%22%3D59</t>
  </si>
  <si>
    <t>https://analytics.zoho.com/open-view/2395394000007158201?ZOHO_CRITERIA=%22Trasposicion_27.16%22.%22Id_Juzgado_Garant%C3%ADa%22%3D60</t>
  </si>
  <si>
    <t>https://analytics.zoho.com/open-view/2395394000007158201?ZOHO_CRITERIA=%22Trasposicion_27.16%22.%22Id_Juzgado_Garant%C3%ADa%22%3D61</t>
  </si>
  <si>
    <t>https://analytics.zoho.com/open-view/2395394000007158201?ZOHO_CRITERIA=%22Trasposicion_27.16%22.%22Id_Juzgado_Garant%C3%ADa%22%3D62</t>
  </si>
  <si>
    <t>https://analytics.zoho.com/open-view/2395394000007158201?ZOHO_CRITERIA=%22Trasposicion_27.16%22.%22Id_Juzgado_Garant%C3%ADa%22%3D63</t>
  </si>
  <si>
    <t>https://analytics.zoho.com/open-view/2395394000007158201?ZOHO_CRITERIA=%22Trasposicion_27.16%22.%22Id_Juzgado_Garant%C3%ADa%22%3D64</t>
  </si>
  <si>
    <t>https://analytics.zoho.com/open-view/2395394000007158201?ZOHO_CRITERIA=%22Trasposicion_27.16%22.%22Id_Juzgado_Garant%C3%ADa%22%3D65</t>
  </si>
  <si>
    <t>https://analytics.zoho.com/open-view/2395394000007158201?ZOHO_CRITERIA=%22Trasposicion_27.16%22.%22Id_Juzgado_Garant%C3%ADa%22%3D66</t>
  </si>
  <si>
    <t>https://analytics.zoho.com/open-view/2395394000007158201?ZOHO_CRITERIA=%22Trasposicion_27.16%22.%22Id_Juzgado_Garant%C3%ADa%22%3D67</t>
  </si>
  <si>
    <t>https://analytics.zoho.com/open-view/2395394000007158201?ZOHO_CRITERIA=%22Trasposicion_27.16%22.%22Id_Juzgado_Garant%C3%ADa%22%3D68</t>
  </si>
  <si>
    <t>https://analytics.zoho.com/open-view/2395394000007158201?ZOHO_CRITERIA=%22Trasposicion_27.16%22.%22Id_Juzgado_Garant%C3%ADa%22%3D69</t>
  </si>
  <si>
    <t>https://analytics.zoho.com/open-view/2395394000007158201?ZOHO_CRITERIA=%22Trasposicion_27.16%22.%22Id_Juzgado_Garant%C3%ADa%22%3D70</t>
  </si>
  <si>
    <t>https://analytics.zoho.com/open-view/2395394000007158201?ZOHO_CRITERIA=%22Trasposicion_27.16%22.%22Id_Juzgado_Garant%C3%ADa%22%3D71</t>
  </si>
  <si>
    <t>https://analytics.zoho.com/open-view/2395394000007158201?ZOHO_CRITERIA=%22Trasposicion_27.16%22.%22Id_Juzgado_Garant%C3%ADa%22%3D72</t>
  </si>
  <si>
    <t>https://analytics.zoho.com/open-view/2395394000007158201?ZOHO_CRITERIA=%22Trasposicion_27.16%22.%22Id_Juzgado_Garant%C3%ADa%22%3D73</t>
  </si>
  <si>
    <t>https://analytics.zoho.com/open-view/2395394000007158201?ZOHO_CRITERIA=%22Trasposicion_27.16%22.%22Id_Juzgado_Garant%C3%ADa%22%3D74</t>
  </si>
  <si>
    <t>https://analytics.zoho.com/open-view/2395394000007158201?ZOHO_CRITERIA=%22Trasposicion_27.16%22.%22Id_Juzgado_Garant%C3%ADa%22%3D75</t>
  </si>
  <si>
    <t>https://analytics.zoho.com/open-view/2395394000007158201?ZOHO_CRITERIA=%22Trasposicion_27.16%22.%22Id_Juzgado_Garant%C3%ADa%22%3D76</t>
  </si>
  <si>
    <t>https://analytics.zoho.com/open-view/2395394000007158201?ZOHO_CRITERIA=%22Trasposicion_27.16%22.%22Id_Juzgado_Garant%C3%ADa%22%3D77</t>
  </si>
  <si>
    <t>https://analytics.zoho.com/open-view/2395394000007158201?ZOHO_CRITERIA=%22Trasposicion_27.16%22.%22Id_Juzgado_Garant%C3%ADa%22%3D78</t>
  </si>
  <si>
    <t>https://analytics.zoho.com/open-view/2395394000007158201?ZOHO_CRITERIA=%22Trasposicion_27.16%22.%22Id_Juzgado_Garant%C3%ADa%22%3D79</t>
  </si>
  <si>
    <t>https://analytics.zoho.com/open-view/2395394000007158201?ZOHO_CRITERIA=%22Trasposicion_27.16%22.%22Id_Juzgado_Garant%C3%ADa%22%3D80</t>
  </si>
  <si>
    <t>https://analytics.zoho.com/open-view/2395394000007158201?ZOHO_CRITERIA=%22Trasposicion_27.16%22.%22Id_Juzgado_Garant%C3%ADa%22%3D81</t>
  </si>
  <si>
    <t>https://analytics.zoho.com/open-view/2395394000007158201?ZOHO_CRITERIA=%22Trasposicion_27.16%22.%22Id_Juzgado_Garant%C3%ADa%22%3D82</t>
  </si>
  <si>
    <t>https://analytics.zoho.com/open-view/2395394000007158239?ZOHO_CRITERIA=%22Trasposicion_27.16%22.%22Id_Categor%C3%ADa%22%3D270103002</t>
  </si>
  <si>
    <t>https://analytics.zoho.com/open-view/2395394000007158239?ZOHO_CRITERIA=%22Trasposicion_27.16%22.%22Id_Categor%C3%ADa%22%3D270103003</t>
  </si>
  <si>
    <t>https://analytics.zoho.com/open-view/2395394000007158239?ZOHO_CRITERIA=%22Trasposicion_27.16%22.%22Id_Categor%C3%ADa%22%3D270103004</t>
  </si>
  <si>
    <t>https://analytics.zoho.com/open-view/2395394000007158239?ZOHO_CRITERIA=%22Trasposicion_27.16%22.%22Id_Categor%C3%ADa%22%3D270103005</t>
  </si>
  <si>
    <t>https://analytics.zoho.com/open-view/2395394000007158239?ZOHO_CRITERIA=%22Trasposicion_27.16%22.%22Id_Categor%C3%ADa%22%3D270104001</t>
  </si>
  <si>
    <t>https://analytics.zoho.com/open-view/2395394000007158239?ZOHO_CRITERIA=%22Trasposicion_27.16%22.%22Id_Categor%C3%ADa%22%3D270105001</t>
  </si>
  <si>
    <t>https://analytics.zoho.com/open-view/2395394000007158239?ZOHO_CRITERIA=%22Trasposicion_27.16%22.%22Id_Categor%C3%ADa%22%3D270105002</t>
  </si>
  <si>
    <t>https://analytics.zoho.com/open-view/2395394000007158239?ZOHO_CRITERIA=%22Trasposicion_27.16%22.%22Id_Categor%C3%ADa%22%3D270105003</t>
  </si>
  <si>
    <t>https://analytics.zoho.com/open-view/2395394000007158281?ZOHO_CRITERIA=%22Trasposicion_27.16%22.%22Id_Categor%C3%ADa%22%3D270103002</t>
  </si>
  <si>
    <t>https://analytics.zoho.com/open-view/2395394000007158281?ZOHO_CRITERIA=%22Trasposicion_27.16%22.%22Id_Categor%C3%ADa%22%3D270103003</t>
  </si>
  <si>
    <t>https://analytics.zoho.com/open-view/2395394000007158281?ZOHO_CRITERIA=%22Trasposicion_27.16%22.%22Id_Categor%C3%ADa%22%3D270103004</t>
  </si>
  <si>
    <t>https://analytics.zoho.com/open-view/2395394000007158281?ZOHO_CRITERIA=%22Trasposicion_27.16%22.%22Id_Categor%C3%ADa%22%3D270103005</t>
  </si>
  <si>
    <t>https://analytics.zoho.com/open-view/2395394000007158281?ZOHO_CRITERIA=%22Trasposicion_27.16%22.%22Id_Categor%C3%ADa%22%3D270104001</t>
  </si>
  <si>
    <t>https://analytics.zoho.com/open-view/2395394000007158281?ZOHO_CRITERIA=%22Trasposicion_27.16%22.%22Id_Categor%C3%ADa%22%3D270105001</t>
  </si>
  <si>
    <t>https://analytics.zoho.com/open-view/2395394000007158281?ZOHO_CRITERIA=%22Trasposicion_27.16%22.%22Id_Categor%C3%ADa%22%3D270105002</t>
  </si>
  <si>
    <t>https://analytics.zoho.com/open-view/2395394000007158281?ZOHO_CRITERIA=%22Trasposicion_27.16%22.%22Id_Categor%C3%ADa%22%3D270105003</t>
  </si>
  <si>
    <t>https://analytics.zoho.com/open-view/2395394000007158319?ZOHO_CRITERIA=%22Localiza%20CL%22.%22Codreg%22%3D1</t>
  </si>
  <si>
    <t>https://analytics.zoho.com/open-view/2395394000007158319?ZOHO_CRITERIA=%22Localiza%20CL%22.%22Codreg%22%3D2</t>
  </si>
  <si>
    <t>https://analytics.zoho.com/open-view/2395394000007158319?ZOHO_CRITERIA=%22Localiza%20CL%22.%22Codreg%22%3D3</t>
  </si>
  <si>
    <t>https://analytics.zoho.com/open-view/2395394000007158319?ZOHO_CRITERIA=%22Localiza%20CL%22.%22Codreg%22%3D4</t>
  </si>
  <si>
    <t>https://analytics.zoho.com/open-view/2395394000007158319?ZOHO_CRITERIA=%22Localiza%20CL%22.%22Codreg%22%3D5</t>
  </si>
  <si>
    <t>https://analytics.zoho.com/open-view/2395394000007158319?ZOHO_CRITERIA=%22Localiza%20CL%22.%22Codreg%22%3D6</t>
  </si>
  <si>
    <t>https://analytics.zoho.com/open-view/2395394000007158319?ZOHO_CRITERIA=%22Localiza%20CL%22.%22Codreg%22%3D7</t>
  </si>
  <si>
    <t>https://analytics.zoho.com/open-view/2395394000007158319?ZOHO_CRITERIA=%22Localiza%20CL%22.%22Codreg%22%3D8</t>
  </si>
  <si>
    <t>https://analytics.zoho.com/open-view/2395394000007158319?ZOHO_CRITERIA=%22Localiza%20CL%22.%22Codreg%22%3D9</t>
  </si>
  <si>
    <t>https://analytics.zoho.com/open-view/2395394000007158319?ZOHO_CRITERIA=%22Localiza%20CL%22.%22Codreg%22%3D10</t>
  </si>
  <si>
    <t>https://analytics.zoho.com/open-view/2395394000007158319?ZOHO_CRITERIA=%22Localiza%20CL%22.%22Codreg%22%3D11</t>
  </si>
  <si>
    <t>https://analytics.zoho.com/open-view/2395394000007158319?ZOHO_CRITERIA=%22Localiza%20CL%22.%22Codreg%22%3D12</t>
  </si>
  <si>
    <t>https://analytics.zoho.com/open-view/2395394000007158319?ZOHO_CRITERIA=%22Localiza%20CL%22.%22Codreg%22%3D13</t>
  </si>
  <si>
    <t>https://analytics.zoho.com/open-view/2395394000007158319?ZOHO_CRITERIA=%22Localiza%20CL%22.%22Codreg%22%3D14</t>
  </si>
  <si>
    <t>https://analytics.zoho.com/open-view/2395394000007158319?ZOHO_CRITERIA=%22Localiza%20CL%22.%22Codreg%22%3D15</t>
  </si>
  <si>
    <t>https://analytics.zoho.com/open-view/2395394000007158319?ZOHO_CRITERIA=%22Localiza%20CL%22.%22Codreg%22%3D16</t>
  </si>
  <si>
    <t>https://analytics.zoho.com/open-view/2395394000007158366?ZOHO_CRITERIA=%22Localiza%20CL%22.%22Codreg%22%3D1</t>
  </si>
  <si>
    <t>https://analytics.zoho.com/open-view/2395394000007158366?ZOHO_CRITERIA=%22Localiza%20CL%22.%22Codreg%22%3D2</t>
  </si>
  <si>
    <t>https://analytics.zoho.com/open-view/2395394000007158366?ZOHO_CRITERIA=%22Localiza%20CL%22.%22Codreg%22%3D3</t>
  </si>
  <si>
    <t>https://analytics.zoho.com/open-view/2395394000007158366?ZOHO_CRITERIA=%22Localiza%20CL%22.%22Codreg%22%3D4</t>
  </si>
  <si>
    <t>https://analytics.zoho.com/open-view/2395394000007158366?ZOHO_CRITERIA=%22Localiza%20CL%22.%22Codreg%22%3D5</t>
  </si>
  <si>
    <t>https://analytics.zoho.com/open-view/2395394000007158366?ZOHO_CRITERIA=%22Localiza%20CL%22.%22Codreg%22%3D6</t>
  </si>
  <si>
    <t>https://analytics.zoho.com/open-view/2395394000007158366?ZOHO_CRITERIA=%22Localiza%20CL%22.%22Codreg%22%3D7</t>
  </si>
  <si>
    <t>https://analytics.zoho.com/open-view/2395394000007158366?ZOHO_CRITERIA=%22Localiza%20CL%22.%22Codreg%22%3D8</t>
  </si>
  <si>
    <t>https://analytics.zoho.com/open-view/2395394000007158366?ZOHO_CRITERIA=%22Localiza%20CL%22.%22Codreg%22%3D9</t>
  </si>
  <si>
    <t>https://analytics.zoho.com/open-view/2395394000007158366?ZOHO_CRITERIA=%22Localiza%20CL%22.%22Codreg%22%3D10</t>
  </si>
  <si>
    <t>https://analytics.zoho.com/open-view/2395394000007158366?ZOHO_CRITERIA=%22Localiza%20CL%22.%22Codreg%22%3D11</t>
  </si>
  <si>
    <t>https://analytics.zoho.com/open-view/2395394000007158366?ZOHO_CRITERIA=%22Localiza%20CL%22.%22Codreg%22%3D12</t>
  </si>
  <si>
    <t>https://analytics.zoho.com/open-view/2395394000007158366?ZOHO_CRITERIA=%22Localiza%20CL%22.%22Codreg%22%3D13</t>
  </si>
  <si>
    <t>https://analytics.zoho.com/open-view/2395394000007158366?ZOHO_CRITERIA=%22Localiza%20CL%22.%22Codreg%22%3D14</t>
  </si>
  <si>
    <t>https://analytics.zoho.com/open-view/2395394000007158366?ZOHO_CRITERIA=%22Localiza%20CL%22.%22Codreg%22%3D15</t>
  </si>
  <si>
    <t>https://analytics.zoho.com/open-view/2395394000007158366?ZOHO_CRITERIA=%22Localiza%20CL%22.%22Codreg%22%3D16</t>
  </si>
  <si>
    <t>https://analytics.zoho.com/open-view/2395394000007158410?ZOHO_CRITERIA=%22Localiza%20CL%22.%22Codreg%22%3D1</t>
  </si>
  <si>
    <t>https://analytics.zoho.com/open-view/2395394000007158410?ZOHO_CRITERIA=%22Localiza%20CL%22.%22Codreg%22%3D2</t>
  </si>
  <si>
    <t>https://analytics.zoho.com/open-view/2395394000007158410?ZOHO_CRITERIA=%22Localiza%20CL%22.%22Codreg%22%3D3</t>
  </si>
  <si>
    <t>https://analytics.zoho.com/open-view/2395394000007158410?ZOHO_CRITERIA=%22Localiza%20CL%22.%22Codreg%22%3D4</t>
  </si>
  <si>
    <t>https://analytics.zoho.com/open-view/2395394000007158410?ZOHO_CRITERIA=%22Localiza%20CL%22.%22Codreg%22%3D5</t>
  </si>
  <si>
    <t>https://analytics.zoho.com/open-view/2395394000007158410?ZOHO_CRITERIA=%22Localiza%20CL%22.%22Codreg%22%3D6</t>
  </si>
  <si>
    <t>https://analytics.zoho.com/open-view/2395394000007158410?ZOHO_CRITERIA=%22Localiza%20CL%22.%22Codreg%22%3D7</t>
  </si>
  <si>
    <t>https://analytics.zoho.com/open-view/2395394000007158410?ZOHO_CRITERIA=%22Localiza%20CL%22.%22Codreg%22%3D8</t>
  </si>
  <si>
    <t>https://analytics.zoho.com/open-view/2395394000007158410?ZOHO_CRITERIA=%22Localiza%20CL%22.%22Codreg%22%3D9</t>
  </si>
  <si>
    <t>https://analytics.zoho.com/open-view/2395394000007158410?ZOHO_CRITERIA=%22Localiza%20CL%22.%22Codreg%22%3D10</t>
  </si>
  <si>
    <t>https://analytics.zoho.com/open-view/2395394000007158410?ZOHO_CRITERIA=%22Localiza%20CL%22.%22Codreg%22%3D11</t>
  </si>
  <si>
    <t>https://analytics.zoho.com/open-view/2395394000007158410?ZOHO_CRITERIA=%22Localiza%20CL%22.%22Codreg%22%3D12</t>
  </si>
  <si>
    <t>https://analytics.zoho.com/open-view/2395394000007158410?ZOHO_CRITERIA=%22Localiza%20CL%22.%22Codreg%22%3D13</t>
  </si>
  <si>
    <t>https://analytics.zoho.com/open-view/2395394000007158410?ZOHO_CRITERIA=%22Localiza%20CL%22.%22Codreg%22%3D14</t>
  </si>
  <si>
    <t>https://analytics.zoho.com/open-view/2395394000007158410?ZOHO_CRITERIA=%22Localiza%20CL%22.%22Codreg%22%3D15</t>
  </si>
  <si>
    <t>https://analytics.zoho.com/open-view/2395394000007158410?ZOHO_CRITERIA=%22Localiza%20CL%22.%22Codreg%22%3D16</t>
  </si>
  <si>
    <t>https://analytics.zoho.com/open-view/2395394000007158454?ZOHO_CRITERIA=%22Trasposicion_27.16%22.%22Id_Categor%C3%ADa%22%3D270103002</t>
  </si>
  <si>
    <t>https://analytics.zoho.com/open-view/2395394000007158454?ZOHO_CRITERIA=%22Trasposicion_27.16%22.%22Id_Categor%C3%ADa%22%3D270103003</t>
  </si>
  <si>
    <t>https://analytics.zoho.com/open-view/2395394000007158454?ZOHO_CRITERIA=%22Trasposicion_27.16%22.%22Id_Categor%C3%ADa%22%3D270103004</t>
  </si>
  <si>
    <t>https://analytics.zoho.com/open-view/2395394000007158454?ZOHO_CRITERIA=%22Trasposicion_27.16%22.%22Id_Categor%C3%ADa%22%3D270103005</t>
  </si>
  <si>
    <t>https://analytics.zoho.com/open-view/2395394000007158454?ZOHO_CRITERIA=%22Trasposicion_27.16%22.%22Id_Categor%C3%ADa%22%3D270104001</t>
  </si>
  <si>
    <t>https://analytics.zoho.com/open-view/2395394000007158454?ZOHO_CRITERIA=%22Trasposicion_27.16%22.%22Id_Categor%C3%ADa%22%3D270105001</t>
  </si>
  <si>
    <t>https://analytics.zoho.com/open-view/2395394000007158454?ZOHO_CRITERIA=%22Trasposicion_27.16%22.%22Id_Categor%C3%ADa%22%3D270105002</t>
  </si>
  <si>
    <t>https://analytics.zoho.com/open-view/2395394000007158454?ZOHO_CRITERIA=%22Trasposicion_27.16%22.%22Id_Categor%C3%ADa%22%3D270105003</t>
  </si>
  <si>
    <t>https://analytics.zoho.com/open-view/2395394000007158500?ZOHO_CRITERIA=%22Trasposicion_27.16%22.%22Id_Categor%C3%ADa%22%3D270104001</t>
  </si>
  <si>
    <t>https://analytics.zoho.com/open-view/2395394000007158085?ZOHO_CRITERIA=%22Trasposicion_27.16%22.%22Id_Producto%22%3D270103</t>
  </si>
  <si>
    <t>https://analytics.zoho.com/open-view/2395394000007158085?ZOHO_CRITERIA=%22Trasposicion_27.16%22.%22Id_Producto%22%3D270104</t>
  </si>
  <si>
    <t>https://analytics.zoho.com/open-view/2395394000007158085?ZOHO_CRITERIA=%22Trasposicion_27.16%22.%22Id_Producto%22%3D270105</t>
  </si>
  <si>
    <t>https://analytics.zoho.com/open-view/2395394000007158123?ZOHO_CRITERIA=%22Trasposicion_27.16%22.%22Id_Producto%22%3D270103</t>
  </si>
  <si>
    <t>https://analytics.zoho.com/open-view/2395394000007158123?ZOHO_CRITERIA=%22Trasposicion_27.16%22.%22Id_Producto%22%3D270104</t>
  </si>
  <si>
    <t>https://analytics.zoho.com/open-view/2395394000007158123?ZOHO_CRITERIA=%22Trasposicion_27.16%22.%22Id_Producto%22%3D270105</t>
  </si>
  <si>
    <t>https://analytics.zoho.com/open-view/2395394000007158542</t>
  </si>
  <si>
    <t>https://analytics.zoho.com/open-view/2395394000007158580</t>
  </si>
  <si>
    <t>https://analytics.zoho.com/open-view/2395394000006849343</t>
  </si>
  <si>
    <t>Cantidad de Centros de la Mujer por comuna en la Región de Tarapacá</t>
  </si>
  <si>
    <t>https://analytics.zoho.com/open-view/2395394000008621922?ZOHO_CRITERIA=%2227.11%22.%22C%C3%B3digo_Regi%C3%B3n%22%20%3D%201</t>
  </si>
  <si>
    <t>Cantidad de Centros de la Mujer por comuna en la Región de Antofagasta</t>
  </si>
  <si>
    <t>https://analytics.zoho.com/open-view/2395394000008621922?ZOHO_CRITERIA=%2227.11%22.%22C%C3%B3digo_Regi%C3%B3n%22%20%3D%202</t>
  </si>
  <si>
    <t>Cantidad de Centros de la Mujer por comuna en la Región de Atacama</t>
  </si>
  <si>
    <t>https://analytics.zoho.com/open-view/2395394000008621922?ZOHO_CRITERIA=%2227.11%22.%22C%C3%B3digo_Regi%C3%B3n%22%20%3D%203</t>
  </si>
  <si>
    <t>Cantidad de Centros de la Mujer por comuna en la Región de Coquimbo</t>
  </si>
  <si>
    <t>https://analytics.zoho.com/open-view/2395394000008621922?ZOHO_CRITERIA=%2227.11%22.%22C%C3%B3digo_Regi%C3%B3n%22%20%3D%204</t>
  </si>
  <si>
    <t>Cantidad de Centros de la Mujer por comuna en la Región de Valparaíso</t>
  </si>
  <si>
    <t>https://analytics.zoho.com/open-view/2395394000008621922?ZOHO_CRITERIA=%2227.11%22.%22C%C3%B3digo_Regi%C3%B3n%22%20%3D%205</t>
  </si>
  <si>
    <t>Cantidad de Centros de la Mujer por comuna en la Región de O'Higgins</t>
  </si>
  <si>
    <t>https://analytics.zoho.com/open-view/2395394000008621922?ZOHO_CRITERIA=%2227.11%22.%22C%C3%B3digo_Regi%C3%B3n%22%20%3D%206</t>
  </si>
  <si>
    <t>Cantidad de Centros de la Mujer por comuna en la Región de Maule</t>
  </si>
  <si>
    <t>https://analytics.zoho.com/open-view/2395394000008621922?ZOHO_CRITERIA=%2227.11%22.%22C%C3%B3digo_Regi%C3%B3n%22%20%3D%207</t>
  </si>
  <si>
    <t>Cantidad de Centros de la Mujer por comuna en la Región del Biobío</t>
  </si>
  <si>
    <t>https://analytics.zoho.com/open-view/2395394000008621922?ZOHO_CRITERIA=%2227.11%22.%22C%C3%B3digo_Regi%C3%B3n%22%20%3D%208</t>
  </si>
  <si>
    <t>Cantidad de Centros de la Mujer por comuna en la Región de La Araucanía</t>
  </si>
  <si>
    <t>https://analytics.zoho.com/open-view/2395394000008621922?ZOHO_CRITERIA=%2227.11%22.%22C%C3%B3digo_Regi%C3%B3n%22%20%3D%209</t>
  </si>
  <si>
    <t>Cantidad de Centros de la Mujer por comuna en la Región de Los Lagos</t>
  </si>
  <si>
    <t>https://analytics.zoho.com/open-view/2395394000008621922?ZOHO_CRITERIA=%2227.11%22.%22C%C3%B3digo_Regi%C3%B3n%22%20%3D%2010</t>
  </si>
  <si>
    <t>Cantidad de Centros de la Mujer por comuna en la Región de Aysén</t>
  </si>
  <si>
    <t>https://analytics.zoho.com/open-view/2395394000008621922?ZOHO_CRITERIA=%2227.11%22.%22C%C3%B3digo_Regi%C3%B3n%22%20%3D%2011</t>
  </si>
  <si>
    <t>Cantidad de Centros de la Mujer por comuna en la Región de Magallanes</t>
  </si>
  <si>
    <t>https://analytics.zoho.com/open-view/2395394000008621922?ZOHO_CRITERIA=%2227.11%22.%22C%C3%B3digo_Regi%C3%B3n%22%20%3D%2012</t>
  </si>
  <si>
    <t>Cantidad de Centros de la Mujer por comuna en la Región Metropolitana</t>
  </si>
  <si>
    <t>https://analytics.zoho.com/open-view/2395394000008621922?ZOHO_CRITERIA=%2227.11%22.%22C%C3%B3digo_Regi%C3%B3n%22%20%3D%2013</t>
  </si>
  <si>
    <t>Cantidad de Centros de la Mujer por comuna en la Región de Los Ríos</t>
  </si>
  <si>
    <t>https://analytics.zoho.com/open-view/2395394000008621922?ZOHO_CRITERIA=%2227.11%22.%22C%C3%B3digo_Regi%C3%B3n%22%20%3D%2014</t>
  </si>
  <si>
    <t>Cantidad de Centros de la Mujer por comuna en la Región de Arica y Parinacota</t>
  </si>
  <si>
    <t>https://analytics.zoho.com/open-view/2395394000008621922?ZOHO_CRITERIA=%2227.11%22.%22C%C3%B3digo_Regi%C3%B3n%22%20%3D%2015</t>
  </si>
  <si>
    <t>Cantidad de Centros de la Mujer por comuna en la Región de Ñuble</t>
  </si>
  <si>
    <t>https://analytics.zoho.com/open-view/2395394000008621922?ZOHO_CRITERIA=%2227.11%22.%22C%C3%B3digo_Regi%C3%B3n%22%20%3D%2016</t>
  </si>
  <si>
    <t>Cantidad de Centros de la Mujer por tipo de atención en la Región de Tarapacá</t>
  </si>
  <si>
    <t>https://analytics.zoho.com/open-view/2395394000008621848?ZOHO_CRITERIA=%2227.11%22.%22C%C3%B3digo_Regi%C3%B3n%22%20%3D%201</t>
  </si>
  <si>
    <t>Cantidad de Centros de la Mujer por tipo de atención en la Región de Antofagasta</t>
  </si>
  <si>
    <t>https://analytics.zoho.com/open-view/2395394000008621848?ZOHO_CRITERIA=%2227.11%22.%22C%C3%B3digo_Regi%C3%B3n%22%20%3D%202</t>
  </si>
  <si>
    <t>Cantidad de Centros de la Mujer por tipo de atención en la Región de Atacama</t>
  </si>
  <si>
    <t>https://analytics.zoho.com/open-view/2395394000008621848?ZOHO_CRITERIA=%2227.11%22.%22C%C3%B3digo_Regi%C3%B3n%22%20%3D%203</t>
  </si>
  <si>
    <t>Cantidad de Centros de la Mujer por tipo de atención en la Región de Coquimbo</t>
  </si>
  <si>
    <t>https://analytics.zoho.com/open-view/2395394000008621848?ZOHO_CRITERIA=%2227.11%22.%22C%C3%B3digo_Regi%C3%B3n%22%20%3D%204</t>
  </si>
  <si>
    <t>Cantidad de Centros de la Mujer por tipo de atención en la Región de Valparaíso</t>
  </si>
  <si>
    <t>https://analytics.zoho.com/open-view/2395394000008621848?ZOHO_CRITERIA=%2227.11%22.%22C%C3%B3digo_Regi%C3%B3n%22%20%3D%205</t>
  </si>
  <si>
    <t>Cantidad de Centros de la Mujer por tipo de atención en la Región de O'Higgins</t>
  </si>
  <si>
    <t>https://analytics.zoho.com/open-view/2395394000008621848?ZOHO_CRITERIA=%2227.11%22.%22C%C3%B3digo_Regi%C3%B3n%22%20%3D%206</t>
  </si>
  <si>
    <t>Cantidad de Centros de la Mujer por tipo de atención en la Región de Maule</t>
  </si>
  <si>
    <t>https://analytics.zoho.com/open-view/2395394000008621848?ZOHO_CRITERIA=%2227.11%22.%22C%C3%B3digo_Regi%C3%B3n%22%20%3D%207</t>
  </si>
  <si>
    <t>Cantidad de Centros de la Mujer por tipo de atención en la Región del Biobío</t>
  </si>
  <si>
    <t>https://analytics.zoho.com/open-view/2395394000008621848?ZOHO_CRITERIA=%2227.11%22.%22C%C3%B3digo_Regi%C3%B3n%22%20%3D%208</t>
  </si>
  <si>
    <t>Cantidad de Centros de la Mujer por tipo de atención en la Región de La Araucanía</t>
  </si>
  <si>
    <t>https://analytics.zoho.com/open-view/2395394000008621848?ZOHO_CRITERIA=%2227.11%22.%22C%C3%B3digo_Regi%C3%B3n%22%20%3D%209</t>
  </si>
  <si>
    <t>Cantidad de Centros de la Mujer por tipo de atención en la Región de Los Lagos</t>
  </si>
  <si>
    <t>https://analytics.zoho.com/open-view/2395394000008621848?ZOHO_CRITERIA=%2227.11%22.%22C%C3%B3digo_Regi%C3%B3n%22%20%3D%2010</t>
  </si>
  <si>
    <t>Cantidad de Centros de la Mujer por tipo de atención en la Región de Aysén</t>
  </si>
  <si>
    <t>https://analytics.zoho.com/open-view/2395394000008621848?ZOHO_CRITERIA=%2227.11%22.%22C%C3%B3digo_Regi%C3%B3n%22%20%3D%2011</t>
  </si>
  <si>
    <t>Cantidad de Centros de la Mujer por tipo de atención en la Región de Magallanes</t>
  </si>
  <si>
    <t>https://analytics.zoho.com/open-view/2395394000008621848?ZOHO_CRITERIA=%2227.11%22.%22C%C3%B3digo_Regi%C3%B3n%22%20%3D%2012</t>
  </si>
  <si>
    <t>Cantidad de Centros de la Mujer por tipo de atención en la Región Metropolitana</t>
  </si>
  <si>
    <t>https://analytics.zoho.com/open-view/2395394000008621848?ZOHO_CRITERIA=%2227.11%22.%22C%C3%B3digo_Regi%C3%B3n%22%20%3D%2013</t>
  </si>
  <si>
    <t>Cantidad de Centros de la Mujer por tipo de atención en la Región de Los Ríos</t>
  </si>
  <si>
    <t>https://analytics.zoho.com/open-view/2395394000008621848?ZOHO_CRITERIA=%2227.11%22.%22C%C3%B3digo_Regi%C3%B3n%22%20%3D%2014</t>
  </si>
  <si>
    <t>Cantidad de Centros de la Mujer por tipo de atención en la Región de Arica y Parinacota</t>
  </si>
  <si>
    <t>https://analytics.zoho.com/open-view/2395394000008621848?ZOHO_CRITERIA=%2227.11%22.%22C%C3%B3digo_Regi%C3%B3n%22%20%3D%2015</t>
  </si>
  <si>
    <t>Cantidad de Centros de la Mujer por tipo de atención en la Región de Ñuble</t>
  </si>
  <si>
    <t>https://analytics.zoho.com/open-view/2395394000008621848?ZOHO_CRITERIA=%2227.11%22.%22C%C3%B3digo_Regi%C3%B3n%22%20%3D%2016</t>
  </si>
  <si>
    <t>Cantidad de mujeres atendidas en Centros de Atención y Reparación para Mujeres Víctimas/Sobrevivientes de Violencia Sexual por tipo de atención en la Región de Valparaíso</t>
  </si>
  <si>
    <t>https://analytics.zoho.com/open-view/2395394000007114973?ZOHO_CRITERIA=%2227.12%22.%22C%C3%B3digo_Regi%C3%B3n%22%20%3D%205</t>
  </si>
  <si>
    <t>Cantidad de mujeres atendidas en Centros de Atención y Reparación para Mujeres Víctimas/Sobrevivientes de Violencia Sexual por tipo de atención en la Región Metropolitana</t>
  </si>
  <si>
    <t>https://analytics.zoho.com/open-view/2395394000007114973?ZOHO_CRITERIA=%2227.12%22.%22C%C3%B3digo_Regi%C3%B3n%22%20%3D%2013</t>
  </si>
  <si>
    <t>Cantidad de mujeres atendidas en Centros de Atención y Reparación para Mujeres Víctimas/Sobrevivientes de Violencia Sexual por tipo de atención en la Región del Biobío</t>
  </si>
  <si>
    <t>https://analytics.zoho.com/open-view/2395394000007114973?ZOHO_CRITERIA=%2227.12%22.%22C%C3%B3digo_Regi%C3%B3n%22%20%3D%208</t>
  </si>
  <si>
    <t>https://analytics.zoho.com/open-view/2395394000007117231?ZOHO_CRITERIA=%2227.12%22.%22Id_Categor%C3%ADa%22%20%3D%20270110001%0A</t>
  </si>
  <si>
    <t>https://analytics.zoho.com/open-view/2395394000007117231?ZOHO_CRITERIA=%2227.12%22.%22Id_Categor%C3%ADa%22%20%3D%20270110002%0A</t>
  </si>
  <si>
    <t>https://analytics.zoho.com/open-view/2395394000007117231?ZOHO_CRITERIA=%2227.12%22.%22Id_Categor%C3%ADa%22%20%3D%20270110003%0A</t>
  </si>
  <si>
    <t>https://analytics.zoho.com/open-view/2395394000007149310</t>
  </si>
  <si>
    <t>https://analytics.zoho.com/open-view/2395394000006929198?ZOHO_CRITERIA=%22Trasposicion_27.14%22.%22Id_producto%22%20%3D%20270108%0A</t>
  </si>
  <si>
    <t>https://analytics.zoho.com/open-view/2395394000006929198?ZOHO_CRITERIA=%22Trasposicion_27.14%22.%22Id_producto%22%20%3D%20270109%0A</t>
  </si>
  <si>
    <t>https://analytics.zoho.com/open-view/2395394000006929327?ZOHO_CRITERIA=%22Trasposicion_27.14%22.%22Id_producto%22%20%3D%20270109%0A</t>
  </si>
  <si>
    <t>https://analytics.zoho.com/open-view/2395394000006929327?ZOHO_CRITERIA=%22Trasposicion_27.14%22.%22Id_producto%22%20%3D%20270108%0A</t>
  </si>
  <si>
    <t>https://analytics.zoho.com/open-view/2395394000006929437?ZOHO_CRITERIA=%22Trasposicion_27.14%22.%22Id_Tipo_de_Procedimiento%22%20%3D%201%0A</t>
  </si>
  <si>
    <t>https://analytics.zoho.com/open-view/2395394000006929437?ZOHO_CRITERIA=%22Trasposicion_27.14%22.%22Id_Tipo_de_Procedimiento%22%20%3D%202%0A</t>
  </si>
  <si>
    <t>https://analytics.zoho.com/open-view/2395394000006929437?ZOHO_CRITERIA=%22Trasposicion_27.14%22.%22Id_Tipo_de_Procedimiento%22%20%3D%203%0A</t>
  </si>
  <si>
    <t>https://analytics.zoho.com/open-view/2395394000006929437?ZOHO_CRITERIA=%22Trasposicion_27.14%22.%22Id_Tipo_de_Procedimiento%22%20%3D%204%0A</t>
  </si>
  <si>
    <t>https://analytics.zoho.com/open-view/2395394000006849227</t>
  </si>
  <si>
    <t>https://analytics.zoho.com/open-view/2395394000006849284</t>
  </si>
  <si>
    <t>Sentencias Dictadas por Delitos de Abuso Sexual en la Calama durante el Periodo 2013-2019</t>
  </si>
  <si>
    <t>Sentencias Dictadas por Delitos de Abuso Sexual en la Tocopilla durante el Periodo 2013-2019</t>
  </si>
  <si>
    <t>Sentencias Dictadas por Delitos de Abuso Sexual en la Copiapo durante el Periodo 2013-2019</t>
  </si>
  <si>
    <t>Sentencias Dictadas por Delitos de Abuso Sexual en la Diego de Almagro durante el Periodo 2013-2019</t>
  </si>
  <si>
    <t>Sentencias Dictadas por Delitos de Abuso Sexual en la Vallenar durante el Periodo 2013-2019</t>
  </si>
  <si>
    <t>Sentencias Dictadas por Delitos de Abuso Sexual en la Coquimbo durante el Periodo 2013-2019</t>
  </si>
  <si>
    <t>Sentencias Dictadas por Delitos de Abuso Sexual en la Illapel durante el Periodo 2013-2019</t>
  </si>
  <si>
    <t>Sentencias Dictadas por Delitos de Abuso Sexual en la La Serena durante el Periodo 2013-2019</t>
  </si>
  <si>
    <t>Sentencias Dictadas por Delitos de Abuso Sexual en la Ovalle durante el Periodo 2013-2019</t>
  </si>
  <si>
    <t>Sentencias Dictadas por Delitos de Abuso Sexual en la Vicuña durante el Periodo 2013-2019</t>
  </si>
  <si>
    <t>Sentencias Dictadas por Delitos de Abuso Sexual en la Calera durante el Periodo 2013-2019</t>
  </si>
  <si>
    <t>Sentencias Dictadas por Delitos de Abuso Sexual en la La Ligua durante el Periodo 2013-2019</t>
  </si>
  <si>
    <t>Sentencias Dictadas por Delitos de Abuso Sexual en la Limache durante el Periodo 2013-2019</t>
  </si>
  <si>
    <t>Sentencias Dictadas por Delitos de Abuso Sexual en la Los Andes durante el Periodo 2013-2019</t>
  </si>
  <si>
    <t>Sentencias Dictadas por Delitos de Abuso Sexual en la Quillota durante el Periodo 2013-2019</t>
  </si>
  <si>
    <t>Sentencias Dictadas por Delitos de Abuso Sexual en la Quilpue durante el Periodo 2013-2019</t>
  </si>
  <si>
    <t>Sentencias Dictadas por Delitos de Abuso Sexual por Juzgado de Garantía en la San Felipe durante el Periodo 2013-2019</t>
  </si>
  <si>
    <t>Sentencias Dictadas por Delitos de Abuso Sexual por Juzgado de Garantía en la Valparaiso durante el Periodo 2013-2019</t>
  </si>
  <si>
    <t>Sentencias Dictadas por Delitos de Abuso Sexual por Juzgado de Garantía en la Villa Alemana durante el Periodo 2013-2019</t>
  </si>
  <si>
    <t>Sentencias Dictadas por Delitos de Abuso Sexual por Juzgado de Garantía en la Viña Del Mar durante el Periodo 2013-2019</t>
  </si>
  <si>
    <t>Sentencias Dictadas por Delitos de Abuso Sexual por Juzgado de Garantía en la Graneros durante el Periodo 2013-2019</t>
  </si>
  <si>
    <t>Sentencias Dictadas por Delitos de Abuso Sexual por Juzgado de Garantía en la Rancagua durante el Periodo 2013-2019</t>
  </si>
  <si>
    <t>Sentencias Dictadas por Delitos de Abuso Sexual por Juzgado de Garantía en la Rengo durante el Periodo 2013-2019</t>
  </si>
  <si>
    <t>Sentencias Dictadas por Delitos de Abuso Sexual por Juzgado de Garantía en la San Fernando durante el Periodo 2013-2019</t>
  </si>
  <si>
    <t>Sentencias Dictadas por Delitos de Abuso Sexual por Juzgado de Garantía en la San Vicente durante el Periodo 2013-2019</t>
  </si>
  <si>
    <t>Sentencias Dictadas por Delitos de Abuso Sexual por Juzgado de Garantía en la Santa Cruz durante el Periodo 2013-2019</t>
  </si>
  <si>
    <t>Sentencias Dictadas por Delitos de Abuso Sexual por Juzgado de Garantía en la Cauquenes durante el Periodo 2013-2019</t>
  </si>
  <si>
    <t>Sentencias Dictadas por Delitos de Abuso Sexual por Juzgado de Garantía en la Constitucion durante el Periodo 2013-2019</t>
  </si>
  <si>
    <t>Sentencias Dictadas por Delitos de Abuso Sexual por Juzgado de Garantía en la Curico durante el Periodo 2013-2019</t>
  </si>
  <si>
    <t>Sentencias Dictadas por Delitos de Abuso Sexual por Juzgado de Garantía en la Linares durante el Periodo 2013-2019</t>
  </si>
  <si>
    <t>Sentencias Dictadas por Delitos de Abuso Sexual por Juzgado de Garantía en la Molina durante el Periodo 2013-2019</t>
  </si>
  <si>
    <t>Sentencias Dictadas por Delitos de Abuso Sexual por Juzgado de Garantía en la Parral durante el Periodo 2013-2019</t>
  </si>
  <si>
    <t>Sentencias Dictadas por Delitos de Abuso Sexual por Delito en la San Javier durante el Periodo 2013-2019</t>
  </si>
  <si>
    <t>Sentencias Dictadas por Delitos de Abuso Sexual por Delito en la Talca durante el Periodo 2013-2019</t>
  </si>
  <si>
    <t>Sentencias Dictadas por Delitos de Abuso Sexual por Delito en la Arauco durante el Periodo 2013-2019</t>
  </si>
  <si>
    <t>Sentencias Dictadas por Delitos de Abuso Sexual por Delito en la Cañete durante el Periodo 2013-2019</t>
  </si>
  <si>
    <t>Sentencias Dictadas por Delitos de Abuso Sexual por Delito en la Chiguayante durante el Periodo 2013-2019</t>
  </si>
  <si>
    <t>Sentencias Dictadas por Delitos de Abuso Sexual por Delito en la Concepcion durante el Periodo 2013-2019</t>
  </si>
  <si>
    <t>Sentencias Dictadas por Delitos de Abuso Sexual por Delito en la Coronel durante el Periodo 2013-2019</t>
  </si>
  <si>
    <t>Sentencias Dictadas por Delitos de Abuso Sexual por Delito en la Los Angeles durante el Periodo 2013-2019</t>
  </si>
  <si>
    <t>Sentencias Dictadas por Delitos de Abuso Sexual por Delito en la Talcahuano durante el Periodo 2013-2019</t>
  </si>
  <si>
    <t>Sentencias Dictadas por Delitos de Abuso Sexual por Delito en la Tome durante el Periodo 2013-2019</t>
  </si>
  <si>
    <t>Sentencias Dictadas por Delitos de Abuso Sexual por Delito en la Angol durante el Periodo 2013-2019</t>
  </si>
  <si>
    <t>Sentencias Dictadas por Delitos de Abuso Sexual por Delito en la Lautaro durante el Periodo 2013-2019</t>
  </si>
  <si>
    <t>Sentencias Dictadas por Delitos de Abuso Sexual por Delito en la Loncoche durante el Periodo 2013-2019</t>
  </si>
  <si>
    <t>Sentencias Dictadas por Delitos de Abuso Sexual por Delito en la Nueva Imperial durante el Periodo 2013-2019</t>
  </si>
  <si>
    <t>Sentencias Dictadas por Delitos de Abuso Sexual por Delito en la Pitrufquen durante el Periodo 2013-2019</t>
  </si>
  <si>
    <t>Sentencias Dictadas por Delitos de Abuso Sexual por Delito en la Temuco durante el Periodo 2013-2019</t>
  </si>
  <si>
    <t>Sentencias Dictadas por Delitos de Abuso Sexual en el  Juzgado de Garantía de Victoria para el Periodo 2013-2019</t>
  </si>
  <si>
    <t>Sentencias Dictadas por Delitos de Abuso Sexual en el  Juzgado de Garantía de Villarrica para el Periodo 2013-2019</t>
  </si>
  <si>
    <t>Sentencias Dictadas por Delitos de Abuso Sexual en el  Juzgado de Garantía de Ancud para el Periodo 2013-2019</t>
  </si>
  <si>
    <t>Sentencias Dictadas por Delitos de Abuso Sexual en el  Juzgado de Garantía de Castro para el Periodo 2013-2019</t>
  </si>
  <si>
    <t>Sentencias Dictadas por Delitos de Abuso Sexual en el  Juzgado de Garantía de Osorno para el Periodo 2013-2019</t>
  </si>
  <si>
    <t>Sentencias Dictadas por Delitos de Abuso Sexual en el  Juzgado de Garantía de Puerto Montt para el Periodo 2013-2019</t>
  </si>
  <si>
    <t>Sentencias Dictadas por Delitos de Abuso Sexual en el  Juzgado de Garantía de Puerto Varas para el Periodo 2013-2019</t>
  </si>
  <si>
    <t>Sentencias Dictadas por Delitos de Abuso Sexual en el  Juzgado de Garantía de Rio Negro para el Periodo 2013-2019</t>
  </si>
  <si>
    <t>Sentencias Dictadas por Delitos de Abuso Sexual en el  Juzgado de Garantía de Coyhaique para el Periodo 2013-2019</t>
  </si>
  <si>
    <t>Sentencias Dictadas por Delitos de Abuso Sexual en el  Juzgado de Garantía de Punta Arenas para el Periodo 2013-2019</t>
  </si>
  <si>
    <t>Sentencias Dictadas por Delitos de Abuso Sexual en el  Juzgado de Garantía de Santiago para el Periodo 2013-2019</t>
  </si>
  <si>
    <t>Sentencias Dictadas por Delitos de Abuso Sexual en el  Juzgado de Garantía de Los Lagos para el Periodo 2013-2019</t>
  </si>
  <si>
    <t>Sentencias Dictadas por Delitos de Abuso Sexual en el  Juzgado de Garantía de Mariquina para el Periodo 2013-2019</t>
  </si>
  <si>
    <t>Sentencias Dictadas por Delitos de Abuso Sexual en el  Juzgado de Garantía de Valdivia para el Periodo 2013-2019</t>
  </si>
  <si>
    <t>Sentencias Dictadas por Delitos de Abuso Sexual en el  Juzgado de Garantía de Arica para el Periodo 2013-2019</t>
  </si>
  <si>
    <t>Sentencias Dictadas por Delitos de Abuso Sexual en el  Juzgado de Garantía de Chillan para el Periodo 2013-2019</t>
  </si>
  <si>
    <t>Sentencias Dictadas por Delitos de Abuso Sexual en el  Juzgado de Garantía de San Carlos para el Periodo 2013-2019</t>
  </si>
  <si>
    <t>Sentencias Dictadas por Delitos de Abuso Sexual en el  Juzgado de Garantía de Yungay para el Periodo 2013-2019</t>
  </si>
  <si>
    <t>Sentencias Dictadas por Delitos de Abuso Sexual en el  Juzgado de Garantía de Iquique para el Periodo 2013-2019</t>
  </si>
  <si>
    <t>Sentencias Dictadas por Delitos de Abuso Sexual en el  Juzgado de Garantía de Antofagasta para el Periodo 2013-2019</t>
  </si>
  <si>
    <t>Sentencias Dictadas por Delitos de Abuso Sexual en el  Juzgado de Garantía de Calama para el Periodo 2013-2019</t>
  </si>
  <si>
    <t>Sentencias Dictadas por Delitos de Abuso Sexual en el  Juzgado de Garantía de Tocopilla para el Periodo 2013-2019</t>
  </si>
  <si>
    <t>Sentencias Dictadas por Delitos de Abuso Sexual en el  Juzgado de Garantía de Copiapo para el Periodo 2013-2019</t>
  </si>
  <si>
    <t>Sentencias Dictadas por Delitos de Abuso Sexual en el  Juzgado de Garantía de Diego de Almagro para el Periodo 2013-2019</t>
  </si>
  <si>
    <t>Sentencias Dictadas por Delitos de Abuso Sexual en el  Juzgado de Garantía de Vallenar para el Periodo 2013-2019</t>
  </si>
  <si>
    <t>Sentencias Dictadas por Delitos de Abuso Sexual en el  Juzgado de Garantía de Coquimbo para el Periodo 2013-2019</t>
  </si>
  <si>
    <t>Sentencias Dictadas por Delitos de Abuso Sexual en el  Juzgado de Garantía de Illapel para el Periodo 2013-2019</t>
  </si>
  <si>
    <t>Sentencias Dictadas por Delitos de Abuso Sexual en el  Juzgado de Garantía de La Serena para el Periodo 2013-2019</t>
  </si>
  <si>
    <t>Sentencias Dictadas por Delitos de Abuso Sexual en el  Juzgado de Garantía de Ovalle para el Periodo 2013-2019</t>
  </si>
  <si>
    <t>Sentencias Dictadas por Delitos de Abuso Sexual en el  Juzgado de Garantía de Vicuña para el Periodo 2013-2019</t>
  </si>
  <si>
    <t>Sentencias Dictadas por Delitos de Abuso Sexual en el  Juzgado de Garantía de Calera para el Periodo 2013-2019</t>
  </si>
  <si>
    <t>Sentencias Dictadas por Delitos de Abuso Sexual en el  Juzgado de Garantía de La Ligua para el Periodo 2013-2019</t>
  </si>
  <si>
    <t>Sentencias Dictadas por Delitos de Abuso Sexual en el  Juzgado de Garantía de Limache para el Periodo 2013-2019</t>
  </si>
  <si>
    <t>Sentencias Dictadas por Delitos de Abuso Sexual en el  Juzgado de Garantía de Los Andes para el Periodo 2013-2019</t>
  </si>
  <si>
    <t>Sentencias Dictadas por Delitos de Abuso Sexual en el  Juzgado de Garantía de Quillota para el Periodo 2013-2019</t>
  </si>
  <si>
    <t>Sentencias Dictadas por Delitos de Abuso Sexual en el  Juzgado de Garantía de Quilpue para el Periodo 2013-2019</t>
  </si>
  <si>
    <t>Sentencias Dictadas por Delitos de Abuso Sexual en el  Juzgado de Garantía de San Felipe para el Periodo 2013-2019</t>
  </si>
  <si>
    <t>Sentencias Dictadas por Delitos de Abuso Sexual en el  Juzgado de Garantía de Valparaiso para el Periodo 2013-2019</t>
  </si>
  <si>
    <t>Sentencias Dictadas por Delitos de Abuso Sexual en el  Juzgado de Garantía de Villa Alemana para el Periodo 2013-2019</t>
  </si>
  <si>
    <t>Sentencias Dictadas por Delitos de Abuso Sexual en el  Juzgado de Garantía de Viña Del Mar para el Periodo 2013-2019</t>
  </si>
  <si>
    <t>Sentencias Dictadas por Delitos de Abuso Sexual en el  Juzgado de Garantía de Graneros para el Periodo 2013-2019</t>
  </si>
  <si>
    <t>Sentencias Dictadas por Delitos de Abuso Sexual en el  Juzgado de Garantía de Rancagua para el Periodo 2013-2019</t>
  </si>
  <si>
    <t>Sentencias Dictadas por Delitos de Abuso Sexual en el  Juzgado de Garantía de Rengo para el Periodo 2013-2019</t>
  </si>
  <si>
    <t>Sentencias Dictadas por Delitos de Abuso Sexual en el  Juzgado de Garantía de San Fernando para el Periodo 2013-2019</t>
  </si>
  <si>
    <t>Sentencias Dictadas por Delitos de Abuso Sexual en el  Juzgado de Garantía de San Vicente para el Periodo 2013-2019</t>
  </si>
  <si>
    <t>Sentencias Dictadas por Delitos de Abuso Sexual en el  Juzgado de Garantía de Santa Cruz para el Periodo 2013-2019</t>
  </si>
  <si>
    <t>Sentencias Dictadas por Delitos de Abuso Sexual en el 10° Juzgado de Garantía de Cauquenes para el Periodo 2013-2019</t>
  </si>
  <si>
    <t>Sentencias Dictadas por Delitos de Abuso Sexual en el 11° Juzgado de Garantía de Constitucion para el Periodo 2013-2019</t>
  </si>
  <si>
    <t>Sentencias Dictadas por Delitos de Abuso Sexual en el 12° Juzgado de Garantía de Curico para el Periodo 2013-2019</t>
  </si>
  <si>
    <t>Sentencias Dictadas por Delitos de Abuso Sexual en el 13° Juzgado de Garantía de Linares para el Periodo 2013-2019</t>
  </si>
  <si>
    <t>Sentencias Dictadas por Delitos de Abuso Sexual en el 14° Juzgado de Garantía de Molina para el Periodo 2013-2019</t>
  </si>
  <si>
    <t>Sentencias Dictadas por Delitos de Abuso Sexual en el 15° Juzgado de Garantía de Parral para el Periodo 2013-2019</t>
  </si>
  <si>
    <t>Sentencias Dictadas por Delitos de Abuso Sexual en el 1° Juzgado de Garantía de San Javier para el Periodo 2013-2019</t>
  </si>
  <si>
    <t>Sentencias Dictadas por Delitos de Abuso Sexual en el 2° Juzgado de Garantía de Talca para el Periodo 2013-2019</t>
  </si>
  <si>
    <t>Sentencias Dictadas por Delitos de Abuso Sexual en el 3° Juzgado de Garantía de Arauco para el Periodo 2013-2019</t>
  </si>
  <si>
    <t>Sentencias Dictadas por Delitos de Abuso Sexual en el 4° Juzgado de Garantía de Cañete para el Periodo 2013-2019</t>
  </si>
  <si>
    <t>Sentencias Dictadas por Delitos de Abuso Sexual en el 5° Juzgado de Garantía de Chiguayante para el Periodo 2013-2019</t>
  </si>
  <si>
    <t>Sentencias Dictadas por Delitos de Abuso Sexual en el 6° Juzgado de Garantía de Concepcion para el Periodo 2013-2019</t>
  </si>
  <si>
    <t>Sentencias Dictadas por Delitos de Abuso Sexual en el 7° Juzgado de Garantía de Coronel para el Periodo 2013-2019</t>
  </si>
  <si>
    <t>Sentencias Dictadas por Delitos de Abuso Sexual en el 8° Juzgado de Garantía de Los Angeles para el Periodo 2013-2019</t>
  </si>
  <si>
    <t>Sentencias Dictadas por Delitos de Abuso Sexual en el 9° Juzgado de Garantía de Talcahuano para el Periodo 2013-2019</t>
  </si>
  <si>
    <t>Sentencias Dictadas por Delitos de Abuso Sexual en el Juzgado de Garantía de Tome para el Periodo 2013-2019</t>
  </si>
  <si>
    <t>Sentencias Dictadas por Delitos de Abuso Sexual en el Juzgado de Garantía de Angol para el Periodo 2013-2019</t>
  </si>
  <si>
    <t>Sentencias Dictadas por Delitos de Abuso Sexual en el Juzgado de Garantía de Lautaro para el Periodo 2013-2019</t>
  </si>
  <si>
    <t>Sentencias Dictadas por Delitos de Abuso Sexual en el Juzgado de Garantía de Loncoche para el Periodo 2013-2019</t>
  </si>
  <si>
    <t>Sentencias Dictadas por Delitos de Abuso Sexual en el Juzgado de Garantía de Nueva Imperial para el Periodo 2013-2019</t>
  </si>
  <si>
    <t>Sentencias Dictadas por Delitos de Abuso Sexual en el Juzgado de Garantía de Pitrufquen para el Periodo 2013-2019</t>
  </si>
  <si>
    <t>Sentencias Dictadas por Delitos de Abuso Sexual en el Juzgado de Garantía de Temuco para el Periodo 2013-2019</t>
  </si>
  <si>
    <t>Sentencias Dictadas por Delitos de Abuso Sexual por Delito en el  Juzgado de Garantía de Victoria para el Periodo 2013-2019</t>
  </si>
  <si>
    <t>Sentencias Dictadas por Delitos de Abuso Sexual por Delito en el  Juzgado de Garantía de Villarrica para el Periodo 2013-2019</t>
  </si>
  <si>
    <t>Sentencias Dictadas por Delitos de Abuso Sexual por Delito en el  Juzgado de Garantía de Ancud para el Periodo 2013-2019</t>
  </si>
  <si>
    <t>Sentencias Dictadas por Delitos de Abuso Sexual por Delito en el  Juzgado de Garantía de Castro para el Periodo 2013-2019</t>
  </si>
  <si>
    <t>Sentencias Dictadas por Delitos de Abuso Sexual por Delito en el  Juzgado de Garantía de Osorno para el Periodo 2013-2019</t>
  </si>
  <si>
    <t>Sentencias Dictadas por Delitos de Abuso Sexual por Delito en el  Juzgado de Garantía de Puerto Montt para el Periodo 2013-2019</t>
  </si>
  <si>
    <t>Sentencias Dictadas por Delitos de Abuso Sexual por Delito en el  Juzgado de Garantía de Puerto Varas para el Periodo 2013-2019</t>
  </si>
  <si>
    <t>Sentencias Dictadas por Delitos de Abuso Sexual por Delito en el  Juzgado de Garantía de Rio Negro para el Periodo 2013-2019</t>
  </si>
  <si>
    <t>Sentencias Dictadas por Delitos de Abuso Sexual por Delito en el  Juzgado de Garantía de Coyhaique para el Periodo 2013-2019</t>
  </si>
  <si>
    <t>Sentencias Dictadas por Delitos de Abuso Sexual por Delito en el  Juzgado de Garantía de Punta Arenas para el Periodo 2013-2019</t>
  </si>
  <si>
    <t>Sentencias Dictadas por Delitos de Abuso Sexual por Delito en el  Juzgado de Garantía de Santiago para el Periodo 2013-2019</t>
  </si>
  <si>
    <t>Sentencias Dictadas por Delitos de Abuso Sexual por Delito en el  Juzgado de Garantía de Los Lagos para el Periodo 2013-2019</t>
  </si>
  <si>
    <t>Sentencias Dictadas por Delitos de Abuso Sexual por Delito en el  Juzgado de Garantía de Mariquina para el Periodo 2013-2019</t>
  </si>
  <si>
    <t>Sentencias Dictadas por Delitos de Abuso Sexual por Delito en el  Juzgado de Garantía de Valdivia para el Periodo 2013-2019</t>
  </si>
  <si>
    <t>Sentencias Dictadas por Delitos de Abuso Sexual por Delito en el  Juzgado de Garantía de Arica para el Periodo 2013-2019</t>
  </si>
  <si>
    <t>Sentencias Dictadas por Delitos de Abuso Sexual por Delito en el  Juzgado de Garantía de Chillan para el Periodo 2013-2019</t>
  </si>
  <si>
    <t>Sentencias Dictadas por Delitos de Abuso Sexual por Delito en el  Juzgado de Garantía de San Carlos para el Periodo 2013-2019</t>
  </si>
  <si>
    <t>Sentencias Dictadas por Delitos de Abuso Sexual por Delito en el  Juzgado de Garantía de Yungay para el Periodo 2013-2019</t>
  </si>
  <si>
    <t>Sentencias Dictadas por Delitos de Abuso Sexual por Delito en el  Juzgado de Garantía de Chile para el Periodo 2013-2019</t>
  </si>
  <si>
    <t>Sentencias Dictadas por Delitos de Abuso Sexual por Delito en el  Juzgado de Garantía de Región de Tarapacá para el Periodo 2013-2019</t>
  </si>
  <si>
    <t>Sentencias Dictadas por Delitos de Abuso Sexual por Delito en el  Juzgado de Garantía de Región de Antofagasta para el Periodo 2013-2019</t>
  </si>
  <si>
    <t>Sentencias Dictadas por Delitos de Abuso Sexual por Delito en el  Juzgado de Garantía de Región de Atacama para el Periodo 2013-2019</t>
  </si>
  <si>
    <t>Sentencias Dictadas por Delitos de Abuso Sexual por Delito en el  Juzgado de Garantía de Región de Coquimbo para el Periodo 2013-2019</t>
  </si>
  <si>
    <t>Sentencias Dictadas por Delitos de Abuso Sexual por Delito en el  Juzgado de Garantía de Región de Valparaíso para el Periodo 2013-2019</t>
  </si>
  <si>
    <t>Sentencias Dictadas por Delitos de Abuso Sexual por Delito en el  Juzgado de Garantía de Región de O'Higgins para el Periodo 2013-2019</t>
  </si>
  <si>
    <t>Sentencias Dictadas por Delitos de Abuso Sexual por Delito en el  Juzgado de Garantía de Región de Maule para el Periodo 2013-2019</t>
  </si>
  <si>
    <t>Sentencias Dictadas por Delitos de Abuso Sexual por Delito en el  Juzgado de Garantía de Región del Biobío para el Periodo 2013-2019</t>
  </si>
  <si>
    <t>Sentencias Dictadas por Delitos de Abuso Sexual por Delito en el  Juzgado de Garantía de Región de La Araucanía para el Periodo 2013-2019</t>
  </si>
  <si>
    <t>Sentencias Dictadas por Delitos de Abuso Sexual por Delito en el  Juzgado de Garantía de Región de Los Lagos para el Periodo 2013-2019</t>
  </si>
  <si>
    <t>Sentencias Dictadas por Delitos de Abuso Sexual por Delito en el  Juzgado de Garantía de Región de Aysén para el Periodo 2013-2019</t>
  </si>
  <si>
    <t>Sentencias Dictadas por Delitos de Abuso Sexual por Delito en el  Juzgado de Garantía de Región de Magallanes para el Periodo 2013-2019</t>
  </si>
  <si>
    <t>Sentencias Dictadas por Delitos de Abuso Sexual por Delito en el  Juzgado de Garantía de Región Metropolitana para el Periodo 2013-2019</t>
  </si>
  <si>
    <t>Sentencias Dictadas por Delitos de Abuso Sexual por Delito en el  Juzgado de Garantía de Región de Los Ríos para el Periodo 2013-2019</t>
  </si>
  <si>
    <t>Sentencias Dictadas por Delitos de Abuso Sexual por Delito en el 10° Juzgado de Garantía de Región de Arica y Parinacota para el Periodo 2013-2019</t>
  </si>
  <si>
    <t>Sentencias Dictadas por Delitos de Abuso Sexual por Delito en el 11° Juzgado de Garantía de Región de Ñuble para el Periodo 2013-2019</t>
  </si>
  <si>
    <t>Sentencias Dictadas por Delitos de Abuso Sexual por Delito en el 12° Juzgado de Garantía de Región de Tarapacá para el Periodo 2013-2019</t>
  </si>
  <si>
    <t>Sentencias Dictadas por Delitos de Abuso Sexual por Delito en el 13° Juzgado de Garantía de Región de Antofagasta para el Periodo 2013-2019</t>
  </si>
  <si>
    <t>Sentencias Dictadas por Delitos de Abuso Sexual por Delito en el 14° Juzgado de Garantía de Región de Atacama para el Periodo 2013-2019</t>
  </si>
  <si>
    <t>Sentencias Dictadas por Delitos de Abuso Sexual por Delito en el 15° Juzgado de Garantía de Región de Coquimbo para el Periodo 2013-2019</t>
  </si>
  <si>
    <t>Sentencias Dictadas por Delitos de Abuso Sexual por Delito en el 1° Juzgado de Garantía de Región de Valparaíso para el Periodo 2013-2019</t>
  </si>
  <si>
    <t>Sentencias Dictadas por Delitos de Abuso Sexual por Delito en el 2° Juzgado de Garantía de Región de O'Higgins para el Periodo 2013-2019</t>
  </si>
  <si>
    <t>Sentencias Dictadas por Delitos de Abuso Sexual por Delito en el 3° Juzgado de Garantía de Región de Maule para el Periodo 2013-2019</t>
  </si>
  <si>
    <t>Sentencias Dictadas por Delitos de Abuso Sexual por Delito en el 4° Juzgado de Garantía de Región del Biobío para el Periodo 2013-2019</t>
  </si>
  <si>
    <t>Sentencias Dictadas por Delitos de Abuso Sexual por Delito en el 5° Juzgado de Garantía de Región de La Araucanía para el Periodo 2013-2019</t>
  </si>
  <si>
    <t>Sentencias Dictadas por Delitos de Abuso Sexual por Delito en el 6° Juzgado de Garantía de Región de Los Lagos para el Periodo 2013-2019</t>
  </si>
  <si>
    <t>Sentencias Dictadas por Delitos de Abuso Sexual por Delito en el 7° Juzgado de Garantía de Región de Aysén para el Periodo 2013-2019</t>
  </si>
  <si>
    <t>Sentencias Dictadas por Delitos de Abuso Sexual por Delito en el 8° Juzgado de Garantía de Región de Magallanes para el Periodo 2013-2019</t>
  </si>
  <si>
    <t>Sentencias Dictadas por Delitos de Abuso Sexual por Delito en el 9° Juzgado de Garantía de Región Metropolitana para el Periodo 2013-2019</t>
  </si>
  <si>
    <t>Sentencias Dictadas por Delitos de Abuso Sexual por Delito en el Juzgado de Garantía de Región de Los Ríos para el Periodo 2013-2019</t>
  </si>
  <si>
    <t>Sentencias Dictadas por Delitos de Abuso Sexual por Delito en el Juzgado de Garantía de Región de Arica y Parinacota para el Periodo 2013-2019</t>
  </si>
  <si>
    <t>Sentencias Dictadas por Delitos de Abuso Sexual por Delito en el Juzgado de Garantía de Región de Ñuble para el Periodo 2013-2019</t>
  </si>
  <si>
    <t>Sentencias Dictadas por Delitos de Abuso Sexual por Delito en el Juzgado de Garantía de Región de Tarapacá para el Periodo 2013-2019</t>
  </si>
  <si>
    <t>Sentencias Dictadas por Delitos de Abuso Sexual por Delito en el Juzgado de Garantía de Región de Antofagasta para el Periodo 2013-2019</t>
  </si>
  <si>
    <t>Sentencias Dictadas por Delitos de Abuso Sexual por Delito en el Juzgado de Garantía de Región de Atacama para el Periodo 2013-2019</t>
  </si>
  <si>
    <t>Sentencias Dictadas por Delitos de Abuso Sexual por Delito en el Juzgado de Garantía de Región de Coquimbo para el Periodo 2013-2019</t>
  </si>
  <si>
    <t>Variación Trimestral de Sentencias Dictadas (%) por Delitos de Abuso Sexual  en la Chile, durante el Periodo 2013-2019</t>
  </si>
  <si>
    <t>Variación Trimestral de Sentencias Dictadas (%) en la Chile por Delito, durante el Periodo 2013-2019</t>
  </si>
  <si>
    <t>Variación Trimestral de Sentencias Dictadas (%) en la Región de Tarapacá por Juzgado de Garantía, durante el Periodo 2013-2019</t>
  </si>
  <si>
    <t>Variación Trimestral de Sentencias Dictadas (%) en la Región de Antofagasta por Juzgado de Garantía, durante el Periodo 2013-2019</t>
  </si>
  <si>
    <t>Variación Trimestral de Sentencias Dictadas (%) en la Región de Atacama por Juzgado de Garantía, durante el Periodo 2013-2019</t>
  </si>
  <si>
    <t>Variación Trimestral de Sentencias Dictadas (%) en la Región de Coquimbo por Juzgado de Garantía, durante el Periodo 2013-2019</t>
  </si>
  <si>
    <t>Variación Trimestral de Sentencias Dictadas (%) en la Región de Valparaíso por Juzgado de Garantía, durante el Periodo 2013-2019</t>
  </si>
  <si>
    <t>Variación Trimestral de Sentencias Dictadas (%) en la Región de O'Higgins por Juzgado de Garantía, durante el Periodo 2013-2019</t>
  </si>
  <si>
    <t>Variación Trimestral de Sentencias Dictadas (%) en la Región de Maule por Juzgado de Garantía, durante el Periodo 2013-2019</t>
  </si>
  <si>
    <t>Variación Trimestral de Sentencias Dictadas (%) en la Región del Biobío por Juzgado de Garantía, durante el Periodo 2013-2019</t>
  </si>
  <si>
    <t>Variación Trimestral de Sentencias Dictadas (%) en la Región de La Araucanía por Juzgado de Garantía, durante el Periodo 2013-2019</t>
  </si>
  <si>
    <t>Variación Trimestral de Sentencias Dictadas (%) en la Región de Los Lagos por Juzgado de Garantía, durante el Periodo 2013-2019</t>
  </si>
  <si>
    <t>Variación Trimestral de Sentencias Dictadas (%) en la Región de Aysén por Juzgado de Garantía, durante el Periodo 2013-2019</t>
  </si>
  <si>
    <t>Variación Trimestral de Sentencias Dictadas (%) en la Región de Magallanes por Juzgado de Garantía, durante el Periodo 2013-2019</t>
  </si>
  <si>
    <t>Variación Trimestral de Sentencias Dictadas (%) en la Región Metropolitana por Juzgado de Garantía, durante el Periodo 2013-2019</t>
  </si>
  <si>
    <t>Variación Trimestral de Sentencias Dictadas (%) en la Región de Los Ríos por Juzgado de Garantía, durante el Periodo 2013-2019</t>
  </si>
  <si>
    <t>Variación Trimestral de Sentencias Dictadas (%) en la Región de Arica y Parinacota por Juzgado de Garantía, durante el Periodo 2013-2019</t>
  </si>
  <si>
    <t>Variación Trimestral de Sentencias Dictadas (%) en la Región de Ñuble por Juzgado de Garantía, durante el Periodo 2013-2019</t>
  </si>
  <si>
    <t>Sentencias Dictadas por Delitos Vinculados a la Mujer por Tipo de Delito en la Región de Tarapacá durante el Periodo 2013-2019</t>
  </si>
  <si>
    <t>Sentencias Dictadas por Delitos Vinculados a la Mujer por Tipo de Delito en la Región de Antofagasta durante el Periodo 2013-2019</t>
  </si>
  <si>
    <t>Sentencias Dictadas por Delitos Vinculados a la Mujer por Tipo de Delito en la Región de Atacama durante el Periodo 2013-2019</t>
  </si>
  <si>
    <t>Sentencias Dictadas por Delitos Vinculados a la Mujer por Tipo de Delito en la Región de Coquimbo durante el Periodo 2013-2019</t>
  </si>
  <si>
    <t>Sentencias Dictadas por Delitos Vinculados a la Mujer por Tipo de Delito en la Región de Valparaíso durante el Periodo 2013-2019</t>
  </si>
  <si>
    <t>Sentencias Dictadas por Delitos Vinculados a la Mujer por Tipo de Delito en la Región de O'Higgins durante el Periodo 2013-2019</t>
  </si>
  <si>
    <t>Sentencias Dictadas por Delitos Vinculados a la Mujer por Tipo de Delito en la Región de Maule durante el Periodo 2013-2019</t>
  </si>
  <si>
    <t>Sentencias Dictadas por Delitos Vinculados a la Mujer por Tipo de Delito en la Región del Biobío durante el Periodo 2013-2019</t>
  </si>
  <si>
    <t>Sentencias Dictadas por Delitos Vinculados a la Mujer por Tipo de Delito en la Región de La Araucanía durante el Periodo 2013-2019</t>
  </si>
  <si>
    <t>Sentencias Dictadas por Delitos Vinculados a la Mujer por Tipo de Delito en la Región de Los Lagos durante el Periodo 2013-2019</t>
  </si>
  <si>
    <t>Sentencias Dictadas por Delitos Vinculados a la Mujer por Tipo de Delito en la Región de Aysén durante el Periodo 2013-2019</t>
  </si>
  <si>
    <t>Sentencias Dictadas por Delitos Vinculados a la Mujer por Tipo de Delito en la Región de Magallanes durante el Periodo 2013-2019</t>
  </si>
  <si>
    <t>Sentencias Dictadas por Delitos Vinculados a la Mujer por Tipo de Delito en la Región Metropolitana durante el Periodo 2013-2019</t>
  </si>
  <si>
    <t>Sentencias Dictadas por Delitos Vinculados a la Mujer por Tipo de Delito en la Región de Los Ríos durante el Periodo 2013-2019</t>
  </si>
  <si>
    <t>Sentencias Dictadas por Delitos Vinculados a la Mujer por Tipo de Delito en la Región de Arica y Parinacota durante el Periodo 2013-2019</t>
  </si>
  <si>
    <t>Sentencias Dictadas por Delitos Vinculados a la Mujer por Tipo de Delito en la Región de Ñuble durante el Periodo 2013-2019</t>
  </si>
  <si>
    <t>Sentencias Dictadas por Delitos Vinculados a la Mujer por Juzgado de Garantía en la Región de Tarapacá durante el Periodo 2013-2019</t>
  </si>
  <si>
    <t>Sentencias Dictadas por Delitos Vinculados a la Mujer por Juzgado de Garantía en la Región de Antofagasta durante el Periodo 2013-2019</t>
  </si>
  <si>
    <t>Sentencias Dictadas por Delitos Vinculados a la Mujer por Juzgado de Garantía en la Región de Atacama durante el Periodo 2013-2019</t>
  </si>
  <si>
    <t>Sentencias Dictadas por Delitos Vinculados a la Mujer por Juzgado de Garantía en la Región de Coquimbo durante el Periodo 2013-2019</t>
  </si>
  <si>
    <t>Sentencias Dictadas por Delitos Vinculados a la Mujer por Juzgado de Garantía en la Región de Valparaíso durante el Periodo 2013-2019</t>
  </si>
  <si>
    <t>Sentencias Dictadas por Delitos Vinculados a la Mujer por Juzgado de Garantía en la Región de O'Higgins durante el Periodo 2013-2019</t>
  </si>
  <si>
    <t>Sentencias Dictadas por Delitos Vinculados a la Mujer por Juzgado de Garantía en la Región de Maule durante el Periodo 2013-2019</t>
  </si>
  <si>
    <t>Sentencias Dictadas por Delitos Vinculados a la Mujer por Juzgado de Garantía en la Región del Biobío durante el Periodo 2013-2019</t>
  </si>
  <si>
    <t>Sentencias Dictadas por Delitos Vinculados a la Mujer por Juzgado de Garantía en la Región de La Araucanía durante el Periodo 2013-2019</t>
  </si>
  <si>
    <t>Sentencias Dictadas por Delitos Vinculados a la Mujer por Juzgado de Garantía en la Región de Los Lagos durante el Periodo 2013-2019</t>
  </si>
  <si>
    <t>Sentencias Dictadas por Delitos Vinculados a la Mujer por Juzgado de Garantía en la Región de Aysén durante el Periodo 2013-2019</t>
  </si>
  <si>
    <t>Sentencias Dictadas por Delitos Vinculados a la Mujer por Juzgado de Garantía en la Región de Magallanes durante el Periodo 2013-2019</t>
  </si>
  <si>
    <t>Sentencias Dictadas por Delitos Vinculados a la Mujer por Juzgado de Garantía en la Región Metropolitana durante el Periodo 2013-2019</t>
  </si>
  <si>
    <t>Sentencias Dictadas por Delitos Vinculados a la Mujer por Juzgado de Garantía en la Región de Los Ríos durante el Periodo 2013-2019</t>
  </si>
  <si>
    <t>Sentencias Dictadas por Delitos Vinculados a la Mujer por Juzgado de Garantía en la Región de Arica y Parinacota durante el Periodo 2013-2019</t>
  </si>
  <si>
    <t>Sentencias Dictadas por Delitos Vinculados a la Mujer por Juzgado de Garantía en la Región de Ñuble durante el Periodo 2013-2019</t>
  </si>
  <si>
    <t>Sentencias Dictadas por Delitos Vinculados a la Mujer por Delito en la Región de Antofagasta durante el Periodo 2013-2019</t>
  </si>
  <si>
    <t>Sentencias Dictadas por Delitos Vinculados a la Mujer por Delito en la Región de Atacama durante el Periodo 2013-2019</t>
  </si>
  <si>
    <t>Sentencias Dictadas por Delitos Vinculados a la Mujer por Delito en la Región de Coquimbo durante el Periodo 2013-2019</t>
  </si>
  <si>
    <t>Sentencias Dictadas por Delitos Vinculados a la Mujer por Delito en la Región de Valparaíso durante el Periodo 2013-2019</t>
  </si>
  <si>
    <t>Sentencias Dictadas por Delitos Vinculados a la Mujer por Delito en la Región de O'Higgins durante el Periodo 2013-2019</t>
  </si>
  <si>
    <t>Sentencias Dictadas por Delitos Vinculados a la Mujer por Delito en la Región de Maule durante el Periodo 2013-2019</t>
  </si>
  <si>
    <t>Sentencias Dictadas por Delitos Vinculados a la Mujer por Delito en la Región del Biobío durante el Periodo 2013-2019</t>
  </si>
  <si>
    <t>Sentencias Dictadas por Delitos Vinculados a la Mujer por Delito en la Región de La Araucanía durante el Periodo 2013-2019</t>
  </si>
  <si>
    <t>Sentencias Dictadas por Delitos Vinculados a la Mujer por Delito en la Región de Los Lagos durante el Periodo 2013-2019</t>
  </si>
  <si>
    <t>Sentencias Dictadas por Delitos Vinculados a la Mujer por Delito en la Región de Aysén durante el Periodo 2013-2019</t>
  </si>
  <si>
    <t>Sentencias Dictadas por Delitos Vinculados a la Mujer por Delito en la Región de Magallanes durante el Periodo 2013-2019</t>
  </si>
  <si>
    <t>Sentencias Dictadas por Delitos Vinculados a la Mujer por Delito en la Región Metropolitana durante el Periodo 2013-2019</t>
  </si>
  <si>
    <t>Sentencias Dictadas por Delitos Vinculados a la Mujer por Delito en la Región de Los Ríos durante el Periodo 2013-2019</t>
  </si>
  <si>
    <t>Sentencias Dictadas por Delitos Vinculados a la Mujer por Delito en la Región de Arica y Parinacota durante el Periodo 2013-2019</t>
  </si>
  <si>
    <t>Sentencias Dictadas por Delitos Vinculados a la Mujer por Delito en la Región de Ñuble durante el Periodo 2013-2019</t>
  </si>
  <si>
    <t>Sentencias Dictadas por Delitos Vinculados a la Mujer por Tipo de Delito en el Juzgado de Garantía de Iquique para el Periodo 2013-2019</t>
  </si>
  <si>
    <t>Sentencias Dictadas por Delitos Vinculados a la Mujer por Tipo de Delito en el Juzgado de Garantía de Antofagasta para el Periodo 2013-2019</t>
  </si>
  <si>
    <t>Sentencias Dictadas por Delitos Vinculados a la Mujer por Tipo de Delito en el Juzgado de Garantía de Calama para el Periodo 2013-2019</t>
  </si>
  <si>
    <t>Sentencias Dictadas por Delitos Vinculados a la Mujer por Tipo de Delito en el Juzgado de Garantía de Tocopilla para el Periodo 2013-2019</t>
  </si>
  <si>
    <t>Sentencias Dictadas por Delitos Vinculados a la Mujer por Tipo de Delito en el Juzgado de Garantía de Copiapo para el Periodo 2013-2019</t>
  </si>
  <si>
    <t>Sentencias Dictadas por Delitos Vinculados a la Mujer por Tipo de Delito en el Juzgado de Garantía de Diego de Almagro para el Periodo 2013-2019</t>
  </si>
  <si>
    <t>Sentencias Dictadas por Delitos Vinculados a la Mujer por Tipo de Delito en el Juzgado de Garantía de Vallenar para el Periodo 2013-2019</t>
  </si>
  <si>
    <t>Sentencias Dictadas por Delitos Vinculados a la Mujer por Tipo de Delito en el Juzgado de Garantía de Coquimbo para el Periodo 2013-2019</t>
  </si>
  <si>
    <t>Sentencias Dictadas por Delitos Vinculados a la Mujer por Tipo de Delito en el Juzgado de Garantía de Illapel para el Periodo 2013-2019</t>
  </si>
  <si>
    <t>Sentencias Dictadas por Delitos Vinculados a la Mujer por Tipo de Delito en el Juzgado de Garantía de La Serena para el Periodo 2013-2019</t>
  </si>
  <si>
    <t>Sentencias Dictadas por Delitos Vinculados a la Mujer por Tipo de Delito en el Juzgado de Garantía de Ovalle para el Periodo 2013-2019</t>
  </si>
  <si>
    <t>Sentencias Dictadas por Delitos Vinculados a la Mujer por Tipo de Delito en el Juzgado de Garantía de Vicuña para el Periodo 2013-2019</t>
  </si>
  <si>
    <t>Sentencias Dictadas por Delitos Vinculados a la Mujer por Tipo de Delito en el Juzgado de Garantía de Calera para el Periodo 2013-2019</t>
  </si>
  <si>
    <t>Sentencias Dictadas por Delitos Vinculados a la Mujer por Tipo de Delito en el Juzgado de Garantía de La Ligua para el Periodo 2013-2019</t>
  </si>
  <si>
    <t>Sentencias Dictadas por Delitos Vinculados a la Mujer por Tipo de Delito en el Juzgado de Garantía de Limache para el Periodo 2013-2019</t>
  </si>
  <si>
    <t>Sentencias Dictadas por Delitos Vinculados a la Mujer por Tipo de Delito en el Juzgado de Garantía de Los Andes para el Periodo 2013-2019</t>
  </si>
  <si>
    <t>Sentencias Dictadas por Delitos Vinculados a la Mujer por Tipo de Delito en el Juzgado de Garantía de Quillota para el Periodo 2013-2019</t>
  </si>
  <si>
    <t>Sentencias Dictadas por Delitos Vinculados a la Mujer por Tipo de Delito en el Juzgado de Garantía de Quilpue para el Periodo 2013-2019</t>
  </si>
  <si>
    <t>Sentencias Dictadas por Delitos Vinculados a la Mujer por Tipo de Delito en el Juzgado de Garantía de San Felipe para el Periodo 2013-2019</t>
  </si>
  <si>
    <t>Sentencias Dictadas por Delitos Vinculados a la Mujer por Tipo de Delito en el Juzgado de Garantía de Valparaiso para el Periodo 2013-2019</t>
  </si>
  <si>
    <t>Sentencias Dictadas por Delitos Vinculados a la Mujer por Tipo de Delito en el Juzgado de Garantía de Villa Alemana para el Periodo 2013-2019</t>
  </si>
  <si>
    <t>Sentencias Dictadas por Delitos Vinculados a la Mujer por Tipo de Delito en el Juzgado de Garantía de Viña Del Mar para el Periodo 2013-2019</t>
  </si>
  <si>
    <t>Sentencias Dictadas por Delitos Vinculados a la Mujer por Tipo de Delito en el Juzgado de Garantía de Graneros para el Periodo 2013-2019</t>
  </si>
  <si>
    <t>Sentencias Dictadas por Delitos Vinculados a la Mujer por Tipo de Delito en el Juzgado de Garantía de Rancagua para el Periodo 2013-2019</t>
  </si>
  <si>
    <t>Sentencias Dictadas por Delitos Vinculados a la Mujer por Tipo de Delito en el Juzgado de Garantía de Rengo para el Periodo 2013-2019</t>
  </si>
  <si>
    <t>Sentencias Dictadas por Delitos Vinculados a la Mujer por Tipo de Delito en el Juzgado de Garantía de San Fernando para el Periodo 2013-2019</t>
  </si>
  <si>
    <t>Sentencias Dictadas por Delitos Vinculados a la Mujer por Tipo de Delito en el Juzgado de Garantía de San Vicente para el Periodo 2013-2019</t>
  </si>
  <si>
    <t>Sentencias Dictadas por Delitos Vinculados a la Mujer por Tipo de Delito en el Juzgado de Garantía de Santa Cruz para el Periodo 2013-2019</t>
  </si>
  <si>
    <t>Sentencias Dictadas por Delitos Vinculados a la Mujer por Tipo de Delito en el Juzgado de Garantía de Cauquenes para el Periodo 2013-2019</t>
  </si>
  <si>
    <t>Sentencias Dictadas por Delitos Vinculados a la Mujer por Tipo de Delito en el Juzgado de Garantía de Constitucion para el Periodo 2013-2019</t>
  </si>
  <si>
    <t>Sentencias Dictadas por Delitos Vinculados a la Mujer por Tipo de Delito en el Juzgado de Garantía de Curico para el Periodo 2013-2019</t>
  </si>
  <si>
    <t>Sentencias Dictadas por Delitos Vinculados a la Mujer por Tipo de Delito en el Juzgado de Garantía de Linares para el Periodo 2013-2019</t>
  </si>
  <si>
    <t>Sentencias Dictadas por Delitos Vinculados a la Mujer por Tipo de Delito en el Juzgado de Garantía de Molina para el Periodo 2013-2019</t>
  </si>
  <si>
    <t>Sentencias Dictadas por Delitos Vinculados a la Mujer por Tipo de Delito en el Juzgado de Garantía de Parral para el Periodo 2013-2019</t>
  </si>
  <si>
    <t>Sentencias Dictadas por Delitos Vinculados a la Mujer por Tipo de Delito en el Juzgado de Garantía de San Javier para el Periodo 2013-2019</t>
  </si>
  <si>
    <t>Sentencias Dictadas por Delitos Vinculados a la Mujer por Tipo de Delito en el Juzgado de Garantía de Talca para el Periodo 2013-2019</t>
  </si>
  <si>
    <t>Sentencias Dictadas por Delitos Vinculados a la Mujer por Tipo de Delito en el Juzgado de Garantía de Arauco para el Periodo 2013-2019</t>
  </si>
  <si>
    <t>Sentencias Dictadas por Delitos Vinculados a la Mujer por Tipo de Delito en el Juzgado de Garantía de Cañete para el Periodo 2013-2019</t>
  </si>
  <si>
    <t>Sentencias Dictadas por Delitos Vinculados a la Mujer por Tipo de Delito en el Juzgado de Garantía de Chiguayante para el Periodo 2013-2019</t>
  </si>
  <si>
    <t>Sentencias Dictadas por Delitos Vinculados a la Mujer por Tipo de Delito en el Juzgado de Garantía de Concepcion para el Periodo 2013-2019</t>
  </si>
  <si>
    <t>Sentencias Dictadas por Delitos Vinculados a la Mujer por Tipo de Delito en el Juzgado de Garantía de Coronel para el Periodo 2013-2019</t>
  </si>
  <si>
    <t>Sentencias Dictadas por Delitos Vinculados a la Mujer por Tipo de Delito en el Juzgado de Garantía de Los Angeles para el Periodo 2013-2019</t>
  </si>
  <si>
    <t>Sentencias Dictadas por Delitos Vinculados a la Mujer por Tipo de Delito en el Juzgado de Garantía de Talcahuano para el Periodo 2013-2019</t>
  </si>
  <si>
    <t>Sentencias Dictadas por Delitos Vinculados a la Mujer por Tipo de Delito en el Juzgado de Garantía de Tome para el Periodo 2013-2019</t>
  </si>
  <si>
    <t>Sentencias Dictadas por Delitos Vinculados a la Mujer por Tipo de Delito en el Juzgado de Garantía de Angol para el Periodo 2013-2019</t>
  </si>
  <si>
    <t>Sentencias Dictadas por Delitos Vinculados a la Mujer por Tipo de Delito en el Juzgado de Garantía de Lautaro para el Periodo 2013-2019</t>
  </si>
  <si>
    <t>Sentencias Dictadas por Delitos Vinculados a la Mujer por Tipo de Delito en el Juzgado de Garantía de Loncoche para el Periodo 2013-2019</t>
  </si>
  <si>
    <t>Sentencias Dictadas por Delitos Vinculados a la Mujer por Tipo de Delito en el Juzgado de Garantía de Nueva Imperial para el Periodo 2013-2019</t>
  </si>
  <si>
    <t>Sentencias Dictadas por Delitos Vinculados a la Mujer por Tipo de Delito en el Juzgado de Garantía de Pitrufquen para el Periodo 2013-2019</t>
  </si>
  <si>
    <t>Sentencias Dictadas por Delitos Vinculados a la Mujer por Tipo de Delito en el Juzgado de Garantía de Temuco para el Periodo 2013-2019</t>
  </si>
  <si>
    <t>Sentencias Dictadas por Delitos Vinculados a la Mujer por Tipo de Delito en el Juzgado de Garantía de Victoria para el Periodo 2013-2019</t>
  </si>
  <si>
    <t>Sentencias Dictadas por Delitos Vinculados a la Mujer por Tipo de Delito en el Juzgado de Garantía de Villarrica para el Periodo 2013-2019</t>
  </si>
  <si>
    <t>Sentencias Dictadas por Delitos Vinculados a la Mujer por Tipo de Delito en el Juzgado de Garantía de Ancud para el Periodo 2013-2019</t>
  </si>
  <si>
    <t>Sentencias Dictadas por Delitos Vinculados a la Mujer por Tipo de Delito en el Juzgado de Garantía de Castro para el Periodo 2013-2019</t>
  </si>
  <si>
    <t>Sentencias Dictadas por Delitos Vinculados a la Mujer por Tipo de Delito en el Juzgado de Garantía de Osorno para el Periodo 2013-2019</t>
  </si>
  <si>
    <t>Sentencias Dictadas por Delitos Vinculados a la Mujer por Tipo de Delito en el Juzgado de Garantía de Puerto Montt para el Periodo 2013-2019</t>
  </si>
  <si>
    <t>Sentencias Dictadas por Delitos Vinculados a la Mujer por Tipo de Delito en el Juzgado de Garantía de Puerto Varas para el Periodo 2013-2019</t>
  </si>
  <si>
    <t>Sentencias Dictadas por Delitos Vinculados a la Mujer por Tipo de Delito en el Juzgado de Garantía de Rio Negro para el Periodo 2013-2019</t>
  </si>
  <si>
    <t>Sentencias Dictadas por Delitos Vinculados a la Mujer por Tipo de Delito en el Juzgado de Garantía de Coyhaique para el Periodo 2013-2019</t>
  </si>
  <si>
    <t>Sentencias Dictadas por Delitos Vinculados a la Mujer por Tipo de Delito en el Juzgado de Garantía de Punta Arenas para el Periodo 2013-2019</t>
  </si>
  <si>
    <t>Sentencias Dictadas por Delitos Vinculados a la Mujer por Tipo de Delito en el Juzgado de Garantía de Santiago para el Periodo 2013-2019</t>
  </si>
  <si>
    <t>Sentencias Dictadas por Delitos Vinculados a la Mujer por Tipo de Delito en el Juzgado de Garantía de Los Lagos para el Periodo 2013-2019</t>
  </si>
  <si>
    <t>Sentencias Dictadas por Delitos Vinculados a la Mujer por Tipo de Delito en el Juzgado de Garantía de Mariquina para el Periodo 2013-2019</t>
  </si>
  <si>
    <t>Sentencias Dictadas por Delitos Vinculados a la Mujer por Tipo de Delito en el Juzgado de Garantía de Valdivia para el Periodo 2013-2019</t>
  </si>
  <si>
    <t>Sentencias Dictadas por Delitos Vinculados a la Mujer por Tipo de Delito en el Juzgado de Garantía de Arica para el Periodo 2013-2019</t>
  </si>
  <si>
    <t>Sentencias Dictadas por Delitos Vinculados a la Mujer por Tipo de Delito en el Juzgado de Garantía de Chillan para el Periodo 2013-2019</t>
  </si>
  <si>
    <t>Sentencias Dictadas por Delitos Vinculados a la Mujer por Tipo de Delito en el Juzgado de Garantía de San Carlos para el Periodo 2013-2019</t>
  </si>
  <si>
    <t>Sentencias Dictadas por Delitos Vinculados a la Mujer por Tipo de Delito en el Juzgado de Garantía de Yungay para el Periodo 2013-2019</t>
  </si>
  <si>
    <t>Sentencias Dictadas por Delitos Vinculados a la Mujer por Delito en el Juzgado de Garantía de Iquique para el Periodo 2013-2019</t>
  </si>
  <si>
    <t>Sentencias Dictadas por Delitos Vinculados a la Mujer por Delito en el Juzgado de Garantía de Antofagasta para el Periodo 2013-2019</t>
  </si>
  <si>
    <t>Sentencias Dictadas por Delitos Vinculados a la Mujer por Delito en el Juzgado de Garantía de Calama para el Periodo 2013-2019</t>
  </si>
  <si>
    <t>Sentencias Dictadas por Delitos Vinculados a la Mujer por Delito en el Juzgado de Garantía de Tocopilla para el Periodo 2013-2019</t>
  </si>
  <si>
    <t>Sentencias Dictadas por Delitos Vinculados a la Mujer por Delito en el Juzgado de Garantía de Copiapo para el Periodo 2013-2019</t>
  </si>
  <si>
    <t>Sentencias Dictadas por Delitos Vinculados a la Mujer por Delito en el Juzgado de Garantía de Diego de Almagro para el Periodo 2013-2019</t>
  </si>
  <si>
    <t>Sentencias Dictadas por Delitos Vinculados a la Mujer por Delito en el Juzgado de Garantía de Vallenar para el Periodo 2013-2019</t>
  </si>
  <si>
    <t>Sentencias Dictadas por Delitos Vinculados a la Mujer por Delito en el Juzgado de Garantía de Coquimbo para el Periodo 2013-2019</t>
  </si>
  <si>
    <t>Sentencias Dictadas por Delitos Vinculados a la Mujer por Delito en el Juzgado de Garantía de Illapel para el Periodo 2013-2019</t>
  </si>
  <si>
    <t>Sentencias Dictadas por Delitos Vinculados a la Mujer por Delito en el Juzgado de Garantía de La Serena para el Periodo 2013-2019</t>
  </si>
  <si>
    <t>Sentencias Dictadas por Delitos Vinculados a la Mujer por Delito en el Juzgado de Garantía de Ovalle para el Periodo 2013-2019</t>
  </si>
  <si>
    <t>Sentencias Dictadas por Delitos Vinculados a la Mujer por Delito en el Juzgado de Garantía de Vicuña para el Periodo 2013-2019</t>
  </si>
  <si>
    <t>Sentencias Dictadas por Delitos Vinculados a la Mujer por Delito en el Juzgado de Garantía de Calera para el Periodo 2013-2019</t>
  </si>
  <si>
    <t>Sentencias Dictadas por Delitos Vinculados a la Mujer por Delito en el Juzgado de Garantía de La Ligua para el Periodo 2013-2019</t>
  </si>
  <si>
    <t>Sentencias Dictadas por Delitos Vinculados a la Mujer por Delito en el Juzgado de Garantía de Limache para el Periodo 2013-2019</t>
  </si>
  <si>
    <t>Sentencias Dictadas por Delitos Vinculados a la Mujer por Delito en el Juzgado de Garantía de Los Andes para el Periodo 2013-2019</t>
  </si>
  <si>
    <t>Sentencias Dictadas por Delitos Vinculados a la Mujer por Delito en el Juzgado de Garantía de Quillota para el Periodo 2013-2019</t>
  </si>
  <si>
    <t>Sentencias Dictadas por Delitos Vinculados a la Mujer por Delito en el Juzgado de Garantía de Quilpue para el Periodo 2013-2019</t>
  </si>
  <si>
    <t>Sentencias Dictadas por Delitos Vinculados a la Mujer por Delito en el Juzgado de Garantía de San Felipe para el Periodo 2013-2019</t>
  </si>
  <si>
    <t>Sentencias Dictadas por Delitos Vinculados a la Mujer por Delito en el Juzgado de Garantía de Valparaiso para el Periodo 2013-2019</t>
  </si>
  <si>
    <t>Sentencias Dictadas por Delitos Vinculados a la Mujer por Delito en el Juzgado de Garantía de Villa Alemana para el Periodo 2013-2019</t>
  </si>
  <si>
    <t>Sentencias Dictadas por Delitos Vinculados a la Mujer por Delito en el Juzgado de Garantía de Viña Del Mar para el Periodo 2013-2019</t>
  </si>
  <si>
    <t>Sentencias Dictadas por Delitos Vinculados a la Mujer por Delito en el Juzgado de Garantía de Graneros para el Periodo 2013-2019</t>
  </si>
  <si>
    <t>Sentencias Dictadas por Delitos Vinculados a la Mujer por Delito en el Juzgado de Garantía de Rancagua para el Periodo 2013-2019</t>
  </si>
  <si>
    <t>Sentencias Dictadas por Delitos Vinculados a la Mujer por Delito en el Juzgado de Garantía de Rengo para el Periodo 2013-2019</t>
  </si>
  <si>
    <t>Sentencias Dictadas por Delitos Vinculados a la Mujer por Delito en el Juzgado de Garantía de San Fernando para el Periodo 2013-2019</t>
  </si>
  <si>
    <t>Sentencias Dictadas por Delitos Vinculados a la Mujer por Delito en el Juzgado de Garantía de San Vicente para el Periodo 2013-2019</t>
  </si>
  <si>
    <t>Sentencias Dictadas por Delitos Vinculados a la Mujer por Delito en el Juzgado de Garantía de Santa Cruz para el Periodo 2013-2019</t>
  </si>
  <si>
    <t>Sentencias Dictadas por Delitos Vinculados a la Mujer por Delito en el Juzgado de Garantía de Cauquenes para el Periodo 2013-2019</t>
  </si>
  <si>
    <t>Sentencias Dictadas por Delitos Vinculados a la Mujer por Delito en el Juzgado de Garantía de Constitucion para el Periodo 2013-2019</t>
  </si>
  <si>
    <t>Sentencias Dictadas por Delitos Vinculados a la Mujer por Delito en el Juzgado de Garantía de Curico para el Periodo 2013-2019</t>
  </si>
  <si>
    <t>Sentencias Dictadas por Delitos Vinculados a la Mujer por Delito en el Juzgado de Garantía de Linares para el Periodo 2013-2019</t>
  </si>
  <si>
    <t>Sentencias Dictadas por Delitos Vinculados a la Mujer por Delito en el Juzgado de Garantía de Molina para el Periodo 2013-2019</t>
  </si>
  <si>
    <t>Sentencias Dictadas por Delitos Vinculados a la Mujer por Delito en el Juzgado de Garantía de Parral para el Periodo 2013-2019</t>
  </si>
  <si>
    <t>Sentencias Dictadas por Delitos Vinculados a la Mujer por Delito en el Juzgado de Garantía de San Javier para el Periodo 2013-2019</t>
  </si>
  <si>
    <t>Sentencias Dictadas por Delitos Vinculados a la Mujer por Delito en el Juzgado de Garantía de Talca para el Periodo 2013-2019</t>
  </si>
  <si>
    <t>Sentencias Dictadas por Delitos Vinculados a la Mujer por Delito en el Juzgado de Garantía de Arauco para el Periodo 2013-2019</t>
  </si>
  <si>
    <t>Sentencias Dictadas por Delitos Vinculados a la Mujer por Delito en el Juzgado de Garantía de Cañete para el Periodo 2013-2019</t>
  </si>
  <si>
    <t>Sentencias Dictadas por Delitos Vinculados a la Mujer por Delito en el Juzgado de Garantía de Chiguayante para el Periodo 2013-2019</t>
  </si>
  <si>
    <t>Sentencias Dictadas por Delitos Vinculados a la Mujer por Delito en el Juzgado de Garantía de Concepcion para el Periodo 2013-2019</t>
  </si>
  <si>
    <t>Sentencias Dictadas por Delitos Vinculados a la Mujer por Delito en el Juzgado de Garantía de Coronel para el Periodo 2013-2019</t>
  </si>
  <si>
    <t>Sentencias Dictadas por Delitos Vinculados a la Mujer por Delito en el Juzgado de Garantía de Los Angeles para el Periodo 2013-2019</t>
  </si>
  <si>
    <t>Sentencias Dictadas por Delitos Vinculados a la Mujer por Delito en el Juzgado de Garantía de Talcahuano para el Periodo 2013-2019</t>
  </si>
  <si>
    <t>Sentencias Dictadas por Delitos Vinculados a la Mujer por Delito en el Juzgado de Garantía de Tome para el Periodo 2013-2019</t>
  </si>
  <si>
    <t>Sentencias Dictadas por Delitos Vinculados a la Mujer por Delito en el Juzgado de Garantía de Angol para el Periodo 2013-2019</t>
  </si>
  <si>
    <t>Sentencias Dictadas por Delitos Vinculados a la Mujer por Delito en el Juzgado de Garantía de Lautaro para el Periodo 2013-2019</t>
  </si>
  <si>
    <t>Sentencias Dictadas por Delitos Vinculados a la Mujer por Delito en el Juzgado de Garantía de Loncoche para el Periodo 2013-2019</t>
  </si>
  <si>
    <t>Sentencias Dictadas por Delitos Vinculados a la Mujer por Delito en el Juzgado de Garantía de Nueva Imperial para el Periodo 2013-2019</t>
  </si>
  <si>
    <t>Sentencias Dictadas por Delitos Vinculados a la Mujer por Delito en el Juzgado de Garantía de Pitrufquen para el Periodo 2013-2019</t>
  </si>
  <si>
    <t>Sentencias Dictadas por Delitos Vinculados a la Mujer por Delito en el Juzgado de Garantía de Temuco para el Periodo 2013-2019</t>
  </si>
  <si>
    <t>Sentencias Dictadas por Delitos Vinculados a la Mujer por Delito en el Juzgado de Garantía de Victoria para el Periodo 2013-2019</t>
  </si>
  <si>
    <t>Sentencias Dictadas por Delitos Vinculados a la Mujer por Delito en el Juzgado de Garantía de Villarrica para el Periodo 2013-2019</t>
  </si>
  <si>
    <t>Sentencias Dictadas por Delitos Vinculados a la Mujer por Delito en el Juzgado de Garantía de Ancud para el Periodo 2013-2019</t>
  </si>
  <si>
    <t>Sentencias Dictadas por Delitos Vinculados a la Mujer por Delito en el Juzgado de Garantía de Castro para el Periodo 2013-2019</t>
  </si>
  <si>
    <t>Sentencias Dictadas por Delitos Vinculados a la Mujer por Delito en el Juzgado de Garantía de Osorno para el Periodo 2013-2019</t>
  </si>
  <si>
    <t>Sentencias Dictadas por Delitos Vinculados a la Mujer por Delito en el Juzgado de Garantía de Puerto Montt para el Periodo 2013-2019</t>
  </si>
  <si>
    <t>Sentencias Dictadas por Delitos Vinculados a la Mujer por Delito en el Juzgado de Garantía de Puerto Varas para el Periodo 2013-2019</t>
  </si>
  <si>
    <t>Sentencias Dictadas por Delitos Vinculados a la Mujer por Delito en el Juzgado de Garantía de Rio Negro para el Periodo 2013-2019</t>
  </si>
  <si>
    <t>Sentencias Dictadas por Delitos Vinculados a la Mujer por Delito en el Juzgado de Garantía de Coyhaique para el Periodo 2013-2019</t>
  </si>
  <si>
    <t>Sentencias Dictadas por Delitos Vinculados a la Mujer por Delito en el Juzgado de Garantía de Punta Arenas para el Periodo 2013-2019</t>
  </si>
  <si>
    <t>Sentencias Dictadas por Delitos Vinculados a la Mujer por Delito en el Juzgado de Garantía de Santiago para el Periodo 2013-2019</t>
  </si>
  <si>
    <t>Sentencias Dictadas por Delitos Vinculados a la Mujer por Delito en el Juzgado de Garantía de Los Lagos para el Periodo 2013-2019</t>
  </si>
  <si>
    <t>Sentencias Dictadas por Delitos Vinculados a la Mujer por Delito en el Juzgado de Garantía de Mariquina para el Periodo 2013-2019</t>
  </si>
  <si>
    <t>Sentencias Dictadas por Delitos Vinculados a la Mujer por Delito en el Juzgado de Garantía de Valdivia para el Periodo 2013-2019</t>
  </si>
  <si>
    <t>Sentencias Dictadas por Delitos Vinculados a la Mujer por Delito en el Juzgado de Garantía de Arica para el Periodo 2013-2019</t>
  </si>
  <si>
    <t>Sentencias Dictadas por Delitos Vinculados a la Mujer por Delito en el Juzgado de Garantía de Chillan para el Periodo 2013-2019</t>
  </si>
  <si>
    <t>Sentencias Dictadas por Delitos Vinculados a la Mujer por Delito en el Juzgado de Garantía de San Carlos para el Periodo 2013-2019</t>
  </si>
  <si>
    <t>Sentencias Dictadas por Delitos Vinculados a la Mujer por Delito en el Juzgado de Garantía de Yungay para el Periodo 2013-2019</t>
  </si>
  <si>
    <t>Variación Trimestral de Sentencias Dictadas (%) en la Región de Tarapacá por Tipo de Delito, durante el Periodo 2013-2019</t>
  </si>
  <si>
    <t>Variación Trimestral de Sentencias Dictadas (%) en la Región de Antofagasta por Tipo de Delito, durante el Periodo 2013-2019</t>
  </si>
  <si>
    <t>Variación Trimestral de Sentencias Dictadas (%) en la Región de Atacama por Tipo de Delito, durante el Periodo 2013-2019</t>
  </si>
  <si>
    <t>Variación Trimestral de Sentencias Dictadas (%) en la Región de Coquimbo por Tipo de Delito, durante el Periodo 2013-2019</t>
  </si>
  <si>
    <t>Variación Trimestral de Sentencias Dictadas (%) en la Región de Valparaíso por Tipo de Delito, durante el Periodo 2013-2019</t>
  </si>
  <si>
    <t>Variación Trimestral de Sentencias Dictadas (%) en la Región de O'Higgins por Tipo de Delito, durante el Periodo 2013-2019</t>
  </si>
  <si>
    <t>Variación Trimestral de Sentencias Dictadas (%) en la Región de Maule por Tipo de Delito, durante el Periodo 2013-2019</t>
  </si>
  <si>
    <t>Variación Trimestral de Sentencias Dictadas (%) en la Región del Biobío por Tipo de Delito, durante el Periodo 2013-2019</t>
  </si>
  <si>
    <t>Variación Trimestral de Sentencias Dictadas (%) en la Región de La Araucanía por Tipo de Delito, durante el Periodo 2013-2019</t>
  </si>
  <si>
    <t>Variación Trimestral de Sentencias Dictadas (%) en la Región de Los Lagos por Tipo de Delito, durante el Periodo 2013-2019</t>
  </si>
  <si>
    <t>Variación Trimestral de Sentencias Dictadas (%) en la Región de Aysén por Tipo de Delito, durante el Periodo 2013-2019</t>
  </si>
  <si>
    <t>Variación Trimestral de Sentencias Dictadas (%) en la Región de Magallanes por Tipo de Delito, durante el Periodo 2013-2019</t>
  </si>
  <si>
    <t>Variación Trimestral de Sentencias Dictadas (%) en la Región Metropolitana por Tipo de Delito, durante el Periodo 2013-2019</t>
  </si>
  <si>
    <t>Variación Trimestral de Sentencias Dictadas (%) en la Región de Los Ríos por Tipo de Delito, durante el Periodo 2013-2019</t>
  </si>
  <si>
    <t>Variación Trimestral de Sentencias Dictadas (%) en la Región de Arica y Parinacota por Tipo de Delito, durante el Periodo 2013-2019</t>
  </si>
  <si>
    <t>Variación Trimestral de Sentencias Dictadas (%) en la Región de Ñuble por Tipo de Delito, durante el Periodo 2013-2019</t>
  </si>
  <si>
    <t>Variación Trimestral de Sentencias Dictadas (%) en la Región de Tarapacá por Delito, durante el Periodo 2013-2019</t>
  </si>
  <si>
    <t>Variación Trimestral de Sentencias Dictadas (%) en la Región de Antofagasta por Delito, durante el Periodo 2013-2019</t>
  </si>
  <si>
    <t>Variación Trimestral de Sentencias Dictadas (%) en la Región de Atacama por Delito, durante el Periodo 2013-2019</t>
  </si>
  <si>
    <t>Variación Trimestral de Sentencias Dictadas (%) en la Región de Coquimbo por Delito, durante el Periodo 2013-2019</t>
  </si>
  <si>
    <t>Variación Trimestral de Sentencias Dictadas (%) en la Región de Valparaíso por Delito, durante el Periodo 2013-2019</t>
  </si>
  <si>
    <t>Variación Trimestral de Sentencias Dictadas (%) en la Región de O'Higgins por Delito, durante el Periodo 2013-2019</t>
  </si>
  <si>
    <t>Variación Trimestral de Sentencias Dictadas (%) en la Región de Maule por Delito, durante el Periodo 2013-2019</t>
  </si>
  <si>
    <t>Variación Trimestral de Sentencias Dictadas (%) en la Región del Biobío por Delito, durante el Periodo 2013-2019</t>
  </si>
  <si>
    <t>Variación Trimestral de Sentencias Dictadas (%) en la Región de La Araucanía por Delito, durante el Periodo 2013-2019</t>
  </si>
  <si>
    <t>Variación Trimestral de Sentencias Dictadas (%) en la Región de Los Lagos por Delito, durante el Periodo 2013-2019</t>
  </si>
  <si>
    <t>Variación Trimestral de Sentencias Dictadas (%) en la Región de Aysén por Delito, durante el Periodo 2013-2019</t>
  </si>
  <si>
    <t>Variación Trimestral de Sentencias Dictadas (%) en la Región de Magallanes por Delito, durante el Periodo 2013-2019</t>
  </si>
  <si>
    <t>Variación Trimestral de Sentencias Dictadas (%) en la Región Metropolitana por Delito, durante el Periodo 2013-2019</t>
  </si>
  <si>
    <t>Variación Trimestral de Sentencias Dictadas (%) en la Región de Los Ríos por Delito, durante el Periodo 2013-2019</t>
  </si>
  <si>
    <t>Variación Trimestral de Sentencias Dictadas (%) en la Región de Arica y Parinacota por Delito, durante el Periodo 2013-2019</t>
  </si>
  <si>
    <t>Variación Trimestral de Sentencias Dictadas (%) en la Región de Ñuble por Delito, durante el Periodo 2013-2019</t>
  </si>
  <si>
    <t>Variación Trimestral de Sentencias Dictadas (%) por Delitos Vinculados a la Mujer en la Región de Tarapacá, por Juzgado de Garantía, durante el Periodo 2013-2019</t>
  </si>
  <si>
    <t>Variación Trimestral de Sentencias Dictadas (%) por Delitos Vinculados a la Mujer en la Región de Antofagasta, por Juzgado de Garantía, durante el Periodo 2013-2019</t>
  </si>
  <si>
    <t>Variación Trimestral de Sentencias Dictadas (%) por Delitos Vinculados a la Mujer en la Región de Atacama, por Juzgado de Garantía, durante el Periodo 2013-2019</t>
  </si>
  <si>
    <t>Variación Trimestral de Sentencias Dictadas (%) por Delitos Vinculados a la Mujer en la Región de Coquimbo, por Juzgado de Garantía, durante el Periodo 2013-2019</t>
  </si>
  <si>
    <t>Variación Trimestral de Sentencias Dictadas (%) por Delitos Vinculados a la Mujer en la Región de Valparaíso, por Juzgado de Garantía, durante el Periodo 2013-2019</t>
  </si>
  <si>
    <t>Variación Trimestral de Sentencias Dictadas (%) por Delitos Vinculados a la Mujer en la Región de O'Higgins, por Juzgado de Garantía, durante el Periodo 2013-2019</t>
  </si>
  <si>
    <t>Variación Trimestral de Sentencias Dictadas (%) por Delitos Vinculados a la Mujer en la Región de Maule, por Juzgado de Garantía, durante el Periodo 2013-2019</t>
  </si>
  <si>
    <t>Variación Trimestral de Sentencias Dictadas (%) por Delitos Vinculados a la Mujer en la Región del Biobío, por Juzgado de Garantía, durante el Periodo 2013-2019</t>
  </si>
  <si>
    <t>Variación Trimestral de Sentencias Dictadas (%) por Delitos Vinculados a la Mujer en la Región de La Araucanía, por Juzgado de Garantía, durante el Periodo 2013-2019</t>
  </si>
  <si>
    <t>Variación Trimestral de Sentencias Dictadas (%) por Delitos Vinculados a la Mujer en la Región de Los Lagos, por Juzgado de Garantía, durante el Periodo 2013-2019</t>
  </si>
  <si>
    <t>Variación Trimestral de Sentencias Dictadas (%) por Delitos Vinculados a la Mujer en la Región de Aysén, por Juzgado de Garantía, durante el Periodo 2013-2019</t>
  </si>
  <si>
    <t>Variación Trimestral de Sentencias Dictadas (%) por Delitos Vinculados a la Mujer en la Región de Magallanes, por Juzgado de Garantía, durante el Periodo 2013-2019</t>
  </si>
  <si>
    <t>Variación Trimestral de Sentencias Dictadas (%) por Delitos Vinculados a la Mujer en la Región Metropolitana, por Juzgado de Garantía, durante el Periodo 2013-2019</t>
  </si>
  <si>
    <t>Variación Trimestral de Sentencias Dictadas (%) por Delitos Vinculados a la Mujer en la Región de Los Ríos, por Juzgado de Garantía, durante el Periodo 2013-2019</t>
  </si>
  <si>
    <t>Variación Trimestral de Sentencias Dictadas (%) por Delitos Vinculados a la Mujer en la Región de Arica y Parinacota, por Juzgado de Garantía, durante el Periodo 2013-2019</t>
  </si>
  <si>
    <t>Variación Trimestral de Sentencias Dictadas (%) por Delitos Vinculados a la Mujer en la Región de Ñuble, por Juzgado de Garantía, durante el Periodo 2013-2019</t>
  </si>
  <si>
    <t>Total Abuso Sexual</t>
  </si>
  <si>
    <t>Total Violencia contra la mujer</t>
  </si>
  <si>
    <t>Centros de Apoyo</t>
  </si>
  <si>
    <t>Cantidad de mujeres atendidas en Centros de Apoyo por procedimiento en la fase de Ingreso</t>
  </si>
  <si>
    <t>Cantidad de mujeres atendidas en Centros de Apoyo por procedimiento en la fase de Pre Ingreso</t>
  </si>
  <si>
    <t>Cantidad de mujeres atendidas en Centros de Apoyo por procedimiento en la fase de Salida</t>
  </si>
  <si>
    <t>Cantidad de mujeres atendidas en Centros de Apoyo por procedimiento en la fase de Atención</t>
  </si>
  <si>
    <t>Total Centros de Apoyo</t>
  </si>
  <si>
    <t>Sentencias por delitos vinculados a la mujer</t>
  </si>
  <si>
    <t>Delitos violentos</t>
  </si>
  <si>
    <t>Juzgados de Garantía</t>
  </si>
  <si>
    <t>Delitos Contra el Estado Civil y la Familia</t>
  </si>
  <si>
    <t>Delitos Contra la Vida, Integridad o Dignidad Personal</t>
  </si>
  <si>
    <t>Delitos (todos)</t>
  </si>
  <si>
    <t>Total Sentencias por delitos vinculados a la mujer</t>
  </si>
  <si>
    <t>Atenciones de Salud por Violencia de Género</t>
  </si>
  <si>
    <t>Atenciones de Salud</t>
  </si>
  <si>
    <t>Atenciones médicas por violencia de género</t>
  </si>
  <si>
    <t>Periodo 2010-2016</t>
  </si>
  <si>
    <t>Departamento de Estadísticas e Información de la Salud (DEIS)</t>
  </si>
  <si>
    <t>Atenciones médicas por Violencia de Género en el territorio nacional. Periodo 2010-2016</t>
  </si>
  <si>
    <t>Gráfico que muestra las atenciones médicas por Violencia de Género según los datos recopilados del Departamento de Estadísticas e Información de la Salud. Chile Periodo 2010-2016.</t>
  </si>
  <si>
    <t>salud urgencia violencia género vif atenciones médicas chile</t>
  </si>
  <si>
    <t xml:space="preserve">https://analytics.zoho.com/open-view/2395394000007379319 </t>
  </si>
  <si>
    <t>Servicio Nacional de Salud</t>
  </si>
  <si>
    <t>Atenciones médicas por Violencia de Género en el territorio nacional por Servicio Nacional de Salud. Periodo 2010-2016</t>
  </si>
  <si>
    <t>Gráfico que muestra las atenciones médicas por Violencia de Género por Servicio Nacional de Salud para el territorio nacional según los datos recopilados del Departamento de Estadísticas e Información de la Salud. Chile Periodo 2010-2016.</t>
  </si>
  <si>
    <t>salud urgencia violencia género vif atenciones médicas servicio nacional salud chile</t>
  </si>
  <si>
    <t>Tarapacá</t>
  </si>
  <si>
    <t>salud urgencia violencia género vif atenciones médicas servicio nacional salud tarapacá</t>
  </si>
  <si>
    <t>salud urgencia violencia género vif atenciones médicas servicio nacional salud antofagasta</t>
  </si>
  <si>
    <t>Atacama</t>
  </si>
  <si>
    <t>salud urgencia violencia género vif atenciones médicas servicio nacional salud atacama</t>
  </si>
  <si>
    <t>salud urgencia violencia género vif atenciones médicas servicio nacional salud coquimbo</t>
  </si>
  <si>
    <t>salud urgencia violencia género vif atenciones médicas servicio nacional salud valparaíso</t>
  </si>
  <si>
    <t>O Higgins</t>
  </si>
  <si>
    <t>salud urgencia violencia género vif atenciones médicas servicio nacional salud ohiggins</t>
  </si>
  <si>
    <t>salud urgencia violencia género vif atenciones médicas servicio nacional salud maule</t>
  </si>
  <si>
    <t>Biobío</t>
  </si>
  <si>
    <t>salud urgencia violencia género vif atenciones médicas servicio nacional salud biobío</t>
  </si>
  <si>
    <t>Araucanía</t>
  </si>
  <si>
    <t>salud urgencia violencia género vif atenciones médicas servicio nacional salud araucanía</t>
  </si>
  <si>
    <t>salud urgencia violencia género vif atenciones médicas servicio nacional salud los lagos</t>
  </si>
  <si>
    <t>Aysén</t>
  </si>
  <si>
    <t>salud urgencia violencia género vif atenciones médicas servicio nacional salud aysén</t>
  </si>
  <si>
    <t>Magallanes</t>
  </si>
  <si>
    <t>salud urgencia violencia género vif atenciones médicas servicio nacional salud magallanes</t>
  </si>
  <si>
    <t>Metropolitana</t>
  </si>
  <si>
    <t>salud urgencia violencia género vif atenciones médicas servicio nacional salud metropolitana</t>
  </si>
  <si>
    <t>Los Ríos</t>
  </si>
  <si>
    <t>salud urgencia violencia género vif atenciones médicas servicio nacional salud los ríos</t>
  </si>
  <si>
    <t>Arica y Parinacota</t>
  </si>
  <si>
    <t>salud urgencia violencia género vif atenciones médicas servicio nacional salud arica parinacota</t>
  </si>
  <si>
    <t>Ñuble</t>
  </si>
  <si>
    <t>salud urgencia violencia género vif atenciones médicas servicio nacional salud ñuble</t>
  </si>
  <si>
    <t>Concepto de Atención</t>
  </si>
  <si>
    <t>Gráfico que muestra las atenciones médicas por Violencia de Género por Concepto de Atención para el territorio nacional según los datos recopilados del Departamento de Estadísticas e Información de la Salud. Chile Periodo 2010-2016.</t>
  </si>
  <si>
    <t>salud urgencia violencia género vif atenciones médicas concepto urgencia tarapacá</t>
  </si>
  <si>
    <t>salud urgencia violencia género vif atenciones médicas concepto urgencia antofagasta</t>
  </si>
  <si>
    <t>salud urgencia violencia género vif atenciones médicas concepto urgencia atacama</t>
  </si>
  <si>
    <t>salud urgencia violencia género vif atenciones médicas concepto urgencia coquimbo</t>
  </si>
  <si>
    <t>salud urgencia violencia género vif atenciones médicas concepto urgencia valparaíso</t>
  </si>
  <si>
    <t>salud urgencia violencia género vif atenciones médicas concepto urgencia ohiggins</t>
  </si>
  <si>
    <t>salud urgencia violencia género vif atenciones médicas concepto urgencia maule</t>
  </si>
  <si>
    <t>salud urgencia violencia género vif atenciones médicas concepto urgencia biobío</t>
  </si>
  <si>
    <t>salud urgencia violencia género vif atenciones médicas concepto urgencia araucanía</t>
  </si>
  <si>
    <t>salud urgencia violencia género vif atenciones médicas concepto urgencia los lagos</t>
  </si>
  <si>
    <t>salud urgencia violencia género vif atenciones médicas concepto urgencia aysén</t>
  </si>
  <si>
    <t>salud urgencia violencia género vif atenciones médicas concepto urgencia magallanes</t>
  </si>
  <si>
    <t>salud urgencia violencia género vif atenciones médicas concepto urgencia metropolitana</t>
  </si>
  <si>
    <t>salud urgencia violencia género vif atenciones médicas concepto urgencia los ríos</t>
  </si>
  <si>
    <t>salud urgencia violencia género vif atenciones médicas concepto urgencia arica parinacota</t>
  </si>
  <si>
    <t>salud urgencia violencia género vif atenciones médicas concepto urgencia ñuble</t>
  </si>
  <si>
    <t>salud urgencia violencia género vif atenciones médicas tarapacá</t>
  </si>
  <si>
    <t>salud urgencia violencia género vif atenciones médicas antofagasta</t>
  </si>
  <si>
    <t>salud urgencia violencia género vif atenciones médicas atacama</t>
  </si>
  <si>
    <t>salud urgencia violencia género vif atenciones médicas coquimbo</t>
  </si>
  <si>
    <t>salud urgencia violencia género vif atenciones médicas valparaíso</t>
  </si>
  <si>
    <t>salud urgencia violencia género vif atenciones médicas ohiggins</t>
  </si>
  <si>
    <t>salud urgencia violencia género vif atenciones médicas maule</t>
  </si>
  <si>
    <t>salud urgencia violencia género vif atenciones médicas biobío</t>
  </si>
  <si>
    <t>salud urgencia violencia género vif atenciones médicas araucanía</t>
  </si>
  <si>
    <t>salud urgencia violencia género vif atenciones médicas los lagos</t>
  </si>
  <si>
    <t>salud urgencia violencia género vif atenciones médicas aysén</t>
  </si>
  <si>
    <t>salud urgencia violencia género vif atenciones médicas magallanes</t>
  </si>
  <si>
    <t>salud urgencia violencia género vif atenciones médicas metropolitana</t>
  </si>
  <si>
    <t>salud urgencia violencia género vif atenciones médicas los ríos</t>
  </si>
  <si>
    <t>salud urgencia violencia género vif atenciones médicas arica parinacota</t>
  </si>
  <si>
    <t>salud urgencia violencia género vif atenciones médicas ñuble</t>
  </si>
  <si>
    <t>https://analytics.zoho.com/open-view/2395394000006987089</t>
  </si>
  <si>
    <t>Atenciones médicas por Violencia de Género en la Región de Tarapacá por Servicio Nacional de Salud. Periodo 2010-2016</t>
  </si>
  <si>
    <t>Gráfico que muestra las atenciones médicas por Violencia de Género por Servicio Nacional de Salud para la Región de Tarapacá según los datos recopilados del Departamento de Estadísticas e Información de la Salud. Chile Periodo 2010-2016.</t>
  </si>
  <si>
    <t>https://analytics.zoho.com/open-view/2395394000008621591?ZOHO_CRITERIA=%2227.10%22.%22Id_Regi%C3%B3n%22%20%3D%201</t>
  </si>
  <si>
    <t>Atenciones médicas por Violencia de Género en la Región de Antofagasta por Servicio Nacional de Salud. Periodo 2010-2016</t>
  </si>
  <si>
    <t>Gráfico que muestra las atenciones médicas por Violencia de Género por Servicio Nacional de Salud para la Región de Antofagasta según los datos recopilados del Departamento de Estadísticas e Información de la Salud. Chile Periodo 2010-2016.</t>
  </si>
  <si>
    <t>https://analytics.zoho.com/open-view/2395394000008621591?ZOHO_CRITERIA=%2227.10%22.%22Id_Regi%C3%B3n%22%20%3D%202</t>
  </si>
  <si>
    <t>Atenciones médicas por Violencia de Género en la Región de Atacama por Servicio Nacional de Salud. Periodo 2010-2016</t>
  </si>
  <si>
    <t>Gráfico que muestra las atenciones médicas por Violencia de Género por Servicio Nacional de Salud para la Región de Atacama según los datos recopilados del Departamento de Estadísticas e Información de la Salud. Chile Periodo 2010-2016.</t>
  </si>
  <si>
    <t>https://analytics.zoho.com/open-view/2395394000008621591?ZOHO_CRITERIA=%2227.10%22.%22Id_Regi%C3%B3n%22%20%3D%203</t>
  </si>
  <si>
    <t>Atenciones médicas por Violencia de Género en la Región de Coquimbo por Servicio Nacional de Salud. Periodo 2010-2016</t>
  </si>
  <si>
    <t>Gráfico que muestra las atenciones médicas por Violencia de Género por Servicio Nacional de Salud para la Región de Coquimbo según los datos recopilados del Departamento de Estadísticas e Información de la Salud. Chile Periodo 2010-2016.</t>
  </si>
  <si>
    <t>https://analytics.zoho.com/open-view/2395394000008621591?ZOHO_CRITERIA=%2227.10%22.%22Id_Regi%C3%B3n%22%20%3D%204</t>
  </si>
  <si>
    <t>Atenciones médicas por Violencia de Género en la Región de Valparaíso por Servicio Nacional de Salud. Periodo 2010-2016</t>
  </si>
  <si>
    <t>Gráfico que muestra las atenciones médicas por Violencia de Género por Servicio Nacional de Salud para la Región de Valparaíso según los datos recopilados del Departamento de Estadísticas e Información de la Salud. Chile Periodo 2010-2016.</t>
  </si>
  <si>
    <t>https://analytics.zoho.com/open-view/2395394000008621591?ZOHO_CRITERIA=%2227.10%22.%22Id_Regi%C3%B3n%22%20%3D%205</t>
  </si>
  <si>
    <t>Atenciones médicas por Violencia de Género en la Región de O Higgins por Servicio Nacional de Salud. Periodo 2010-2016</t>
  </si>
  <si>
    <t>Gráfico que muestra las atenciones médicas por Violencia de Género por Servicio Nacional de Salud para la Región de O Higgins según los datos recopilados del Departamento de Estadísticas e Información de la Salud. Chile Periodo 2010-2016.</t>
  </si>
  <si>
    <t>https://analytics.zoho.com/open-view/2395394000008621591?ZOHO_CRITERIA=%2227.10%22.%22Id_Regi%C3%B3n%22%20%3D%206</t>
  </si>
  <si>
    <t>Atenciones médicas por Violencia de Género en la Región del Maule por Servicio Nacional de Salud. Periodo 2010-2016</t>
  </si>
  <si>
    <t>Gráfico que muestra las atenciones médicas por Violencia de Género por Servicio Nacional de Salud para la Región del Maule según los datos recopilados del Departamento de Estadísticas e Información de la Salud. Chile Periodo 2010-2016.</t>
  </si>
  <si>
    <t>https://analytics.zoho.com/open-view/2395394000008621591?ZOHO_CRITERIA=%2227.10%22.%22Id_Regi%C3%B3n%22%20%3D%207</t>
  </si>
  <si>
    <t>Atenciones médicas por Violencia de Género en la Región del Biobío por Servicio Nacional de Salud. Periodo 2010-2016</t>
  </si>
  <si>
    <t>Gráfico que muestra las atenciones médicas por Violencia de Género por Servicio Nacional de Salud para la Región del Biobío según los datos recopilados del Departamento de Estadísticas e Información de la Salud. Chile Periodo 2010-2016.</t>
  </si>
  <si>
    <t>https://analytics.zoho.com/open-view/2395394000008621591?ZOHO_CRITERIA=%2227.10%22.%22Id_Regi%C3%B3n%22%20%3D%208</t>
  </si>
  <si>
    <t>Atenciones médicas por Violencia de Género en la Región de La Araucanía por Servicio Nacional de Salud. Periodo 2010-2016</t>
  </si>
  <si>
    <t>Gráfico que muestra las atenciones médicas por Violencia de Género por Servicio Nacional de Salud para la Región de La Araucanía según los datos recopilados del Departamento de Estadísticas e Información de la Salud. Chile Periodo 2010-2016.</t>
  </si>
  <si>
    <t>https://analytics.zoho.com/open-view/2395394000008621591?ZOHO_CRITERIA=%2227.10%22.%22Id_Regi%C3%B3n%22%20%3D%209</t>
  </si>
  <si>
    <t>Atenciones médicas por Violencia de Género en la Región de Los Lagos por Servicio Nacional de Salud. Periodo 2010-2016</t>
  </si>
  <si>
    <t>Gráfico que muestra las atenciones médicas por Violencia de Género por Servicio Nacional de Salud para la Región de Los Lagos según los datos recopilados del Departamento de Estadísticas e Información de la Salud. Chile Periodo 2010-2016.</t>
  </si>
  <si>
    <t>https://analytics.zoho.com/open-view/2395394000008621591?ZOHO_CRITERIA=%2227.10%22.%22Id_Regi%C3%B3n%22%20%3D%2010</t>
  </si>
  <si>
    <t>Atenciones médicas por Violencia de Género en la Región de Aysén por Servicio Nacional de Salud. Periodo 2010-2016</t>
  </si>
  <si>
    <t>Gráfico que muestra las atenciones médicas por Violencia de Género por Servicio Nacional de Salud para la Región de Aysén según los datos recopilados del Departamento de Estadísticas e Información de la Salud. Chile Periodo 2010-2016.</t>
  </si>
  <si>
    <t>https://analytics.zoho.com/open-view/2395394000008621591?ZOHO_CRITERIA=%2227.10%22.%22Id_Regi%C3%B3n%22%20%3D%2011</t>
  </si>
  <si>
    <t>Atenciones médicas por Violencia de Género en la Región de Magallanes por Servicio Nacional de Salud. Periodo 2010-2016</t>
  </si>
  <si>
    <t>Gráfico que muestra las atenciones médicas por Violencia de Género por Servicio Nacional de Salud para la Región de Magallanes según los datos recopilados del Departamento de Estadísticas e Información de la Salud. Chile Periodo 2010-2016.</t>
  </si>
  <si>
    <t>https://analytics.zoho.com/open-view/2395394000008621591?ZOHO_CRITERIA=%2227.10%22.%22Id_Regi%C3%B3n%22%20%3D%2012</t>
  </si>
  <si>
    <t>Atenciones médicas por Violencia de Género en la Región Metropolitana por Servicio Nacional de Salud. Periodo 2010-2016</t>
  </si>
  <si>
    <t>Gráfico que muestra las atenciones médicas por Violencia de Género por Servicio Nacional de Salud para la Región Metropolitana según los datos recopilados del Departamento de Estadísticas e Información de la Salud. Chile Periodo 2010-2016.</t>
  </si>
  <si>
    <t>https://analytics.zoho.com/open-view/2395394000008621591?ZOHO_CRITERIA=%2227.10%22.%22Id_Regi%C3%B3n%22%20%3D%2013</t>
  </si>
  <si>
    <t>Atenciones médicas por Violencia de Género en la Región de Los Ríos por Servicio Nacional de Salud. Periodo 2010-2016</t>
  </si>
  <si>
    <t>Gráfico que muestra las atenciones médicas por Violencia de Género por Servicio Nacional de Salud para la Región de Los Ríos según los datos recopilados del Departamento de Estadísticas e Información de la Salud. Chile Periodo 2010-2016.</t>
  </si>
  <si>
    <t>https://analytics.zoho.com/open-view/2395394000008621591?ZOHO_CRITERIA=%2227.10%22.%22Id_Regi%C3%B3n%22%20%3D%2014</t>
  </si>
  <si>
    <t>Atenciones médicas por Violencia de Género en la Región de Arica y Parinacota por Servicio Nacional de Salud. Periodo 2010-2016</t>
  </si>
  <si>
    <t>Gráfico que muestra las atenciones médicas por Violencia de Género por Servicio Nacional de Salud para la Región de Arica y Parinacota según los datos recopilados del Departamento de Estadísticas e Información de la Salud. Chile Periodo 2010-2016.</t>
  </si>
  <si>
    <t>https://analytics.zoho.com/open-view/2395394000008621591?ZOHO_CRITERIA=%2227.10%22.%22Id_Regi%C3%B3n%22%20%3D%2015</t>
  </si>
  <si>
    <t>Atenciones médicas por Violencia de Género en la Región del Ñuble por Servicio Nacional de Salud. Periodo 2010-2016</t>
  </si>
  <si>
    <t>Gráfico que muestra las atenciones médicas por Violencia de Género por Servicio Nacional de Salud para la Región del Ñuble según los datos recopilados del Departamento de Estadísticas e Información de la Salud. Chile Periodo 2010-2016.</t>
  </si>
  <si>
    <t>https://analytics.zoho.com/open-view/2395394000008621591?ZOHO_CRITERIA=%2227.10%22.%22Id_Regi%C3%B3n%22%20%3D%2016</t>
  </si>
  <si>
    <t>Atenciones médicas por Violencia de Género en el territorio nacional por Concepto de Atención. Periodo 2010-2016</t>
  </si>
  <si>
    <t>https://analytics.zoho.com/open-view/2395394000007034178</t>
  </si>
  <si>
    <t>Atenciones médicas por Violencia de Género en la Región de Tarapacá por Concepto de Atención. Periodo 2010-2016</t>
  </si>
  <si>
    <t>Gráfico que muestra las atenciones médicas por Violencia de Género por Concepto de Atención para la Región de Tarapacá según los datos recopilados del Departamento de Estadísticas e Información de la Salud. Chile Periodo 2010-2016.</t>
  </si>
  <si>
    <t>https://analytics.zoho.com/open-view/2395394000008621663?ZOHO_CRITERIA=%2227.10%22.%22Id_Regi%C3%B3n%22%20%3D%201</t>
  </si>
  <si>
    <t>Atenciones médicas por Violencia de Género en la Región de Antofagasta por Concepto de Atención. Periodo 2010-2016</t>
  </si>
  <si>
    <t>Gráfico que muestra las atenciones médicas por Violencia de Género por Concepto de Atención para la Región de Antofagasta según los datos recopilados del Departamento de Estadísticas e Información de la Salud. Chile Periodo 2010-2016.</t>
  </si>
  <si>
    <t>https://analytics.zoho.com/open-view/2395394000008621663?ZOHO_CRITERIA=%2227.10%22.%22Id_Regi%C3%B3n%22%20%3D%202</t>
  </si>
  <si>
    <t>Atenciones médicas por Violencia de Género en la Región de Atacama por Concepto de Atención. Periodo 2010-2016</t>
  </si>
  <si>
    <t>Gráfico que muestra las atenciones médicas por Violencia de Género por Concepto de Atención para la Región de Atacama según los datos recopilados del Departamento de Estadísticas e Información de la Salud. Chile Periodo 2010-2016.</t>
  </si>
  <si>
    <t>https://analytics.zoho.com/open-view/2395394000008621663?ZOHO_CRITERIA=%2227.10%22.%22Id_Regi%C3%B3n%22%20%3D%203</t>
  </si>
  <si>
    <t>Atenciones médicas por Violencia de Género en la Región de Coquimbo por Concepto de Atención. Periodo 2010-2016</t>
  </si>
  <si>
    <t>Gráfico que muestra las atenciones médicas por Violencia de Género por Concepto de Atención para la Región de Coquimbo según los datos recopilados del Departamento de Estadísticas e Información de la Salud. Chile Periodo 2010-2016.</t>
  </si>
  <si>
    <t>https://analytics.zoho.com/open-view/2395394000008621663?ZOHO_CRITERIA=%2227.10%22.%22Id_Regi%C3%B3n%22%20%3D%204</t>
  </si>
  <si>
    <t>Atenciones médicas por Violencia de Género en la Región de Valparaíso por Concepto de Atención. Periodo 2010-2016</t>
  </si>
  <si>
    <t>Gráfico que muestra las atenciones médicas por Violencia de Género por Concepto de Atención para la Región de Valparaíso según los datos recopilados del Departamento de Estadísticas e Información de la Salud. Chile Periodo 2010-2016.</t>
  </si>
  <si>
    <t>https://analytics.zoho.com/open-view/2395394000008621663?ZOHO_CRITERIA=%2227.10%22.%22Id_Regi%C3%B3n%22%20%3D%205</t>
  </si>
  <si>
    <t>Atenciones médicas por Violencia de Género en la Región de O Higgins por Concepto de Atención. Periodo 2010-2016</t>
  </si>
  <si>
    <t>Gráfico que muestra las atenciones médicas por Violencia de Género por Concepto de Atención para la Región de O Higgins según los datos recopilados del Departamento de Estadísticas e Información de la Salud. Chile Periodo 2010-2016.</t>
  </si>
  <si>
    <t>https://analytics.zoho.com/open-view/2395394000008621663?ZOHO_CRITERIA=%2227.10%22.%22Id_Regi%C3%B3n%22%20%3D%206</t>
  </si>
  <si>
    <t>Atenciones médicas por Violencia de Género en la Región del Maule por Concepto de Atención.Periodo 2010-2016</t>
  </si>
  <si>
    <t>Gráfico que muestra las atenciones médicas por Violencia de Género por Concepto de Atención para la Región del Maule según los datos recopilados del Departamento de Estadísticas e Información de la Salud. Chile Periodo 2010-2016.</t>
  </si>
  <si>
    <t>https://analytics.zoho.com/open-view/2395394000008621663?ZOHO_CRITERIA=%2227.10%22.%22Id_Regi%C3%B3n%22%20%3D%207</t>
  </si>
  <si>
    <t>Atenciones médicas por Violencia de Género en la Región del Biobío por Concepto de Atención.Periodo 2010-2016</t>
  </si>
  <si>
    <t>Gráfico que muestra las atenciones médicas por Violencia de Género por Concepto de Atención para la Región del Biobío según los datos recopilados del Departamento de Estadísticas e Información de la Salud. Chile Periodo 2010-2016.</t>
  </si>
  <si>
    <t>https://analytics.zoho.com/open-view/2395394000008621663?ZOHO_CRITERIA=%2227.10%22.%22Id_Regi%C3%B3n%22%20%3D%208</t>
  </si>
  <si>
    <t>Atenciones médicas por Violencia de Género en la Región de La Araucanía por Concepto de Atención.Periodo 2010-2016</t>
  </si>
  <si>
    <t>Gráfico que muestra las atenciones médicas por Violencia de Género por Concepto de Atención para la Región de La Araucanía según los datos recopilados del Departamento de Estadísticas e Información de la Salud. Chile Periodo 2010-2016.</t>
  </si>
  <si>
    <t>https://analytics.zoho.com/open-view/2395394000008621663?ZOHO_CRITERIA=%2227.10%22.%22Id_Regi%C3%B3n%22%20%3D%209</t>
  </si>
  <si>
    <t>Atenciones médicas por Violencia de Género en la Región de Los Lagos por Concepto de Atención.Periodo 2010-2016</t>
  </si>
  <si>
    <t>Gráfico que muestra las atenciones médicas por Violencia de Género por Concepto de Atención para la Región de Los Lagos según los datos recopilados del Departamento de Estadísticas e Información de la Salud. Chile Periodo 2010-2016.</t>
  </si>
  <si>
    <t>https://analytics.zoho.com/open-view/2395394000008621663?ZOHO_CRITERIA=%2227.10%22.%22Id_Regi%C3%B3n%22%20%3D%2010</t>
  </si>
  <si>
    <t>Atenciones médicas por Violencia de Género en la Región de Aysén por Concepto de Atención.Periodo 2010-2016</t>
  </si>
  <si>
    <t>Gráfico que muestra las atenciones médicas por Violencia de Género por Concepto de Atención para la Región de Aysén según los datos recopilados del Departamento de Estadísticas e Información de la Salud. Chile Periodo 2010-2016.</t>
  </si>
  <si>
    <t>https://analytics.zoho.com/open-view/2395394000008621663?ZOHO_CRITERIA=%2227.10%22.%22Id_Regi%C3%B3n%22%20%3D%2011</t>
  </si>
  <si>
    <t>Atenciones médicas por Violencia de Género en la Región de Magallanes por Concepto de Atención.Periodo 2010-2016</t>
  </si>
  <si>
    <t>Gráfico que muestra las atenciones médicas por Violencia de Género por Concepto de Atención para la Región de Magallanes según los datos recopilados del Departamento de Estadísticas e Información de la Salud. Chile Periodo 2010-2016.</t>
  </si>
  <si>
    <t>https://analytics.zoho.com/open-view/2395394000008621663?ZOHO_CRITERIA=%2227.10%22.%22Id_Regi%C3%B3n%22%20%3D%2012</t>
  </si>
  <si>
    <t>Atenciones médicas por Violencia de Género en la Región Metropolitana por Concepto de Atención.Periodo 2010-2016</t>
  </si>
  <si>
    <t>Gráfico que muestra las atenciones médicas por Violencia de Género por Concepto de Atención para la Región Metropolitana según los datos recopilados del Departamento de Estadísticas e Información de la Salud. Chile Periodo 2010-2016.</t>
  </si>
  <si>
    <t>https://analytics.zoho.com/open-view/2395394000008621663?ZOHO_CRITERIA=%2227.10%22.%22Id_Regi%C3%B3n%22%20%3D%2013</t>
  </si>
  <si>
    <t>Atenciones médicas por Violencia de Género en la Región de Los Ríos por Concepto de Atención.Periodo 2010-2016</t>
  </si>
  <si>
    <t>Gráfico que muestra las atenciones médicas por Violencia de Género por Concepto de Atención para la Región de Los Ríos según los datos recopilados del Departamento de Estadísticas e Información de la Salud. Chile Periodo 2010-2016.</t>
  </si>
  <si>
    <t>https://analytics.zoho.com/open-view/2395394000008621663?ZOHO_CRITERIA=%2227.10%22.%22Id_Regi%C3%B3n%22%20%3D%2014</t>
  </si>
  <si>
    <t>Atenciones médicas por Violencia de Género en la Región de Arica y Parinacota por Concepto de Atención.Periodo 2010-2016</t>
  </si>
  <si>
    <t>Gráfico que muestra las atenciones médicas por Violencia de Género por Concepto de Atención para la Región de Arica y Parinacota según los datos recopilados del Departamento de Estadísticas e Información de la Salud. Chile Periodo 2010-2016.</t>
  </si>
  <si>
    <t>https://analytics.zoho.com/open-view/2395394000008621663?ZOHO_CRITERIA=%2227.10%22.%22Id_Regi%C3%B3n%22%20%3D%2015</t>
  </si>
  <si>
    <t>Atenciones médicas por Violencia de Género en la Región del Ñuble por Concepto de Atención.Periodo 2010-2016</t>
  </si>
  <si>
    <t>Gráfico que muestra las atenciones médicas por Violencia de Género por Concepto de Atención para la Región del Ñuble según los datos recopilados del Departamento de Estadísticas e Información de la Salud. Chile Periodo 2010-2016.</t>
  </si>
  <si>
    <t>https://analytics.zoho.com/open-view/2395394000008621663?ZOHO_CRITERIA=%2227.10%22.%22Id_Regi%C3%B3n%22%20%3D%2016</t>
  </si>
  <si>
    <t>Atenciones médicas por Violencia de Género en la región de Tarapacá. Periodo 2010-2016</t>
  </si>
  <si>
    <t>Gráfico que muestra las atenciones médicas por Violencia de Género en la región de Tarapacá, según los datos recopilados del Departamento de Estadísticas e Información de la Salud. Periodo 2010-2016.</t>
  </si>
  <si>
    <t>https://analytics.zoho.com/open-view/2395394000007379319?ZOHO_CRITERIA=%2227.10%22.%22Id_Regi%C3%B3n%22%20%3D%201</t>
  </si>
  <si>
    <t>Atenciones médicas por Violencia de Género en la región de Antofagasta. Periodo 2010-2016</t>
  </si>
  <si>
    <t>Gráfico que muestra las atenciones médicas por Violencia de Género en la región de Antofagasta, según los datos recopilados del Departamento de Estadísticas e Información de la Salud. Periodo 2010-2016.</t>
  </si>
  <si>
    <t>https://analytics.zoho.com/open-view/2395394000007379319?ZOHO_CRITERIA=%2227.10%22.%22Id_Regi%C3%B3n%22%20%3D%202</t>
  </si>
  <si>
    <t>Atenciones médicas por Violencia de Género en la región de Atacama. Periodo 2010-2016</t>
  </si>
  <si>
    <t>Gráfico que muestra las atenciones médicas por Violencia de Género en la región de Atacama, según los datos recopilados del Departamento de Estadísticas e Información de la Salud. Periodo 2010-2016.</t>
  </si>
  <si>
    <t>https://analytics.zoho.com/open-view/2395394000007379319?ZOHO_CRITERIA=%2227.10%22.%22Id_Regi%C3%B3n%22%20%3D%203</t>
  </si>
  <si>
    <t>Atenciones médicas por Violencia de Género en la región de Coquimbo. Periodo 2010-2016</t>
  </si>
  <si>
    <t>Gráfico que muestra las atenciones médicas por Violencia de Género en la región de Coquimbo, según los datos recopilados del Departamento de Estadísticas e Información de la Salud. Periodo 2010-2016.</t>
  </si>
  <si>
    <t>https://analytics.zoho.com/open-view/2395394000007379319?ZOHO_CRITERIA=%2227.10%22.%22Id_Regi%C3%B3n%22%20%3D%204</t>
  </si>
  <si>
    <t>Atenciones médicas por Violencia de Género en la región de Valparaíso. Periodo 2010-2016</t>
  </si>
  <si>
    <t>Gráfico que muestra las atenciones médicas por Violencia de Género en la región de Valparaíso, según los datos recopilados del Departamento de Estadísticas e Información de la Salud. Periodo 2010-2016.</t>
  </si>
  <si>
    <t>https://analytics.zoho.com/open-view/2395394000007379319?ZOHO_CRITERIA=%2227.10%22.%22Id_Regi%C3%B3n%22%20%3D%205</t>
  </si>
  <si>
    <t>Atenciones médicas por Violencia de Género en la región de O Higgins. Periodo 2010-2016</t>
  </si>
  <si>
    <t>Gráfico que muestra las atenciones médicas por Violencia de Género en la región de O Higgins, según los datos recopilados del Departamento de Estadísticas e Información de la Salud. Periodo 2010-2016.</t>
  </si>
  <si>
    <t>https://analytics.zoho.com/open-view/2395394000007379319?ZOHO_CRITERIA=%2227.10%22.%22Id_Regi%C3%B3n%22%20%3D%206</t>
  </si>
  <si>
    <t>Atenciones médicas por Violencia de Género en la región de Maule. Periodo 2010-2016</t>
  </si>
  <si>
    <t>Gráfico que muestra las atenciones médicas por Violencia de Género en la región de Maule, según los datos recopilados del Departamento de Estadísticas e Información de la Salud. Periodo 2010-2016.</t>
  </si>
  <si>
    <t>https://analytics.zoho.com/open-view/2395394000007379319?ZOHO_CRITERIA=%2227.10%22.%22Id_Regi%C3%B3n%22%20%3D%207</t>
  </si>
  <si>
    <t>Atenciones médicas por Violencia de Género en la región de Biobío. Periodo 2010-2016</t>
  </si>
  <si>
    <t>Gráfico que muestra las atenciones médicas por Violencia de Género en la región de Biobío, según los datos recopilados del Departamento de Estadísticas e Información de la Salud. Periodo 2010-2016.</t>
  </si>
  <si>
    <t>https://analytics.zoho.com/open-view/2395394000007379319?ZOHO_CRITERIA=%2227.10%22.%22Id_Regi%C3%B3n%22%20%3D%208</t>
  </si>
  <si>
    <t>Atenciones médicas por Violencia de Género en la región de Araucanía. Periodo 2010-2016</t>
  </si>
  <si>
    <t>Gráfico que muestra las atenciones médicas por Violencia de Género en la región de Araucanía, según los datos recopilados del Departamento de Estadísticas e Información de la Salud. Periodo 2010-2016.</t>
  </si>
  <si>
    <t>https://analytics.zoho.com/open-view/2395394000007379319?ZOHO_CRITERIA=%2227.10%22.%22Id_Regi%C3%B3n%22%20%3D%209</t>
  </si>
  <si>
    <t>Atenciones médicas por Violencia de Género en la región de Los Lagos. Periodo 2010-2016</t>
  </si>
  <si>
    <t>Gráfico que muestra las atenciones médicas por Violencia de Género en la región de Los Lagos, según los datos recopilados del Departamento de Estadísticas e Información de la Salud. Periodo 2010-2016.</t>
  </si>
  <si>
    <t>https://analytics.zoho.com/open-view/2395394000007379319?ZOHO_CRITERIA=%2227.10%22.%22Id_Regi%C3%B3n%22%20%3D%2010</t>
  </si>
  <si>
    <t>Atenciones médicas por Violencia de Género en la región de Aysén. Periodo 2010-2016</t>
  </si>
  <si>
    <t>Gráfico que muestra las atenciones médicas por Violencia de Género en la región de Aysén, según los datos recopilados del Departamento de Estadísticas e Información de la Salud. Periodo 2010-2016.</t>
  </si>
  <si>
    <t>https://analytics.zoho.com/open-view/2395394000007379319?ZOHO_CRITERIA=%2227.10%22.%22Id_Regi%C3%B3n%22%20%3D%2011</t>
  </si>
  <si>
    <t>Atenciones médicas por Violencia de Género en la región de Magallanes. Periodo 2010-2016</t>
  </si>
  <si>
    <t>Gráfico que muestra las atenciones médicas por Violencia de Género en la región de Magallanes, según los datos recopilados del Departamento de Estadísticas e Información de la Salud. Periodo 2010-2016.</t>
  </si>
  <si>
    <t>https://analytics.zoho.com/open-view/2395394000007379319?ZOHO_CRITERIA=%2227.10%22.%22Id_Regi%C3%B3n%22%20%3D%2012</t>
  </si>
  <si>
    <t>Atenciones médicas por Violencia de Género en la región Metropolitana. Periodo 2010-2016</t>
  </si>
  <si>
    <t>Gráfico que muestra las atenciones médicas por Violencia de Género en la región Metropolitana, según los datos recopilados del Departamento de Estadísticas e Información de la Salud. Periodo 2010-2016.</t>
  </si>
  <si>
    <t>https://analytics.zoho.com/open-view/2395394000007379319?ZOHO_CRITERIA=%2227.10%22.%22Id_Regi%C3%B3n%22%20%3D%2013</t>
  </si>
  <si>
    <t>Atenciones médicas por Violencia de Género en la región de Los Ríos. Periodo 2010-2016</t>
  </si>
  <si>
    <t>Gráfico que muestra las atenciones médicas por Violencia de Género en la región de Los Ríos, según los datos recopilados del Departamento de Estadísticas e Información de la Salud. Periodo 2010-2016.</t>
  </si>
  <si>
    <t>https://analytics.zoho.com/open-view/2395394000007379319?ZOHO_CRITERIA=%2227.10%22.%22Id_Regi%C3%B3n%22%20%3D%2014</t>
  </si>
  <si>
    <t>Atenciones médicas por Violencia de Género en la región de Arica y Parinacota. Periodo 2010-2016</t>
  </si>
  <si>
    <t>Gráfico que muestra las atenciones médicas por Violencia de Género en la región de Arica y Parinacota, según los datos recopilados del Departamento de Estadísticas e Información de la Salud. Periodo 2010-2016.</t>
  </si>
  <si>
    <t>https://analytics.zoho.com/open-view/2395394000007379319?ZOHO_CRITERIA=%2227.10%22.%22Id_Regi%C3%B3n%22%20%3D%2015</t>
  </si>
  <si>
    <t>Atenciones médicas por Violencia de Género en la región de Ñuble. Periodo 2010-2016</t>
  </si>
  <si>
    <t>Gráfico que muestra las atenciones médicas por Violencia de Género en la región de Ñuble, según los datos recopilados del Departamento de Estadísticas e Información de la Salud. Periodo 2010-2016.</t>
  </si>
  <si>
    <t>https://analytics.zoho.com/open-view/2395394000007379319?ZOHO_CRITERIA=%2227.10%22.%22Id_Regi%C3%B3n%22%20%3D%2016</t>
  </si>
  <si>
    <t>Encuesta Nacional sobre Acoso Callejero</t>
  </si>
  <si>
    <t>Acoso Callejero</t>
  </si>
  <si>
    <t>Proporción de respuesta de mujeres y hombres</t>
  </si>
  <si>
    <t>Periodo 2015-2016</t>
  </si>
  <si>
    <t>Instituto Nacional de la Juventud</t>
  </si>
  <si>
    <t>Resultados de Encuesta Nacional sobre Acoso Callejero, Periodo 2015-2016</t>
  </si>
  <si>
    <t>El informe muestra los resultados de la sección "Prácticas de acoso sexual callejero según segmentos", según los datos obtenidos por la encuesta "Sondeo N°2: Acoso Sexual Callejero" realizada por el Instituto Nacional de la Juventud de Chile, en el periodo 2015-2016.</t>
  </si>
  <si>
    <t>Informe</t>
  </si>
  <si>
    <t>acoso callejero nacional chile juventud jóvenes</t>
  </si>
  <si>
    <t>https://analytics.zoho.com/open-view/2395394000006893061</t>
  </si>
  <si>
    <t>Violencia Contra la Mujer</t>
  </si>
  <si>
    <t>Aprehensiones por Trimestres</t>
  </si>
  <si>
    <t>Violencia Intrafamiliar</t>
  </si>
  <si>
    <t>Región-Comuna</t>
  </si>
  <si>
    <t xml:space="preserve">Aprehensiones </t>
  </si>
  <si>
    <t>Período 2005-2021</t>
  </si>
  <si>
    <t>Número de Aprehensiones</t>
  </si>
  <si>
    <t>Centro de Estudios y Análisis del Delito (CEAD) de la Subsecretaría de Prevención del Delito</t>
  </si>
  <si>
    <t>Gráfico que muestra la frecuencia de las Aprehensiones por Violencia Intrafamiliar a  nivel nacional, por región y por comuna, según datos recopilados desde el Centro de Estudios y Análsis del Delito durante el Periodo 2005-2021.</t>
  </si>
  <si>
    <t>chile nacional delitos género violencia hacia mujer mujeres víctimas intrafamiliar familiar aprehensiones comuna región</t>
  </si>
  <si>
    <t>https://analytics.zoho.com/open-view/2395394000008632088</t>
  </si>
  <si>
    <t>Casos Policiales por Trimestres</t>
  </si>
  <si>
    <t>Casos Policiales</t>
  </si>
  <si>
    <t>Número de Casos Policiales</t>
  </si>
  <si>
    <t>Gráfico que muestra la frecuencia de los Casos Policiales por Violencia Intrafamiliar a  nivel nacional, por región y por comuna, según datos recopilados desde el Centro de Estudios y Análsis del Delito durante el Periodo 2005-2021.</t>
  </si>
  <si>
    <t>chile nacional delitos género violencia hacia mujer mujeres víctimas intrafamiliar familiar casos policiales comuna región</t>
  </si>
  <si>
    <t>https://analytics.zoho.com/open-view/2395394000008632054</t>
  </si>
  <si>
    <t>Denuncias por Trimestres</t>
  </si>
  <si>
    <t>Denuncias</t>
  </si>
  <si>
    <t>Número de Denuncias</t>
  </si>
  <si>
    <t>Gráfico que muestra la frecuencia de las Denuncias por Violencia Intrafamiliar a  nivel nacional, por región y por comuna, según datos recopilados desde el Centro de Estudios y Análsis del Delito durante el Periodo 2005-2021.</t>
  </si>
  <si>
    <t>chile nacional delitos género violencia hacia mujer mujeres víctimas intrafamiliar familiar denuncias comuna región</t>
  </si>
  <si>
    <t>https://analytics.zoho.com/open-view/2395394000008632180</t>
  </si>
  <si>
    <t>Detenciones por Trimestres</t>
  </si>
  <si>
    <t>Detenciones</t>
  </si>
  <si>
    <t>Número de Detenciones</t>
  </si>
  <si>
    <t>chile nacional delitos género violencia hacia mujer mujeres víctimas intrafamiliar familiar detenciones comuna región</t>
  </si>
  <si>
    <t>https://analytics.zoho.com/open-view/2395394000008632262</t>
  </si>
  <si>
    <t>Aprehensiones, Casos Policiales, Denuncias y Detenciones por Trimestres</t>
  </si>
  <si>
    <t>Aprehensiones, Casos Policiales, Denuncias y Detenciones</t>
  </si>
  <si>
    <t>Número de Aprehensiones, Casos Policiales, Denuncias y Detenciones</t>
  </si>
  <si>
    <t>Gráfico que muestra la frecuencia de Aprehensiones, Casos Policiales, Denuncias y Detenciones por Violencia Intrafamiliar a  nivel nacional, por región y por comuna, según datos recopilados desde el Centro de Estudios y Análsis del Delito durante el Periodo 2005-2021.</t>
  </si>
  <si>
    <t>chile nacional delitos género violencia hacia mujer mujeres víctimas intrafamiliar familiar aprehensiones casos policiales denuncias detenciones comuna región</t>
  </si>
  <si>
    <t>https://analytics.zoho.com/open-view/2395394000008632344</t>
  </si>
  <si>
    <t>Variación Trimestral de Aprehensiones</t>
  </si>
  <si>
    <t>Gráfico que muestra la variación trimestral de Aprehensiones (%) por Violencia Intrafamiliar a nivel nacional y por región y comuna. según datos recopilados desde el Centro de Estudios y Análsis del Delito durante el Periodo 2005-2021.</t>
  </si>
  <si>
    <t>chile nacional delitos género violencia hacia mujer mujeres víctimas intrafamiliar familiar aprehensiones variación trimestral comuna región</t>
  </si>
  <si>
    <t>https://analytics.zoho.com/open-view/2395394000008632539</t>
  </si>
  <si>
    <t>Variación Trimestral de Casos Policiales</t>
  </si>
  <si>
    <t xml:space="preserve">Porcentaje </t>
  </si>
  <si>
    <t>Gráfico que muestra la variación trimestral de Casos Policiales (%) por Violencia Intrafamiliar a nivel nacional y por región y comuna. según datos recopilados desde el Centro de Estudios y Análsis del Delito durante el Periodo 2005-2021.</t>
  </si>
  <si>
    <t>chile nacional delitos género violencia hacia mujer mujeres víctimas intrafamiliar familiar casos policiales variación trimestral comuna región</t>
  </si>
  <si>
    <t>https://analytics.zoho.com/open-view/2395394000008632571</t>
  </si>
  <si>
    <t>Variación Trimestral de Denuncias</t>
  </si>
  <si>
    <t>Gráfico que muestra la variación trimestral de Denuncias (%) por Violencia Intrafamiliar a nivel nacional y por región y comuna. según datos recopilados desde el Centro de Estudios y Análsis del Delito durante el Periodo 2005-2021.</t>
  </si>
  <si>
    <t>chile nacional delitos género violencia hacia mujer mujeres víctimas intrafamiliar familiar denuncias variación trimestral comuna región</t>
  </si>
  <si>
    <t>https://analytics.zoho.com/open-view/2395394000008632603</t>
  </si>
  <si>
    <t>Variación Trimestral de Detenciones</t>
  </si>
  <si>
    <t>Gráfico que muestra la variación trimestral de Detenciones (%) por Violencia Intrafamiliar a nivel nacional y por región y comuna. según datos recopilados desde el Centro de Estudios y Análsis del Delito durante el Periodo 2005-2021.</t>
  </si>
  <si>
    <t>chile nacional delitos género violencia hacia mujer mujeres víctimas intrafamiliar familiar detenciones variación trimestral comuna región</t>
  </si>
  <si>
    <t>https://analytics.zoho.com/open-view/2395394000008632635</t>
  </si>
  <si>
    <t>Variación Trimestral de Aprehensiones, Casos policiales, Denuncias y Detenciones</t>
  </si>
  <si>
    <t>Gráfico que muestra la variación trimestral de Aprehensiones, Casos Policiales, Denuncias y Detenciones (%) por Violencia Intrafamiliar a nivel nacional y por región y comuna. según datos recopilados desde el Centro de Estudios y Análsis del Delito durante el Periodo 2005-2021.</t>
  </si>
  <si>
    <t>chile nacional delitos género violencia hacia mujer mujeres víctimas intrafamiliar familiar aprehensiones casos policiales denuncias detenciones variación trimestral comuna región</t>
  </si>
  <si>
    <t>https://analytics.zoho.com/open-view/2395394000008632667</t>
  </si>
  <si>
    <t>Aprehensiones por Año</t>
  </si>
  <si>
    <t>Aprehensiones</t>
  </si>
  <si>
    <t>Período 2008-2020</t>
  </si>
  <si>
    <t>Gráfico que muestra la frecuencia de Aprehensiones a nivel nacional por región y comuna, según datos recopilados desde el Subsecretaria de Prevención del Delito durante el Periodo 2008-2020.</t>
  </si>
  <si>
    <t>chile nacional delitos género violación mujer mujeres víctimas aprehensiones comuna región</t>
  </si>
  <si>
    <t>https://analytics.zoho.com/open-view/2395394000008635104</t>
  </si>
  <si>
    <t>Casos Policiales por Año</t>
  </si>
  <si>
    <t>Gráfico que muestra la frecuencia de Casos Policiales a nivel nacional por región y comuna, según datos recopilados desde el Subsecretaria de Prevención del Delito durante el Periodo 2008-2020.</t>
  </si>
  <si>
    <t>chile nacional delitos género violación mujer mujeres víctimas casos policiales comuna región</t>
  </si>
  <si>
    <t>https://analytics.zoho.com/open-view/2395394000008635142</t>
  </si>
  <si>
    <t>Denuncias por Año</t>
  </si>
  <si>
    <t>Gráfico que muestra la frecuencia de Denuncias a nivel nacional por región y comuna, según datos recopilados desde el Subsecretaria de Prevención del Delito durante el Periodo 2008-2020.</t>
  </si>
  <si>
    <t>chile nacional delitos género violación mujer mujeres víctimas denuncias comuna región</t>
  </si>
  <si>
    <t>https://analytics.zoho.com/open-view/2395394000008635176</t>
  </si>
  <si>
    <t>Detenciones por Año</t>
  </si>
  <si>
    <t>Gráfico que muestra la frecuencia de Detenciones a nivel nacional por región y comuna, según datos recopilados desde el Subsecretaria de Prevención del Delito durante el Periodo 2008-2020.</t>
  </si>
  <si>
    <t>chile nacional delitos género violación mujer mujeres víctimas detenciones comuna región</t>
  </si>
  <si>
    <t>https://analytics.zoho.com/open-view/2395394000008635210</t>
  </si>
  <si>
    <t>Aprehensiones, Casos Policiales, Denuncias y Detenciones por Año</t>
  </si>
  <si>
    <t>Gráfico que muestra la frecuencia de Aprehensiones, Casos Policiales, Denuncias y Detenciones nivel nacional por región y comuna, según datos recopilados desde el Subsecretaria de Prevención del Delito durante el Periodo 2008-2020.</t>
  </si>
  <si>
    <t>chile  nacional delitos género violación mujer mujeres víctimas aprehensiones casos policiales denuncias detenciones comuna región</t>
  </si>
  <si>
    <t>https://analytics.zoho.com/open-view/2395394000008635244</t>
  </si>
  <si>
    <t>Variación Anual de Aprehensiones</t>
  </si>
  <si>
    <t>Gráfico que muestra la variación anual de las Aprehensiones (%) por Violaciones a nivel nacional por región y comuna, según datos recopilados desde la Subsecretaria de Prevención del Delito durante el Periodo 2008-2020.</t>
  </si>
  <si>
    <t>chile nacional delitos género violación mujer mujeres víctimas aprehensiones variación anual comuna región</t>
  </si>
  <si>
    <t>https://analytics.zoho.com/open-view/2395394000008633880</t>
  </si>
  <si>
    <t>Variación Anual de Casos Policiales</t>
  </si>
  <si>
    <t>Gráfico que muestra la variación anual de los Casos Polciales (%) por Violaciones a nivel nacional por región y comuna, según datos recopilados desde la Subsecretaria de Prevención del Delito durante el Periodo 2008-2020.</t>
  </si>
  <si>
    <t>chile nacional delitos género violación mujer mujeres víctimas casos policiales variación anual comuna región</t>
  </si>
  <si>
    <t>https://analytics.zoho.com/open-view/2395394000008633917</t>
  </si>
  <si>
    <t>Variación Anual de Denuncias</t>
  </si>
  <si>
    <t>Gráfico que muestra la variación anual de las Denuncias (%) por Violaciones a nivel nacional por región y comuna, según datos recopilados desde la Subsecretaria de Prevención del Delito durante el Periodo 2008-2020.</t>
  </si>
  <si>
    <t>chile nacional delitos género violación mujer mujeres víctimas denuncias variación anual comuna región</t>
  </si>
  <si>
    <t>https://analytics.zoho.com/open-view/2395394000008633954</t>
  </si>
  <si>
    <t>Variación Anual de Detenciones</t>
  </si>
  <si>
    <t>Gráfico que muestra la variación anual de las Detenciones (%) por Violaciones a nivel nacional por región y comuna, según datos recopilados desde la Subsecretaria de Prevención del Delito durante el Periodo 2008-2020.</t>
  </si>
  <si>
    <t>chile nacional delitos género violación mujer mujeres víctimas detenciones variación anual comuna región</t>
  </si>
  <si>
    <t>https://analytics.zoho.com/open-view/2395394000008634002</t>
  </si>
  <si>
    <t>Variación Anual de Aprehensiones, Casos Policiales, Denuncias y Detenciones</t>
  </si>
  <si>
    <t>Gráfico que muestra la variación anual de las Aprehensiones, Casos Policiales, Denuncias y Detenciones (%) por Violaciones a nivel nacional por región y comuna, según datos recopilados desde la Subsecretaria de Prevención del Delito durante el Periodo 2008-2020.</t>
  </si>
  <si>
    <t>chile nacional delitos género violación mujer mujeres víctimas aprehensiones casos policiales denuncias detenciones variación anual comuna región</t>
  </si>
  <si>
    <t>https://analytics.zoho.com/open-view/2395394000008634039</t>
  </si>
  <si>
    <t>Frecuencia de Aprehensiones asociadas a VIF a nivel nacional para el Periodo 2005-2021.</t>
  </si>
  <si>
    <t>Frecuencia de Casos Policiales asociadas a VIF a nivel nacional para el Periodo 2005-2021.</t>
  </si>
  <si>
    <t>Frecuencia de Denuncias asociadas a VIF a nivel nacional para el Periodo 2005-2021.</t>
  </si>
  <si>
    <t>Frecuencia de Detenciones asociadas a VIF a nivel nacional para el Periodo 2005-2021.</t>
  </si>
  <si>
    <t>Frecuencia de Aprehensiones, Casos Policiales, Denuncias, Detenciones asociadas a VIF a nivel nacional para el Periodo 2005-2021.</t>
  </si>
  <si>
    <t>Variación Trimestral de Aprehensiones (%) asociadas a VIF a nivel nacional para el Periodo 2005-2021.</t>
  </si>
  <si>
    <t>Variación Trimestral de Casos Policiales (%) asociadas a VIF a nivel nacional para el Periodo 2005-2021.</t>
  </si>
  <si>
    <t>Variación Trimestral de Denuncias (%) asociadas a VIF a nivel nacional para el Periodo 2005-2021.</t>
  </si>
  <si>
    <t>Variación Trimestral de Detenciones (%) asociadas a VIF a nivel nacional para el Periodo 2005-2021.</t>
  </si>
  <si>
    <t>Variación Trimestral de Aprehensiones, Casos Policiales, Denuncias y Detenciones (%) asociadas a VIF a nivel nacional para el Periodo 2005-2021.</t>
  </si>
  <si>
    <t>Frecuencia de Aprehensiones por Violación a nivel nacional para el Periodo 2008-2020.</t>
  </si>
  <si>
    <t>Violación</t>
  </si>
  <si>
    <t>Frecuencia de Casos Policiales por Violación a nivel nacional para el Periodo 2008-2020.</t>
  </si>
  <si>
    <t>Frecuencia de Denuncias por Violación a nivel nacional para el Periodo 2008-2020.</t>
  </si>
  <si>
    <t>Frecuencia de Detenciones por Violación a nivel nacional para el Periodo 2008-2020.</t>
  </si>
  <si>
    <t>Frecuencia de Aprehensiones, Casos Policiales, Denuncias y Detenciones por Violación a nivel nacional para el Periodo 2008-2020.</t>
  </si>
  <si>
    <t>Variación Anual Aprehensiones (%) por Violación a nivel nacional para el Periodo 2005-2021.</t>
  </si>
  <si>
    <t>Variación Anual Casos Policiales (%) por Violación a nivel nacional para el Periodo 2005-2021.</t>
  </si>
  <si>
    <t>Variación Anual Denuncias (%) por Violación a nivel nacional para el Periodo 2005-2021.</t>
  </si>
  <si>
    <t>Variación Anual Detenciones (%) por Violación a nivel nacional para el Periodo 2005-2021.</t>
  </si>
  <si>
    <t>Variación Anual Aprehensiones, Casos Policiales, Denuncias y Detenciones (%) por Violación a nivel nacional para el Periodo 2005-2021.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</si>
</sst>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19" x14ac:knownFonts="1">
    <font>
      <sz val="11"/>
      <color theme="1"/>
      <name val="Calibri"/>
      <family val="2"/>
      <scheme val="minor"/>
    </font>
    <font>
      <b/>
      <sz val="7"/>
      <color theme="0"/>
      <name val="Arial"/>
      <family val="2"/>
    </font>
    <font>
      <u/>
      <sz val="11"/>
      <color theme="10"/>
      <name val="Calibri"/>
      <family val="2"/>
      <scheme val="minor"/>
    </font>
    <font>
      <sz val="9"/>
      <color theme="1"/>
      <name val="Calibri"/>
      <family val="2"/>
      <scheme val="minor"/>
    </font>
    <font>
      <sz val="8"/>
      <color theme="1"/>
      <name val="Calibri"/>
      <family val="2"/>
      <scheme val="minor"/>
    </font>
    <font>
      <u/>
      <sz val="8"/>
      <color theme="10"/>
      <name val="Calibri"/>
      <family val="2"/>
      <scheme val="minor"/>
    </font>
    <font>
      <b/>
      <sz val="9"/>
      <color theme="1"/>
      <name val="Calibri"/>
      <family val="2"/>
      <scheme val="minor"/>
    </font>
    <font>
      <b/>
      <sz val="8"/>
      <color theme="1"/>
      <name val="Calibri"/>
      <family val="2"/>
      <scheme val="minor"/>
    </font>
    <font>
      <sz val="8"/>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1"/>
      <color theme="1"/>
      <name val="Calibri"/>
      <family val="2"/>
      <scheme val="minor"/>
    </font>
    <font>
      <b/>
      <sz val="9"/>
      <color theme="0"/>
      <name val="Calibri"/>
      <family val="2"/>
      <scheme val="minor"/>
    </font>
    <font>
      <b/>
      <sz val="10"/>
      <color theme="0"/>
      <name val="Calibri"/>
      <family val="2"/>
      <scheme val="minor"/>
    </font>
    <font>
      <b/>
      <sz val="12"/>
      <color rgb="FFFF0000"/>
      <name val="Calibri"/>
      <family val="2"/>
      <scheme val="minor"/>
    </font>
    <font>
      <b/>
      <sz val="12"/>
      <color rgb="FF002060"/>
      <name val="Calibri"/>
      <family val="2"/>
      <scheme val="minor"/>
    </font>
    <font>
      <b/>
      <sz val="9"/>
      <color rgb="FFFF0000"/>
      <name val="Calibri"/>
      <family val="2"/>
      <scheme val="minor"/>
    </font>
    <font>
      <b/>
      <sz val="10"/>
      <name val="Calibri"/>
      <family val="2"/>
      <scheme val="minor"/>
    </font>
  </fonts>
  <fills count="22">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249977111117893"/>
        <bgColor theme="1"/>
      </patternFill>
    </fill>
    <fill>
      <patternFill patternType="solid">
        <fgColor theme="9" tint="-0.249977111117893"/>
        <bgColor indexed="64"/>
      </patternFill>
    </fill>
    <fill>
      <patternFill patternType="solid">
        <fgColor rgb="FFFF0000"/>
        <bgColor indexed="64"/>
      </patternFill>
    </fill>
    <fill>
      <patternFill patternType="solid">
        <fgColor rgb="FFFF0000"/>
        <bgColor theme="1"/>
      </patternFill>
    </fill>
    <fill>
      <patternFill patternType="solid">
        <fgColor theme="3"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3">
    <xf numFmtId="0" fontId="0" fillId="0" borderId="0"/>
    <xf numFmtId="0" fontId="2" fillId="0" borderId="0" applyNumberFormat="0" applyFill="0" applyBorder="0" applyAlignment="0" applyProtection="0"/>
    <xf numFmtId="41" fontId="12" fillId="0" borderId="0" applyFont="0" applyFill="0" applyBorder="0" applyAlignment="0" applyProtection="0"/>
  </cellStyleXfs>
  <cellXfs count="97">
    <xf numFmtId="0" fontId="0" fillId="0" borderId="0" xfId="0"/>
    <xf numFmtId="0" fontId="4" fillId="0" borderId="0" xfId="0" applyFont="1" applyAlignment="1">
      <alignment wrapText="1"/>
    </xf>
    <xf numFmtId="0" fontId="0" fillId="0" borderId="0" xfId="0" applyAlignment="1">
      <alignment horizontal="center"/>
    </xf>
    <xf numFmtId="0" fontId="1" fillId="6" borderId="2" xfId="0" applyFont="1" applyFill="1" applyBorder="1" applyAlignment="1">
      <alignment horizontal="left" vertical="center" wrapText="1"/>
    </xf>
    <xf numFmtId="0" fontId="0" fillId="0" borderId="0" xfId="0" pivotButton="1"/>
    <xf numFmtId="0" fontId="11" fillId="8" borderId="0" xfId="0" applyFont="1" applyFill="1"/>
    <xf numFmtId="0" fontId="10" fillId="8" borderId="3" xfId="0" applyFont="1" applyFill="1" applyBorder="1"/>
    <xf numFmtId="0" fontId="1" fillId="2" borderId="4"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6"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4" fillId="0" borderId="1" xfId="0" applyFont="1" applyBorder="1" applyAlignment="1">
      <alignment vertical="top" wrapText="1"/>
    </xf>
    <xf numFmtId="0" fontId="5" fillId="0" borderId="1" xfId="1" applyFont="1" applyBorder="1" applyAlignment="1">
      <alignment vertical="top" wrapText="1"/>
    </xf>
    <xf numFmtId="0" fontId="0" fillId="5" borderId="0" xfId="0" applyFill="1"/>
    <xf numFmtId="0" fontId="1" fillId="9" borderId="2" xfId="0" applyFont="1" applyFill="1" applyBorder="1" applyAlignment="1">
      <alignment horizontal="left" vertical="center" wrapText="1"/>
    </xf>
    <xf numFmtId="0" fontId="7" fillId="10" borderId="1" xfId="0" applyFont="1" applyFill="1" applyBorder="1" applyAlignment="1">
      <alignment horizontal="center" vertical="center"/>
    </xf>
    <xf numFmtId="0" fontId="6" fillId="0" borderId="1" xfId="0" applyFont="1" applyBorder="1" applyAlignment="1">
      <alignment horizontal="center" vertical="top"/>
    </xf>
    <xf numFmtId="0" fontId="9" fillId="0" borderId="0" xfId="0" applyFont="1" applyAlignment="1">
      <alignment horizontal="center"/>
    </xf>
    <xf numFmtId="0" fontId="0" fillId="11" borderId="0" xfId="0" applyFill="1"/>
    <xf numFmtId="0" fontId="10" fillId="3" borderId="0" xfId="0" applyFont="1" applyFill="1"/>
    <xf numFmtId="0" fontId="9" fillId="5" borderId="0" xfId="0" applyFont="1" applyFill="1" applyAlignment="1">
      <alignment horizontal="center"/>
    </xf>
    <xf numFmtId="0" fontId="7" fillId="0" borderId="1" xfId="0" applyFont="1" applyBorder="1" applyAlignment="1">
      <alignment horizontal="center" vertical="top" wrapText="1"/>
    </xf>
    <xf numFmtId="0" fontId="2" fillId="0" borderId="1" xfId="1" applyBorder="1" applyAlignment="1">
      <alignment vertical="top" wrapText="1"/>
    </xf>
    <xf numFmtId="0" fontId="7" fillId="12" borderId="1" xfId="0" applyFont="1" applyFill="1" applyBorder="1" applyAlignment="1">
      <alignment horizontal="center" vertical="center"/>
    </xf>
    <xf numFmtId="0" fontId="4" fillId="0" borderId="1" xfId="0" applyFont="1" applyBorder="1" applyAlignment="1">
      <alignment horizontal="left" vertical="top" wrapText="1"/>
    </xf>
    <xf numFmtId="0" fontId="3" fillId="12" borderId="1" xfId="0" applyFont="1" applyFill="1" applyBorder="1" applyAlignment="1">
      <alignment horizontal="center" vertical="top" wrapText="1"/>
    </xf>
    <xf numFmtId="0" fontId="13" fillId="7" borderId="1" xfId="0" applyFont="1" applyFill="1" applyBorder="1" applyAlignment="1">
      <alignment horizontal="center" vertical="top" wrapText="1"/>
    </xf>
    <xf numFmtId="0" fontId="13" fillId="13"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14" fillId="8" borderId="1" xfId="0" quotePrefix="1" applyFont="1" applyFill="1" applyBorder="1" applyAlignment="1">
      <alignment horizontal="center" vertical="center" wrapText="1"/>
    </xf>
    <xf numFmtId="0" fontId="4" fillId="0" borderId="1" xfId="0" applyFont="1" applyBorder="1" applyAlignment="1">
      <alignment horizontal="center" vertical="top" wrapText="1"/>
    </xf>
    <xf numFmtId="0" fontId="4" fillId="0" borderId="4" xfId="0" applyFont="1" applyBorder="1" applyAlignment="1">
      <alignment horizontal="left" vertical="top" wrapText="1"/>
    </xf>
    <xf numFmtId="41" fontId="15" fillId="0" borderId="0" xfId="2" applyFont="1" applyAlignment="1">
      <alignment horizontal="center" vertical="center"/>
    </xf>
    <xf numFmtId="41" fontId="16" fillId="0" borderId="0" xfId="2" applyFont="1" applyAlignment="1">
      <alignment horizontal="center" vertical="center"/>
    </xf>
    <xf numFmtId="0" fontId="3" fillId="4" borderId="1" xfId="0" applyFont="1" applyFill="1" applyBorder="1" applyAlignment="1">
      <alignment horizontal="center" vertical="top" wrapText="1"/>
    </xf>
    <xf numFmtId="0" fontId="13" fillId="15" borderId="1" xfId="0" applyFont="1" applyFill="1" applyBorder="1" applyAlignment="1">
      <alignment horizontal="center" vertical="top" wrapText="1"/>
    </xf>
    <xf numFmtId="0" fontId="7" fillId="4" borderId="1" xfId="0" applyFont="1" applyFill="1" applyBorder="1" applyAlignment="1">
      <alignment horizontal="center" vertical="center"/>
    </xf>
    <xf numFmtId="0" fontId="0" fillId="0" borderId="0" xfId="0" applyFill="1"/>
    <xf numFmtId="0" fontId="4" fillId="5" borderId="1" xfId="0" applyFont="1" applyFill="1" applyBorder="1" applyAlignment="1">
      <alignment vertical="top" wrapText="1"/>
    </xf>
    <xf numFmtId="0" fontId="4" fillId="5" borderId="1" xfId="0" applyFont="1" applyFill="1" applyBorder="1" applyAlignment="1">
      <alignment horizontal="left" vertical="top" wrapText="1"/>
    </xf>
    <xf numFmtId="0" fontId="2" fillId="0" borderId="0" xfId="1" applyAlignment="1">
      <alignment wrapText="1"/>
    </xf>
    <xf numFmtId="0" fontId="0" fillId="0" borderId="0" xfId="0" quotePrefix="1"/>
    <xf numFmtId="0" fontId="0" fillId="0" borderId="0" xfId="0" applyNumberFormat="1"/>
    <xf numFmtId="0" fontId="4" fillId="5" borderId="5" xfId="0" applyFont="1" applyFill="1" applyBorder="1" applyAlignment="1">
      <alignment horizontal="left" vertical="top" wrapText="1"/>
    </xf>
    <xf numFmtId="0" fontId="4" fillId="0" borderId="6" xfId="0" applyFont="1" applyBorder="1" applyAlignment="1">
      <alignment horizontal="left" vertical="top" wrapText="1"/>
    </xf>
    <xf numFmtId="0" fontId="3" fillId="0" borderId="0" xfId="0" applyFont="1"/>
    <xf numFmtId="0" fontId="6" fillId="0" borderId="0" xfId="0" applyFont="1" applyAlignment="1">
      <alignment horizontal="center" vertical="center"/>
    </xf>
    <xf numFmtId="0" fontId="6" fillId="0" borderId="0" xfId="0" applyFont="1"/>
    <xf numFmtId="0" fontId="6" fillId="4" borderId="0" xfId="0" applyFont="1" applyFill="1" applyAlignment="1">
      <alignment horizontal="center" vertical="center"/>
    </xf>
    <xf numFmtId="0" fontId="0" fillId="0" borderId="0" xfId="0" applyAlignment="1">
      <alignment vertical="center"/>
    </xf>
    <xf numFmtId="0" fontId="17" fillId="5" borderId="0" xfId="0" applyFont="1" applyFill="1" applyAlignment="1">
      <alignment horizontal="center" vertical="center"/>
    </xf>
    <xf numFmtId="0" fontId="6" fillId="4" borderId="0" xfId="0" applyFont="1" applyFill="1" applyAlignment="1">
      <alignment vertical="center"/>
    </xf>
    <xf numFmtId="0" fontId="3" fillId="0" borderId="1" xfId="0" applyFont="1" applyFill="1" applyBorder="1" applyAlignment="1">
      <alignment horizontal="left" vertical="top" wrapText="1"/>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3" fillId="0" borderId="4" xfId="0" applyFont="1" applyFill="1" applyBorder="1" applyAlignment="1">
      <alignment horizontal="left" vertical="top" wrapText="1"/>
    </xf>
    <xf numFmtId="0" fontId="3" fillId="14" borderId="4" xfId="0" applyFont="1" applyFill="1" applyBorder="1" applyAlignment="1">
      <alignment horizontal="center" vertical="top" wrapText="1"/>
    </xf>
    <xf numFmtId="0" fontId="4" fillId="0" borderId="4" xfId="0" applyFont="1" applyBorder="1" applyAlignment="1">
      <alignment horizontal="center" vertical="top" wrapText="1"/>
    </xf>
    <xf numFmtId="0" fontId="4" fillId="5" borderId="4" xfId="0" applyFont="1" applyFill="1" applyBorder="1" applyAlignment="1">
      <alignment horizontal="left" vertical="top" wrapText="1"/>
    </xf>
    <xf numFmtId="0" fontId="4" fillId="0" borderId="4" xfId="0" applyFont="1" applyBorder="1" applyAlignment="1">
      <alignment vertical="top" wrapText="1"/>
    </xf>
    <xf numFmtId="0" fontId="0" fillId="0" borderId="0" xfId="0" applyFont="1" applyAlignment="1">
      <alignment horizontal="center" vertical="center"/>
    </xf>
    <xf numFmtId="0" fontId="2" fillId="0" borderId="4" xfId="1" applyBorder="1" applyAlignment="1">
      <alignment vertical="top" wrapText="1"/>
    </xf>
    <xf numFmtId="0" fontId="3" fillId="4" borderId="1"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5" fillId="0" borderId="1" xfId="1" applyFont="1" applyFill="1" applyBorder="1" applyAlignment="1">
      <alignment vertical="top" wrapText="1"/>
    </xf>
    <xf numFmtId="0" fontId="4" fillId="16" borderId="1" xfId="0" applyFont="1" applyFill="1" applyBorder="1" applyAlignment="1">
      <alignment horizontal="left" vertical="top" wrapText="1"/>
    </xf>
    <xf numFmtId="0" fontId="7" fillId="12" borderId="4" xfId="0" applyFont="1" applyFill="1" applyBorder="1" applyAlignment="1">
      <alignment horizontal="center" vertical="center"/>
    </xf>
    <xf numFmtId="0" fontId="5" fillId="0" borderId="4" xfId="1" applyFont="1" applyBorder="1" applyAlignment="1">
      <alignment vertical="top" wrapText="1"/>
    </xf>
    <xf numFmtId="0" fontId="18" fillId="0" borderId="1" xfId="0" quotePrefix="1" applyFont="1" applyFill="1" applyBorder="1" applyAlignment="1">
      <alignment horizontal="center" vertical="center" wrapText="1"/>
    </xf>
    <xf numFmtId="0" fontId="4" fillId="0" borderId="1"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1" xfId="0" applyFont="1" applyFill="1" applyBorder="1" applyAlignment="1">
      <alignment vertical="top" wrapText="1"/>
    </xf>
    <xf numFmtId="0" fontId="3" fillId="17" borderId="1" xfId="0" applyFont="1" applyFill="1" applyBorder="1" applyAlignment="1">
      <alignment horizontal="center" vertical="top" wrapText="1"/>
    </xf>
    <xf numFmtId="0" fontId="3" fillId="17" borderId="4" xfId="0" applyFont="1" applyFill="1" applyBorder="1" applyAlignment="1">
      <alignment horizontal="center" vertical="top" wrapText="1"/>
    </xf>
    <xf numFmtId="0" fontId="4" fillId="17" borderId="1" xfId="0" applyFont="1" applyFill="1" applyBorder="1" applyAlignment="1">
      <alignment horizontal="left" vertical="top" wrapText="1"/>
    </xf>
    <xf numFmtId="0" fontId="4" fillId="17" borderId="4" xfId="0" applyFont="1" applyFill="1" applyBorder="1" applyAlignment="1">
      <alignment horizontal="left" vertical="top" wrapText="1"/>
    </xf>
    <xf numFmtId="0" fontId="3" fillId="19" borderId="1" xfId="0" applyFont="1" applyFill="1" applyBorder="1" applyAlignment="1">
      <alignment horizontal="center" vertical="top" wrapText="1"/>
    </xf>
    <xf numFmtId="0" fontId="3" fillId="16" borderId="1" xfId="0" applyFont="1" applyFill="1" applyBorder="1" applyAlignment="1">
      <alignment horizontal="center" vertical="top" wrapText="1"/>
    </xf>
    <xf numFmtId="0" fontId="3" fillId="18" borderId="1" xfId="0" applyFont="1" applyFill="1" applyBorder="1" applyAlignment="1">
      <alignment horizontal="center" vertical="top" wrapText="1"/>
    </xf>
    <xf numFmtId="0" fontId="3" fillId="16" borderId="4" xfId="0" applyFont="1" applyFill="1" applyBorder="1" applyAlignment="1">
      <alignment horizontal="center" vertical="top" wrapText="1"/>
    </xf>
    <xf numFmtId="1" fontId="3" fillId="4" borderId="1" xfId="0" applyNumberFormat="1" applyFont="1" applyFill="1" applyBorder="1" applyAlignment="1">
      <alignment horizontal="center" vertical="center" wrapText="1"/>
    </xf>
    <xf numFmtId="0" fontId="3" fillId="0" borderId="4" xfId="0" applyFont="1" applyFill="1" applyBorder="1" applyAlignment="1">
      <alignment horizontal="center" vertical="top" wrapText="1"/>
    </xf>
    <xf numFmtId="0" fontId="7" fillId="10" borderId="1" xfId="0" applyFont="1" applyFill="1" applyBorder="1" applyAlignment="1">
      <alignment horizontal="center" vertical="center"/>
    </xf>
    <xf numFmtId="0" fontId="13" fillId="13"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14" fillId="8" borderId="1" xfId="0" quotePrefix="1" applyFont="1" applyFill="1" applyBorder="1" applyAlignment="1">
      <alignment horizontal="center" vertical="center" wrapText="1"/>
    </xf>
    <xf numFmtId="0" fontId="3" fillId="20" borderId="4" xfId="0" applyFont="1" applyFill="1" applyBorder="1" applyAlignment="1">
      <alignment horizontal="center" vertical="top" wrapText="1"/>
    </xf>
    <xf numFmtId="0" fontId="4" fillId="20" borderId="1" xfId="0" applyFont="1" applyFill="1" applyBorder="1" applyAlignment="1">
      <alignment horizontal="left" vertical="top" wrapText="1"/>
    </xf>
    <xf numFmtId="0" fontId="4" fillId="20" borderId="4" xfId="0" applyFont="1" applyFill="1" applyBorder="1" applyAlignment="1">
      <alignment horizontal="left" vertical="top" wrapText="1"/>
    </xf>
    <xf numFmtId="0" fontId="4" fillId="21"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5" borderId="4" xfId="0" applyFont="1" applyFill="1" applyBorder="1" applyAlignment="1">
      <alignment horizontal="left" vertical="top" wrapText="1"/>
    </xf>
  </cellXfs>
  <cellStyles count="3">
    <cellStyle name="Hipervínculo" xfId="1" builtinId="8"/>
    <cellStyle name="Millares [0]" xfId="2" builtinId="6"/>
    <cellStyle name="Normal" xfId="0" builtinId="0"/>
  </cellStyles>
  <dxfs count="253">
    <dxf>
      <font>
        <color theme="0"/>
      </font>
      <fill>
        <patternFill patternType="solid">
          <fgColor indexed="64"/>
          <bgColor rgb="FFFF0000"/>
        </patternFill>
      </fill>
    </dxf>
    <dxf>
      <font>
        <color theme="0"/>
      </font>
    </dxf>
    <dxf>
      <fill>
        <patternFill patternType="solid">
          <bgColor rgb="FFFF0000"/>
        </patternFill>
      </fill>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z val="9"/>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sz val="9"/>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8"/>
        <color theme="1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rgb="FFFFFF0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1"/>
        <name val="Calibri"/>
        <family val="2"/>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7"/>
        <color theme="0"/>
        <name val="Arial"/>
        <family val="2"/>
        <scheme val="none"/>
      </font>
      <fill>
        <patternFill patternType="solid">
          <fgColor theme="1"/>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externalLink" Target="externalLinks/externalLink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44450</xdr:colOff>
      <xdr:row>6</xdr:row>
      <xdr:rowOff>44450</xdr:rowOff>
    </xdr:to>
    <mc:AlternateContent xmlns:mc="http://schemas.openxmlformats.org/markup-compatibility/2006" xmlns:a14="http://schemas.microsoft.com/office/drawing/2010/main">
      <mc:Choice Requires="a14">
        <xdr:graphicFrame macro="">
          <xdr:nvGraphicFramePr>
            <xdr:cNvPr id="2" name="tema 2">
              <a:extLst>
                <a:ext uri="{FF2B5EF4-FFF2-40B4-BE49-F238E27FC236}">
                  <a16:creationId xmlns:a16="http://schemas.microsoft.com/office/drawing/2014/main" id="{F69A3249-63BD-474F-B25D-5DE022FB864C}"/>
                </a:ext>
              </a:extLst>
            </xdr:cNvPr>
            <xdr:cNvGraphicFramePr/>
          </xdr:nvGraphicFramePr>
          <xdr:xfrm>
            <a:off x="0" y="0"/>
            <a:ext cx="0" cy="0"/>
          </xdr:xfrm>
          <a:graphic>
            <a:graphicData uri="http://schemas.microsoft.com/office/drawing/2010/slicer">
              <sle:slicer xmlns:sle="http://schemas.microsoft.com/office/drawing/2010/slicer" name="tema 2"/>
            </a:graphicData>
          </a:graphic>
        </xdr:graphicFrame>
      </mc:Choice>
      <mc:Fallback xmlns="">
        <xdr:sp macro="" textlink="">
          <xdr:nvSpPr>
            <xdr:cNvPr id="0" name=""/>
            <xdr:cNvSpPr>
              <a:spLocks noTextEdit="1"/>
            </xdr:cNvSpPr>
          </xdr:nvSpPr>
          <xdr:spPr>
            <a:xfrm>
              <a:off x="0" y="0"/>
              <a:ext cx="2316339" cy="1151467"/>
            </a:xfrm>
            <a:prstGeom prst="rect">
              <a:avLst/>
            </a:prstGeom>
            <a:solidFill>
              <a:prstClr val="white"/>
            </a:solidFill>
            <a:ln w="1">
              <a:solidFill>
                <a:prstClr val="green"/>
              </a:solidFill>
            </a:ln>
          </xdr:spPr>
          <xdr:txBody>
            <a:bodyPr vertOverflow="clip" horzOverflow="clip"/>
            <a:lstStyle/>
            <a:p>
              <a:r>
                <a:rPr lang="es-C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3</xdr:col>
      <xdr:colOff>25400</xdr:colOff>
      <xdr:row>0</xdr:row>
      <xdr:rowOff>6350</xdr:rowOff>
    </xdr:from>
    <xdr:to>
      <xdr:col>5</xdr:col>
      <xdr:colOff>1054100</xdr:colOff>
      <xdr:row>6</xdr:row>
      <xdr:rowOff>95249</xdr:rowOff>
    </xdr:to>
    <mc:AlternateContent xmlns:mc="http://schemas.openxmlformats.org/markup-compatibility/2006" xmlns:a14="http://schemas.microsoft.com/office/drawing/2010/main">
      <mc:Choice Requires="a14">
        <xdr:graphicFrame macro="">
          <xdr:nvGraphicFramePr>
            <xdr:cNvPr id="3" name="contenido 2">
              <a:extLst>
                <a:ext uri="{FF2B5EF4-FFF2-40B4-BE49-F238E27FC236}">
                  <a16:creationId xmlns:a16="http://schemas.microsoft.com/office/drawing/2014/main" id="{84F9E17A-B6F8-4BA6-8ED0-B84C4F6C3101}"/>
                </a:ext>
              </a:extLst>
            </xdr:cNvPr>
            <xdr:cNvGraphicFramePr/>
          </xdr:nvGraphicFramePr>
          <xdr:xfrm>
            <a:off x="0" y="0"/>
            <a:ext cx="0" cy="0"/>
          </xdr:xfrm>
          <a:graphic>
            <a:graphicData uri="http://schemas.microsoft.com/office/drawing/2010/slicer">
              <sle:slicer xmlns:sle="http://schemas.microsoft.com/office/drawing/2010/slicer" name="contenido 2"/>
            </a:graphicData>
          </a:graphic>
        </xdr:graphicFrame>
      </mc:Choice>
      <mc:Fallback xmlns="">
        <xdr:sp macro="" textlink="">
          <xdr:nvSpPr>
            <xdr:cNvPr id="0" name=""/>
            <xdr:cNvSpPr>
              <a:spLocks noTextEdit="1"/>
            </xdr:cNvSpPr>
          </xdr:nvSpPr>
          <xdr:spPr>
            <a:xfrm>
              <a:off x="2297289" y="6350"/>
              <a:ext cx="3695700" cy="1189566"/>
            </a:xfrm>
            <a:prstGeom prst="rect">
              <a:avLst/>
            </a:prstGeom>
            <a:solidFill>
              <a:prstClr val="white"/>
            </a:solidFill>
            <a:ln w="1">
              <a:solidFill>
                <a:prstClr val="green"/>
              </a:solidFill>
            </a:ln>
          </xdr:spPr>
          <xdr:txBody>
            <a:bodyPr vertOverflow="clip" horzOverflow="clip"/>
            <a:lstStyle/>
            <a:p>
              <a:r>
                <a:rPr lang="es-C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5</xdr:col>
      <xdr:colOff>1200855</xdr:colOff>
      <xdr:row>0</xdr:row>
      <xdr:rowOff>0</xdr:rowOff>
    </xdr:from>
    <xdr:to>
      <xdr:col>6</xdr:col>
      <xdr:colOff>1237544</xdr:colOff>
      <xdr:row>6</xdr:row>
      <xdr:rowOff>63500</xdr:rowOff>
    </xdr:to>
    <mc:AlternateContent xmlns:mc="http://schemas.openxmlformats.org/markup-compatibility/2006" xmlns:a14="http://schemas.microsoft.com/office/drawing/2010/main">
      <mc:Choice Requires="a14">
        <xdr:graphicFrame macro="">
          <xdr:nvGraphicFramePr>
            <xdr:cNvPr id="4" name="escala 2">
              <a:extLst>
                <a:ext uri="{FF2B5EF4-FFF2-40B4-BE49-F238E27FC236}">
                  <a16:creationId xmlns:a16="http://schemas.microsoft.com/office/drawing/2014/main" id="{9749B76C-4DFB-44DE-817C-3DCEFAEE3860}"/>
                </a:ext>
              </a:extLst>
            </xdr:cNvPr>
            <xdr:cNvGraphicFramePr/>
          </xdr:nvGraphicFramePr>
          <xdr:xfrm>
            <a:off x="0" y="0"/>
            <a:ext cx="0" cy="0"/>
          </xdr:xfrm>
          <a:graphic>
            <a:graphicData uri="http://schemas.microsoft.com/office/drawing/2010/slicer">
              <sle:slicer xmlns:sle="http://schemas.microsoft.com/office/drawing/2010/slicer" name="escala 2"/>
            </a:graphicData>
          </a:graphic>
        </xdr:graphicFrame>
      </mc:Choice>
      <mc:Fallback xmlns="">
        <xdr:sp macro="" textlink="">
          <xdr:nvSpPr>
            <xdr:cNvPr id="0" name=""/>
            <xdr:cNvSpPr>
              <a:spLocks noTextEdit="1"/>
            </xdr:cNvSpPr>
          </xdr:nvSpPr>
          <xdr:spPr>
            <a:xfrm>
              <a:off x="6139744" y="0"/>
              <a:ext cx="1828800" cy="1170517"/>
            </a:xfrm>
            <a:prstGeom prst="rect">
              <a:avLst/>
            </a:prstGeom>
            <a:solidFill>
              <a:prstClr val="white"/>
            </a:solidFill>
            <a:ln w="1">
              <a:solidFill>
                <a:prstClr val="green"/>
              </a:solidFill>
            </a:ln>
          </xdr:spPr>
          <xdr:txBody>
            <a:bodyPr vertOverflow="clip" horzOverflow="clip"/>
            <a:lstStyle/>
            <a:p>
              <a:r>
                <a:rPr lang="es-C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3</xdr:col>
      <xdr:colOff>179705</xdr:colOff>
      <xdr:row>8</xdr:row>
      <xdr:rowOff>26035</xdr:rowOff>
    </xdr:to>
    <mc:AlternateContent xmlns:mc="http://schemas.openxmlformats.org/markup-compatibility/2006" xmlns:sle15="http://schemas.microsoft.com/office/drawing/2012/slicer">
      <mc:Choice Requires="sle15">
        <xdr:graphicFrame macro="">
          <xdr:nvGraphicFramePr>
            <xdr:cNvPr id="2" name="tema">
              <a:extLst>
                <a:ext uri="{FF2B5EF4-FFF2-40B4-BE49-F238E27FC236}">
                  <a16:creationId xmlns:a16="http://schemas.microsoft.com/office/drawing/2014/main" id="{056B44E3-2CF5-435C-B2EE-613866357BA7}"/>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0" y="1"/>
              <a:ext cx="1554480" cy="14554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217805</xdr:colOff>
      <xdr:row>0</xdr:row>
      <xdr:rowOff>1</xdr:rowOff>
    </xdr:from>
    <xdr:to>
      <xdr:col>5</xdr:col>
      <xdr:colOff>488315</xdr:colOff>
      <xdr:row>8</xdr:row>
      <xdr:rowOff>12065</xdr:rowOff>
    </xdr:to>
    <mc:AlternateContent xmlns:mc="http://schemas.openxmlformats.org/markup-compatibility/2006" xmlns:sle15="http://schemas.microsoft.com/office/drawing/2012/slicer">
      <mc:Choice Requires="sle15">
        <xdr:graphicFrame macro="">
          <xdr:nvGraphicFramePr>
            <xdr:cNvPr id="3" name="contenido">
              <a:extLst>
                <a:ext uri="{FF2B5EF4-FFF2-40B4-BE49-F238E27FC236}">
                  <a16:creationId xmlns:a16="http://schemas.microsoft.com/office/drawing/2014/main" id="{42131667-405A-42CE-99D9-E3F69308DB8B}"/>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1592580" y="1"/>
              <a:ext cx="1828800" cy="14477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216535</xdr:colOff>
      <xdr:row>0</xdr:row>
      <xdr:rowOff>12066</xdr:rowOff>
    </xdr:from>
    <xdr:to>
      <xdr:col>12</xdr:col>
      <xdr:colOff>103505</xdr:colOff>
      <xdr:row>7</xdr:row>
      <xdr:rowOff>141605</xdr:rowOff>
    </xdr:to>
    <mc:AlternateContent xmlns:mc="http://schemas.openxmlformats.org/markup-compatibility/2006" xmlns:sle15="http://schemas.microsoft.com/office/drawing/2012/slicer">
      <mc:Choice Requires="sle15">
        <xdr:graphicFrame macro="">
          <xdr:nvGraphicFramePr>
            <xdr:cNvPr id="4" name="escala">
              <a:extLst>
                <a:ext uri="{FF2B5EF4-FFF2-40B4-BE49-F238E27FC236}">
                  <a16:creationId xmlns:a16="http://schemas.microsoft.com/office/drawing/2014/main" id="{1DA5FA5A-A10C-4AC0-8DE6-38CAAA6FF455}"/>
                </a:ext>
              </a:extLst>
            </xdr:cNvPr>
            <xdr:cNvGraphicFramePr/>
          </xdr:nvGraphicFramePr>
          <xdr:xfrm>
            <a:off x="0" y="0"/>
            <a:ext cx="0" cy="0"/>
          </xdr:xfrm>
          <a:graphic>
            <a:graphicData uri="http://schemas.microsoft.com/office/drawing/2010/slicer">
              <sle:slicer xmlns:sle="http://schemas.microsoft.com/office/drawing/2010/slicer" name="escala"/>
            </a:graphicData>
          </a:graphic>
        </xdr:graphicFrame>
      </mc:Choice>
      <mc:Fallback xmlns="">
        <xdr:sp macro="" textlink="">
          <xdr:nvSpPr>
            <xdr:cNvPr id="0" name=""/>
            <xdr:cNvSpPr>
              <a:spLocks noTextEdit="1"/>
            </xdr:cNvSpPr>
          </xdr:nvSpPr>
          <xdr:spPr>
            <a:xfrm>
              <a:off x="8587740" y="15241"/>
              <a:ext cx="975360" cy="1409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152400</xdr:colOff>
      <xdr:row>0</xdr:row>
      <xdr:rowOff>26035</xdr:rowOff>
    </xdr:from>
    <xdr:to>
      <xdr:col>14</xdr:col>
      <xdr:colOff>1993265</xdr:colOff>
      <xdr:row>8</xdr:row>
      <xdr:rowOff>10794</xdr:rowOff>
    </xdr:to>
    <mc:AlternateContent xmlns:mc="http://schemas.openxmlformats.org/markup-compatibility/2006" xmlns:sle15="http://schemas.microsoft.com/office/drawing/2012/slicer">
      <mc:Choice Requires="sle15">
        <xdr:graphicFrame macro="">
          <xdr:nvGraphicFramePr>
            <xdr:cNvPr id="5" name="territorio">
              <a:extLst>
                <a:ext uri="{FF2B5EF4-FFF2-40B4-BE49-F238E27FC236}">
                  <a16:creationId xmlns:a16="http://schemas.microsoft.com/office/drawing/2014/main" id="{6B8E7869-70E5-4606-924E-17BD5A14D931}"/>
                </a:ext>
              </a:extLst>
            </xdr:cNvPr>
            <xdr:cNvGraphicFramePr/>
          </xdr:nvGraphicFramePr>
          <xdr:xfrm>
            <a:off x="0" y="0"/>
            <a:ext cx="0" cy="0"/>
          </xdr:xfrm>
          <a:graphic>
            <a:graphicData uri="http://schemas.microsoft.com/office/drawing/2010/slicer">
              <sle:slicer xmlns:sle="http://schemas.microsoft.com/office/drawing/2010/slicer" name="territorio"/>
            </a:graphicData>
          </a:graphic>
        </xdr:graphicFrame>
      </mc:Choice>
      <mc:Fallback xmlns="">
        <xdr:sp macro="" textlink="">
          <xdr:nvSpPr>
            <xdr:cNvPr id="0" name=""/>
            <xdr:cNvSpPr>
              <a:spLocks noTextEdit="1"/>
            </xdr:cNvSpPr>
          </xdr:nvSpPr>
          <xdr:spPr>
            <a:xfrm>
              <a:off x="9608820" y="22860"/>
              <a:ext cx="4030980" cy="14173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503555</xdr:colOff>
      <xdr:row>0</xdr:row>
      <xdr:rowOff>27306</xdr:rowOff>
    </xdr:from>
    <xdr:to>
      <xdr:col>6</xdr:col>
      <xdr:colOff>916940</xdr:colOff>
      <xdr:row>8</xdr:row>
      <xdr:rowOff>38100</xdr:rowOff>
    </xdr:to>
    <mc:AlternateContent xmlns:mc="http://schemas.openxmlformats.org/markup-compatibility/2006" xmlns:sle15="http://schemas.microsoft.com/office/drawing/2012/slicer">
      <mc:Choice Requires="sle15">
        <xdr:graphicFrame macro="">
          <xdr:nvGraphicFramePr>
            <xdr:cNvPr id="6" name="Filtro Integrado">
              <a:extLst>
                <a:ext uri="{FF2B5EF4-FFF2-40B4-BE49-F238E27FC236}">
                  <a16:creationId xmlns:a16="http://schemas.microsoft.com/office/drawing/2014/main" id="{2E96560E-76DD-44CB-A58B-0E6DFB6EFFF2}"/>
                </a:ext>
              </a:extLst>
            </xdr:cNvPr>
            <xdr:cNvGraphicFramePr/>
          </xdr:nvGraphicFramePr>
          <xdr:xfrm>
            <a:off x="0" y="0"/>
            <a:ext cx="0" cy="0"/>
          </xdr:xfrm>
          <a:graphic>
            <a:graphicData uri="http://schemas.microsoft.com/office/drawing/2010/slicer">
              <sle:slicer xmlns:sle="http://schemas.microsoft.com/office/drawing/2010/slicer" name="Filtro Integrado"/>
            </a:graphicData>
          </a:graphic>
        </xdr:graphicFrame>
      </mc:Choice>
      <mc:Fallback xmlns="">
        <xdr:sp macro="" textlink="">
          <xdr:nvSpPr>
            <xdr:cNvPr id="0" name=""/>
            <xdr:cNvSpPr>
              <a:spLocks noTextEdit="1"/>
            </xdr:cNvSpPr>
          </xdr:nvSpPr>
          <xdr:spPr>
            <a:xfrm>
              <a:off x="3276600" y="30481"/>
              <a:ext cx="1539240" cy="14401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933450</xdr:colOff>
      <xdr:row>0</xdr:row>
      <xdr:rowOff>10796</xdr:rowOff>
    </xdr:from>
    <xdr:to>
      <xdr:col>9</xdr:col>
      <xdr:colOff>607695</xdr:colOff>
      <xdr:row>8</xdr:row>
      <xdr:rowOff>10795</xdr:rowOff>
    </xdr:to>
    <mc:AlternateContent xmlns:mc="http://schemas.openxmlformats.org/markup-compatibility/2006" xmlns:sle15="http://schemas.microsoft.com/office/drawing/2012/slicer">
      <mc:Choice Requires="sle15">
        <xdr:graphicFrame macro="">
          <xdr:nvGraphicFramePr>
            <xdr:cNvPr id="7" name="Muestra">
              <a:extLst>
                <a:ext uri="{FF2B5EF4-FFF2-40B4-BE49-F238E27FC236}">
                  <a16:creationId xmlns:a16="http://schemas.microsoft.com/office/drawing/2014/main" id="{B5E111D5-BC4E-44D0-B428-EABBE94E0091}"/>
                </a:ext>
              </a:extLst>
            </xdr:cNvPr>
            <xdr:cNvGraphicFramePr/>
          </xdr:nvGraphicFramePr>
          <xdr:xfrm>
            <a:off x="0" y="0"/>
            <a:ext cx="0" cy="0"/>
          </xdr:xfrm>
          <a:graphic>
            <a:graphicData uri="http://schemas.microsoft.com/office/drawing/2010/slicer">
              <sle:slicer xmlns:sle="http://schemas.microsoft.com/office/drawing/2010/slicer" name="Muestra"/>
            </a:graphicData>
          </a:graphic>
        </xdr:graphicFrame>
      </mc:Choice>
      <mc:Fallback xmlns="">
        <xdr:sp macro="" textlink="">
          <xdr:nvSpPr>
            <xdr:cNvPr id="0" name=""/>
            <xdr:cNvSpPr>
              <a:spLocks noTextEdit="1"/>
            </xdr:cNvSpPr>
          </xdr:nvSpPr>
          <xdr:spPr>
            <a:xfrm>
              <a:off x="4838700" y="7621"/>
              <a:ext cx="2095500" cy="143255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664210</xdr:colOff>
      <xdr:row>0</xdr:row>
      <xdr:rowOff>26035</xdr:rowOff>
    </xdr:from>
    <xdr:to>
      <xdr:col>11</xdr:col>
      <xdr:colOff>164465</xdr:colOff>
      <xdr:row>8</xdr:row>
      <xdr:rowOff>12065</xdr:rowOff>
    </xdr:to>
    <mc:AlternateContent xmlns:mc="http://schemas.openxmlformats.org/markup-compatibility/2006" xmlns:sle15="http://schemas.microsoft.com/office/drawing/2012/slicer">
      <mc:Choice Requires="sle15">
        <xdr:graphicFrame macro="">
          <xdr:nvGraphicFramePr>
            <xdr:cNvPr id="8" name="temporalidad">
              <a:extLst>
                <a:ext uri="{FF2B5EF4-FFF2-40B4-BE49-F238E27FC236}">
                  <a16:creationId xmlns:a16="http://schemas.microsoft.com/office/drawing/2014/main" id="{61C4ECEC-127F-49C8-B968-962AA17AB7FF}"/>
                </a:ext>
              </a:extLst>
            </xdr:cNvPr>
            <xdr:cNvGraphicFramePr/>
          </xdr:nvGraphicFramePr>
          <xdr:xfrm>
            <a:off x="0" y="0"/>
            <a:ext cx="0" cy="0"/>
          </xdr:xfrm>
          <a:graphic>
            <a:graphicData uri="http://schemas.microsoft.com/office/drawing/2010/slicer">
              <sle:slicer xmlns:sle="http://schemas.microsoft.com/office/drawing/2010/slicer" name="temporalidad"/>
            </a:graphicData>
          </a:graphic>
        </xdr:graphicFrame>
      </mc:Choice>
      <mc:Fallback xmlns="">
        <xdr:sp macro="" textlink="">
          <xdr:nvSpPr>
            <xdr:cNvPr id="0" name=""/>
            <xdr:cNvSpPr>
              <a:spLocks noTextEdit="1"/>
            </xdr:cNvSpPr>
          </xdr:nvSpPr>
          <xdr:spPr>
            <a:xfrm>
              <a:off x="6949440" y="22860"/>
              <a:ext cx="1592580" cy="14249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ren\Downloads\300%20Violencia%20contra%20la%20mujer%20(27.15)%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 val="Violencia contra la mujer"/>
      <sheetName val="Hoja3"/>
      <sheetName val="Estructura"/>
      <sheetName val="Hoja1"/>
      <sheetName val="TD"/>
      <sheetName val="Hoja2"/>
      <sheetName val="300 Violencia contra la mujer ("/>
    </sheetNames>
    <sheetDataSet>
      <sheetData sheetId="0" refreshError="1"/>
      <sheetData sheetId="1"/>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17.705659375002" createdVersion="7" refreshedVersion="7" minRefreshableVersion="3" recordCount="657" xr:uid="{2568E31F-8A4B-44E3-B8CB-6FCDA2E5DE50}">
  <cacheSource type="worksheet">
    <worksheetSource name="Ingresos_Historicos"/>
  </cacheSource>
  <cacheFields count="27">
    <cacheField name="id" numFmtId="0">
      <sharedItems count="3982">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829" u="1"/>
        <s v="2428" u="1"/>
        <s v="1228" u="1"/>
        <s v="3638" u="1"/>
        <s v="0839" u="1"/>
        <s v="2438" u="1"/>
        <s v="1238" u="1"/>
        <s v="3648" u="1"/>
        <s v="0849" u="1"/>
        <s v="2448" u="1"/>
        <s v="1248" u="1"/>
        <s v="3658" u="1"/>
        <s v="0859" u="1"/>
        <s v="2458" u="1"/>
        <s v="1258" u="1"/>
        <s v="3668" u="1"/>
        <s v="0869" u="1"/>
        <s v="2468" u="1"/>
        <s v="1268" u="1"/>
        <s v="3678" u="1"/>
        <s v="0879" u="1"/>
        <s v="2478" u="1"/>
        <s v="1278" u="1"/>
        <s v="2901" u="1"/>
        <s v="3688" u="1"/>
        <s v="0889" u="1"/>
        <s v="1701" u="1"/>
        <s v="2488" u="1"/>
        <s v="3300" u="1"/>
        <s v="1288" u="1"/>
        <s v="2100" u="1"/>
        <s v="2911" u="1"/>
        <s v="3698" u="1"/>
        <s v="0899" u="1"/>
        <s v="1711" u="1"/>
        <s v="2498" u="1"/>
        <s v="3310" u="1"/>
        <s v="1298" u="1"/>
        <s v="2110" u="1"/>
        <s v="2921" u="1"/>
        <s v="1721" u="1"/>
        <s v="3320" u="1"/>
        <s v="2120" u="1"/>
        <s v="2931" u="1"/>
        <s v="1731" u="1"/>
        <s v="3330" u="1"/>
        <s v="2130" u="1"/>
        <s v="2941" u="1"/>
        <s v="1741" u="1"/>
        <s v="3340" u="1"/>
        <s v="2140" u="1"/>
        <s v="2951" u="1"/>
        <s v="1751" u="1"/>
        <s v="3350" u="1"/>
        <s v="2150" u="1"/>
        <s v="2961" u="1"/>
        <s v="1761" u="1"/>
        <s v="3360" u="1"/>
        <s v="2160" u="1"/>
        <s v="2971" u="1"/>
        <s v="1771" u="1"/>
        <s v="3370" u="1"/>
        <s v="2170" u="1"/>
        <s v="2809" u="1"/>
        <s v="2981" u="1"/>
        <s v="1609" u="1"/>
        <s v="1781" u="1"/>
        <s v="3208" u="1"/>
        <s v="3380" u="1"/>
        <s v="2008" u="1"/>
        <s v="2180" u="1"/>
        <s v="2819" u="1"/>
        <s v="2991" u="1"/>
        <s v="1619" u="1"/>
        <s v="1791" u="1"/>
        <s v="3218" u="1"/>
        <s v="3390" u="1"/>
        <s v="2018" u="1"/>
        <s v="2190" u="1"/>
        <s v="2829" u="1"/>
        <s v="1629" u="1"/>
        <s v="3228" u="1"/>
        <s v="2028" u="1"/>
        <s v="2839" u="1"/>
        <s v="1639" u="1"/>
        <s v="3238" u="1"/>
        <s v="2038" u="1"/>
        <s v="2849" u="1"/>
        <s v="1649" u="1"/>
        <s v="3248" u="1"/>
        <s v="2048" u="1"/>
        <s v="2859" u="1"/>
        <s v="1659" u="1"/>
        <s v="3258" u="1"/>
        <s v="2058" u="1"/>
        <s v="2869" u="1"/>
        <s v="1669" u="1"/>
        <s v="3268" u="1"/>
        <s v="2068" u="1"/>
        <s v="2879" u="1"/>
        <s v="1679" u="1"/>
        <s v="3278" u="1"/>
        <s v="2078" u="1"/>
        <s v="2889" u="1"/>
        <s v="3701" u="1"/>
        <s v="0902" u="1"/>
        <s v="1689" u="1"/>
        <s v="2501" u="1"/>
        <s v="3288" u="1"/>
        <s v="1301" u="1"/>
        <s v="2088" u="1"/>
        <s v="2899" u="1"/>
        <s v="3711" u="1"/>
        <s v="0912" u="1"/>
        <s v="1699" u="1"/>
        <s v="2511" u="1"/>
        <s v="3298" u="1"/>
        <s v="1311" u="1"/>
        <s v="2098" u="1"/>
        <s v="3721" u="1"/>
        <s v="0922" u="1"/>
        <s v="2521" u="1"/>
        <s v="1321" u="1"/>
        <s v="3731" u="1"/>
        <s v="0932" u="1"/>
        <s v="2531" u="1"/>
        <s v="1331" u="1"/>
        <s v="3741" u="1"/>
        <s v="0942" u="1"/>
        <s v="2541" u="1"/>
        <s v="1341" u="1"/>
        <s v="3751" u="1"/>
        <s v="0952" u="1"/>
        <s v="2551" u="1"/>
        <s v="1351" u="1"/>
        <s v="3761" u="1"/>
        <s v="0962" u="1"/>
        <s v="2561" u="1"/>
        <s v="1361" u="1"/>
        <s v="3771" u="1"/>
        <s v="0972" u="1"/>
        <s v="2571" u="1"/>
        <s v="1371" u="1"/>
        <s v="3609" u="1"/>
        <s v="3781" u="1"/>
        <s v="0982" u="1"/>
        <s v="2409" u="1"/>
        <s v="2581" u="1"/>
        <s v="1209" u="1"/>
        <s v="1381" u="1"/>
        <s v="3619" u="1"/>
        <s v="3791" u="1"/>
        <s v="0992" u="1"/>
        <s v="2419" u="1"/>
        <s v="2591" u="1"/>
        <s v="1219" u="1"/>
        <s v="1391" u="1"/>
        <s v="3629" u="1"/>
        <s v="2429" u="1"/>
        <s v="1229" u="1"/>
        <s v="3639" u="1"/>
        <s v="2439" u="1"/>
        <s v="1239" u="1"/>
        <s v="3649" u="1"/>
        <s v="2449" u="1"/>
        <s v="1249" u="1"/>
        <s v="3659" u="1"/>
        <s v="2459" u="1"/>
        <s v="1259" u="1"/>
        <s v="3669" u="1"/>
        <s v="2469" u="1"/>
        <s v="1269" u="1"/>
        <s v="3679" u="1"/>
        <s v="2479" u="1"/>
        <s v="1279" u="1"/>
        <s v="2902" u="1"/>
        <s v="3689" u="1"/>
        <s v="1702" u="1"/>
        <s v="2489" u="1"/>
        <s v="3301" u="1"/>
        <s v="1289" u="1"/>
        <s v="2101" u="1"/>
        <s v="2912" u="1"/>
        <s v="3699" u="1"/>
        <s v="1712" u="1"/>
        <s v="2499" u="1"/>
        <s v="3311" u="1"/>
        <s v="1299" u="1"/>
        <s v="2111" u="1"/>
        <s v="2922" u="1"/>
        <s v="1722" u="1"/>
        <s v="3321" u="1"/>
        <s v="2121" u="1"/>
        <s v="2932" u="1"/>
        <s v="1732" u="1"/>
        <s v="3331" u="1"/>
        <s v="2131" u="1"/>
        <s v="2942" u="1"/>
        <s v="1742" u="1"/>
        <s v="3341" u="1"/>
        <s v="2141" u="1"/>
        <s v="2952" u="1"/>
        <s v="1752" u="1"/>
        <s v="3351" u="1"/>
        <s v="2151" u="1"/>
        <s v="2962" u="1"/>
        <s v="1762" u="1"/>
        <s v="3361" u="1"/>
        <s v="2161" u="1"/>
        <s v="2972" u="1"/>
        <s v="1772" u="1"/>
        <s v="3371" u="1"/>
        <s v="2171" u="1"/>
        <s v="2982" u="1"/>
        <s v="1782" u="1"/>
        <s v="3209" u="1"/>
        <s v="3381" u="1"/>
        <s v="2009" u="1"/>
        <s v="2181" u="1"/>
        <s v="2992" u="1"/>
        <s v="1792" u="1"/>
        <s v="3219" u="1"/>
        <s v="3391" u="1"/>
        <s v="2019" u="1"/>
        <s v="2191" u="1"/>
        <s v="3229" u="1"/>
        <s v="2029" u="1"/>
        <s v="3239" u="1"/>
        <s v="2039" u="1"/>
        <s v="3249" u="1"/>
        <s v="2049" u="1"/>
        <s v="3259" u="1"/>
        <s v="2059" u="1"/>
        <s v="3269" u="1"/>
        <s v="2069" u="1"/>
        <s v="3279" u="1"/>
        <s v="2079" u="1"/>
        <s v="3702" u="1"/>
        <s v="0903" u="1"/>
        <s v="2502" u="1"/>
        <s v="3289" u="1"/>
        <s v="1302" u="1"/>
        <s v="2089" u="1"/>
        <s v="3712" u="1"/>
        <s v="0913" u="1"/>
        <s v="2512" u="1"/>
        <s v="3299" u="1"/>
        <s v="1312" u="1"/>
        <s v="2099" u="1"/>
        <s v="3722" u="1"/>
        <s v="0923" u="1"/>
        <s v="2522" u="1"/>
        <s v="1322" u="1"/>
        <s v="3732" u="1"/>
        <s v="0933" u="1"/>
        <s v="2532" u="1"/>
        <s v="1332" u="1"/>
        <s v="3742" u="1"/>
        <s v="0943" u="1"/>
        <s v="2542" u="1"/>
        <s v="1342" u="1"/>
        <s v="3752" u="1"/>
        <s v="0953" u="1"/>
        <s v="2552" u="1"/>
        <s v="1352" u="1"/>
        <s v="3762" u="1"/>
        <s v="0963" u="1"/>
        <s v="2562" u="1"/>
        <s v="1362" u="1"/>
        <s v="3772" u="1"/>
        <s v="0973" u="1"/>
        <s v="2572" u="1"/>
        <s v="1372" u="1"/>
        <s v="3782" u="1"/>
        <s v="0983" u="1"/>
        <s v="2582" u="1"/>
        <s v="1382" u="1"/>
        <s v="3792" u="1"/>
        <s v="0993" u="1"/>
        <s v="2592" u="1"/>
        <s v="1392" u="1"/>
        <s v="2903" u="1"/>
        <s v="1703" u="1"/>
        <s v="3302" u="1"/>
        <s v="2102" u="1"/>
        <s v="2913" u="1"/>
        <s v="1713" u="1"/>
        <s v="3312" u="1"/>
        <s v="2112" u="1"/>
        <s v="2923" u="1"/>
        <s v="1723" u="1"/>
        <s v="3322" u="1"/>
        <s v="2122" u="1"/>
        <s v="2933" u="1"/>
        <s v="1733" u="1"/>
        <s v="3332" u="1"/>
        <s v="2132" u="1"/>
        <s v="2943" u="1"/>
        <s v="1743" u="1"/>
        <s v="3342" u="1"/>
        <s v="2142" u="1"/>
        <s v="2953" u="1"/>
        <s v="1753" u="1"/>
        <s v="3352" u="1"/>
        <s v="2152" u="1"/>
        <s v="2963" u="1"/>
        <s v="1763" u="1"/>
        <s v="3362" u="1"/>
        <s v="2162" u="1"/>
        <s v="2973" u="1"/>
        <s v="1773" u="1"/>
        <s v="3372" u="1"/>
        <s v="2172" u="1"/>
        <s v="2983" u="1"/>
        <s v="1783" u="1"/>
        <s v="3382" u="1"/>
        <s v="2182" u="1"/>
        <s v="2993" u="1"/>
        <s v="1793" u="1"/>
        <s v="3392" u="1"/>
        <s v="2192" u="1"/>
        <s v="3703" u="1"/>
        <s v="0904" u="1"/>
        <s v="2503" u="1"/>
        <s v="1303" u="1"/>
        <s v="3713" u="1"/>
        <s v="0914" u="1"/>
        <s v="2513" u="1"/>
        <s v="1313" u="1"/>
        <s v="3723" u="1"/>
        <s v="0924" u="1"/>
        <s v="2523" u="1"/>
        <s v="1323" u="1"/>
        <s v="3733" u="1"/>
        <s v="0934" u="1"/>
        <s v="2533" u="1"/>
        <s v="1333" u="1"/>
        <s v="3743" u="1"/>
        <s v="0944" u="1"/>
        <s v="2543" u="1"/>
        <s v="1343" u="1"/>
        <s v="3753" u="1"/>
        <s v="0954" u="1"/>
        <s v="2553" u="1"/>
        <s v="1353" u="1"/>
        <s v="3763" u="1"/>
        <s v="0964" u="1"/>
        <s v="2563" u="1"/>
        <s v="1363" u="1"/>
        <s v="3773" u="1"/>
        <s v="0974" u="1"/>
        <s v="2573" u="1"/>
        <s v="1373" u="1"/>
        <s v="3783" u="1"/>
        <s v="0984" u="1"/>
        <s v="2583" u="1"/>
        <s v="1383" u="1"/>
        <s v="3793" u="1"/>
        <s v="0994" u="1"/>
        <s v="2593" u="1"/>
        <s v="1393" u="1"/>
        <s v="2904" u="1"/>
        <s v="1704" u="1"/>
        <s v="3303" u="1"/>
        <s v="2103" u="1"/>
        <s v="2914" u="1"/>
        <s v="1714" u="1"/>
        <s v="3313" u="1"/>
        <s v="2113" u="1"/>
        <s v="2924" u="1"/>
        <s v="1724" u="1"/>
        <s v="3323" u="1"/>
        <s v="2123" u="1"/>
        <s v="2934" u="1"/>
        <s v="1734" u="1"/>
        <s v="3333" u="1"/>
        <s v="2133" u="1"/>
        <s v="2944" u="1"/>
        <s v="1744" u="1"/>
        <s v="3343" u="1"/>
        <s v="2143" u="1"/>
        <s v="2954" u="1"/>
        <s v="1754" u="1"/>
        <s v="3353" u="1"/>
        <s v="2153" u="1"/>
        <s v="2964" u="1"/>
        <s v="1764" u="1"/>
        <s v="3363" u="1"/>
        <s v="2163" u="1"/>
        <s v="2974" u="1"/>
        <s v="1774" u="1"/>
        <s v="3373" u="1"/>
        <s v="2173" u="1"/>
        <s v="2984" u="1"/>
        <s v="1784" u="1"/>
        <s v="3383" u="1"/>
        <s v="2183" u="1"/>
        <s v="2994" u="1"/>
        <s v="1794" u="1"/>
        <s v="3393" u="1"/>
        <s v="2193" u="1"/>
        <s v="3704" u="1"/>
        <s v="0905" u="1"/>
        <s v="2504" u="1"/>
        <s v="1304" u="1"/>
        <s v="3714" u="1"/>
        <s v="0915" u="1"/>
        <s v="2514" u="1"/>
        <s v="1314" u="1"/>
        <s v="3724" u="1"/>
        <s v="0925" u="1"/>
        <s v="2524" u="1"/>
        <s v="1324" u="1"/>
        <s v="3734" u="1"/>
        <s v="0935" u="1"/>
        <s v="2534" u="1"/>
        <s v="1334" u="1"/>
        <s v="3744" u="1"/>
        <s v="0945" u="1"/>
        <s v="2544" u="1"/>
        <s v="1344" u="1"/>
        <s v="3754" u="1"/>
        <s v="0955" u="1"/>
        <s v="2554" u="1"/>
        <s v="1354" u="1"/>
        <s v="3764" u="1"/>
        <s v="0965" u="1"/>
        <s v="2564" u="1"/>
        <s v="1364" u="1"/>
        <s v="3774" u="1"/>
        <s v="0975" u="1"/>
        <s v="2574" u="1"/>
        <s v="1374" u="1"/>
        <s v="3784" u="1"/>
        <s v="0985" u="1"/>
        <s v="2584" u="1"/>
        <s v="1384" u="1"/>
        <s v="3794" u="1"/>
        <s v="0995" u="1"/>
        <s v="2594" u="1"/>
        <s v="1394" u="1"/>
        <s v="2905" u="1"/>
        <s v="1705" u="1"/>
        <s v="3304" u="1"/>
        <s v="2104" u="1"/>
        <s v="2915" u="1"/>
        <s v="1715" u="1"/>
        <s v="3314" u="1"/>
        <s v="2114" u="1"/>
        <s v="2925" u="1"/>
        <s v="1725" u="1"/>
        <s v="3324" u="1"/>
        <s v="2124" u="1"/>
        <s v="2935" u="1"/>
        <s v="1735" u="1"/>
        <s v="3334" u="1"/>
        <s v="2134" u="1"/>
        <s v="2945" u="1"/>
        <s v="1745" u="1"/>
        <s v="3344" u="1"/>
        <s v="2144" u="1"/>
        <s v="2955" u="1"/>
        <s v="1755" u="1"/>
        <s v="3354" u="1"/>
        <s v="2154" u="1"/>
        <s v="2965" u="1"/>
        <s v="1765" u="1"/>
        <s v="3364" u="1"/>
        <s v="2164" u="1"/>
        <s v="2975" u="1"/>
        <s v="1775" u="1"/>
        <s v="3374" u="1"/>
        <s v="2174" u="1"/>
        <s v="2985" u="1"/>
        <s v="1785" u="1"/>
        <s v="3384" u="1"/>
        <s v="2184" u="1"/>
        <s v="2995" u="1"/>
        <s v="1795" u="1"/>
        <s v="3394" u="1"/>
        <s v="2194" u="1"/>
        <s v="3705" u="1"/>
        <s v="0906" u="1"/>
        <s v="2505" u="1"/>
        <s v="1305" u="1"/>
        <s v="3715" u="1"/>
        <s v="0916" u="1"/>
        <s v="2515" u="1"/>
        <s v="1315" u="1"/>
        <s v="3725" u="1"/>
        <s v="0926" u="1"/>
        <s v="2525" u="1"/>
        <s v="1325" u="1"/>
        <s v="3735" u="1"/>
        <s v="0936" u="1"/>
        <s v="2535" u="1"/>
        <s v="1335" u="1"/>
        <s v="3745" u="1"/>
        <s v="0946" u="1"/>
        <s v="2545" u="1"/>
        <s v="1345" u="1"/>
        <s v="3755" u="1"/>
        <s v="0956" u="1"/>
        <s v="2555" u="1"/>
        <s v="1355" u="1"/>
        <s v="3765" u="1"/>
        <s v="0966" u="1"/>
        <s v="2565" u="1"/>
        <s v="1365" u="1"/>
        <s v="3775" u="1"/>
        <s v="0976" u="1"/>
        <s v="2575" u="1"/>
        <s v="1375" u="1"/>
        <s v="3785" u="1"/>
        <s v="0986" u="1"/>
        <s v="2585" u="1"/>
        <s v="1385" u="1"/>
        <s v="3795" u="1"/>
        <s v="0996" u="1"/>
        <s v="2595" u="1"/>
        <s v="1395" u="1"/>
        <s v="2906" u="1"/>
        <s v="1706" u="1"/>
        <s v="3305" u="1"/>
        <s v="2105" u="1"/>
        <s v="2916" u="1"/>
        <s v="1716" u="1"/>
        <s v="3315" u="1"/>
        <s v="2115" u="1"/>
        <s v="2926" u="1"/>
        <s v="1726" u="1"/>
        <s v="3325" u="1"/>
        <s v="2125" u="1"/>
        <s v="2936" u="1"/>
        <s v="1736" u="1"/>
        <s v="3335" u="1"/>
        <s v="2135" u="1"/>
        <s v="2946" u="1"/>
        <s v="1746" u="1"/>
        <s v="3345" u="1"/>
        <s v="2145" u="1"/>
        <s v="2956" u="1"/>
        <s v="1756" u="1"/>
        <s v="3355" u="1"/>
        <s v="2155" u="1"/>
        <s v="2966" u="1"/>
        <s v="1766" u="1"/>
        <s v="3365" u="1"/>
        <s v="2165" u="1"/>
        <s v="2976" u="1"/>
        <s v="1776" u="1"/>
        <s v="3375" u="1"/>
        <s v="2175" u="1"/>
        <s v="2986" u="1"/>
        <s v="1786" u="1"/>
        <s v="3385" u="1"/>
        <s v="2185" u="1"/>
        <s v="2996" u="1"/>
        <s v="1796" u="1"/>
        <s v="3395" u="1"/>
        <s v="2195" u="1"/>
        <s v="3706" u="1"/>
        <s v="0907" u="1"/>
        <s v="2506" u="1"/>
        <s v="1306" u="1"/>
        <s v="3716" u="1"/>
        <s v="0917" u="1"/>
        <s v="2516" u="1"/>
        <s v="1316" u="1"/>
        <s v="3726" u="1"/>
        <s v="0927" u="1"/>
        <s v="2526" u="1"/>
        <s v="1326" u="1"/>
        <s v="3736" u="1"/>
        <s v="0937" u="1"/>
        <s v="2536" u="1"/>
        <s v="1336" u="1"/>
        <s v="3746" u="1"/>
        <s v="0947" u="1"/>
        <s v="2546" u="1"/>
        <s v="1346" u="1"/>
        <s v="3756" u="1"/>
        <s v="0957" u="1"/>
        <s v="2556" u="1"/>
        <s v="1356" u="1"/>
        <s v="3766" u="1"/>
        <s v="0967" u="1"/>
        <s v="2566" u="1"/>
        <s v="1366" u="1"/>
        <s v="3776" u="1"/>
        <s v="0977" u="1"/>
        <s v="2576" u="1"/>
        <s v="1376" u="1"/>
        <s v="3786" u="1"/>
        <s v="0987" u="1"/>
        <s v="2586" u="1"/>
        <s v="1386" u="1"/>
        <s v="3796" u="1"/>
        <s v="0997" u="1"/>
        <s v="2596" u="1"/>
        <s v="1396" u="1"/>
        <s v="2907" u="1"/>
        <s v="1707" u="1"/>
        <s v="3306" u="1"/>
        <s v="2106" u="1"/>
        <s v="2917" u="1"/>
        <s v="1717" u="1"/>
        <s v="3316" u="1"/>
        <s v="2116" u="1"/>
        <s v="2927" u="1"/>
        <s v="1727" u="1"/>
        <s v="3326" u="1"/>
        <s v="2126" u="1"/>
        <s v="2937" u="1"/>
        <s v="1737" u="1"/>
        <s v="3336" u="1"/>
        <s v="2136" u="1"/>
        <s v="2947" u="1"/>
        <s v="1747" u="1"/>
        <s v="3346" u="1"/>
        <s v="2146" u="1"/>
        <s v="2957" u="1"/>
        <s v="1757" u="1"/>
        <s v="3356" u="1"/>
        <s v="2156" u="1"/>
        <s v="2967" u="1"/>
        <s v="1767" u="1"/>
        <s v="3366" u="1"/>
        <s v="2166" u="1"/>
        <s v="2977" u="1"/>
        <s v="1777" u="1"/>
        <s v="3376" u="1"/>
        <s v="2176" u="1"/>
        <s v="2987" u="1"/>
        <s v="1787" u="1"/>
        <s v="3386" u="1"/>
        <s v="2186" u="1"/>
        <s v="2997" u="1"/>
        <s v="1797" u="1"/>
        <s v="3396" u="1"/>
        <s v="2196" u="1"/>
        <s v="3707" u="1"/>
        <s v="0908" u="1"/>
        <s v="2507" u="1"/>
        <s v="1307" u="1"/>
        <s v="3717" u="1"/>
        <s v="0918" u="1"/>
        <s v="2517" u="1"/>
        <s v="1317" u="1"/>
        <s v="3727" u="1"/>
        <s v="0928" u="1"/>
        <s v="2527" u="1"/>
        <s v="1327" u="1"/>
        <s v="3737" u="1"/>
        <s v="0938" u="1"/>
        <s v="2537" u="1"/>
        <s v="1337" u="1"/>
        <s v="3747" u="1"/>
        <s v="0948" u="1"/>
        <s v="2547" u="1"/>
        <s v="1347" u="1"/>
        <s v="3757" u="1"/>
        <s v="0958" u="1"/>
        <s v="2557" u="1"/>
        <s v="1357" u="1"/>
        <s v="3767" u="1"/>
        <s v="0968" u="1"/>
        <s v="2567" u="1"/>
        <s v="1367" u="1"/>
        <s v="3777" u="1"/>
        <s v="0978" u="1"/>
        <s v="2577" u="1"/>
        <s v="1377" u="1"/>
        <s v="3787" u="1"/>
        <s v="0988" u="1"/>
        <s v="1800" u="1"/>
        <s v="2587" u="1"/>
        <s v="1387" u="1"/>
        <s v="3797" u="1"/>
        <s v="0998" u="1"/>
        <s v="1810" u="1"/>
        <s v="2597" u="1"/>
        <s v="1397" u="1"/>
        <s v="1820" u="1"/>
        <s v="1830" u="1"/>
        <s v="1840" u="1"/>
        <s v="1850" u="1"/>
        <s v="1860" u="1"/>
        <s v="0660" u="1"/>
        <s v="1870" u="1"/>
        <s v="0670" u="1"/>
        <s v="2908" u="1"/>
        <s v="1708" u="1"/>
        <s v="1880" u="1"/>
        <s v="3307" u="1"/>
        <s v="0680" u="1"/>
        <s v="2107" u="1"/>
        <s v="2918" u="1"/>
        <s v="1718" u="1"/>
        <s v="1890" u="1"/>
        <s v="3317" u="1"/>
        <s v="0690" u="1"/>
        <s v="2117" u="1"/>
        <s v="2928" u="1"/>
        <s v="1728" u="1"/>
        <s v="3327" u="1"/>
        <s v="2127" u="1"/>
        <s v="2938" u="1"/>
        <s v="1738" u="1"/>
        <s v="3337" u="1"/>
        <s v="2137" u="1"/>
        <s v="2948" u="1"/>
        <s v="1748" u="1"/>
        <s v="3347" u="1"/>
        <s v="2147" u="1"/>
        <s v="2958" u="1"/>
        <s v="1758" u="1"/>
        <s v="3357" u="1"/>
        <s v="2157" u="1"/>
        <s v="2968" u="1"/>
        <s v="1768" u="1"/>
        <s v="3367" u="1"/>
        <s v="2167" u="1"/>
        <s v="2978" u="1"/>
        <s v="1778" u="1"/>
        <s v="3377" u="1"/>
        <s v="2177" u="1"/>
        <s v="2988" u="1"/>
        <s v="3800" u="1"/>
        <s v="1788" u="1"/>
        <s v="2600" u="1"/>
        <s v="3387" u="1"/>
        <s v="1400" u="1"/>
        <s v="2187" u="1"/>
        <s v="2998" u="1"/>
        <s v="3810" u="1"/>
        <s v="1798" u="1"/>
        <s v="2610" u="1"/>
        <s v="3397" u="1"/>
        <s v="1410" u="1"/>
        <s v="2197" u="1"/>
        <s v="3820" u="1"/>
        <s v="2620" u="1"/>
        <s v="1420" u="1"/>
        <s v="3830" u="1"/>
        <s v="2630" u="1"/>
        <s v="1430" u="1"/>
        <s v="3840" u="1"/>
        <s v="2640" u="1"/>
        <s v="1440" u="1"/>
        <s v="3850" u="1"/>
        <s v="2650" u="1"/>
        <s v="1450" u="1"/>
        <s v="3860" u="1"/>
        <s v="2660" u="1"/>
        <s v="1460" u="1"/>
        <s v="3870" u="1"/>
        <s v="2670" u="1"/>
        <s v="1470" u="1"/>
        <s v="3708" u="1"/>
        <s v="3880" u="1"/>
        <s v="0909" u="1"/>
        <s v="2508" u="1"/>
        <s v="2680" u="1"/>
        <s v="1308" u="1"/>
        <s v="1480" u="1"/>
        <s v="3718" u="1"/>
        <s v="3890" u="1"/>
        <s v="0919" u="1"/>
        <s v="2518" u="1"/>
        <s v="2690" u="1"/>
        <s v="1318" u="1"/>
        <s v="1490" u="1"/>
        <s v="3728" u="1"/>
        <s v="0929" u="1"/>
        <s v="2528" u="1"/>
        <s v="1328" u="1"/>
        <s v="3738" u="1"/>
        <s v="0939" u="1"/>
        <s v="2538" u="1"/>
        <s v="1338" u="1"/>
        <s v="3748" u="1"/>
        <s v="0949" u="1"/>
        <s v="2548" u="1"/>
        <s v="1348" u="1"/>
        <s v="3758" u="1"/>
        <s v="0959" u="1"/>
        <s v="2558" u="1"/>
        <s v="1358" u="1"/>
        <s v="3768" u="1"/>
        <s v="0969" u="1"/>
        <s v="2568" u="1"/>
        <s v="1368" u="1"/>
        <s v="3778" u="1"/>
        <s v="0979" u="1"/>
        <s v="2578" u="1"/>
        <s v="1378" u="1"/>
        <s v="3788" u="1"/>
        <s v="0989" u="1"/>
        <s v="1801" u="1"/>
        <s v="2588" u="1"/>
        <s v="3400" u="1"/>
        <s v="1388" u="1"/>
        <s v="2200" u="1"/>
        <s v="3798" u="1"/>
        <s v="0999" u="1"/>
        <s v="1000" u="1"/>
        <s v="1811" u="1"/>
        <s v="2598" u="1"/>
        <s v="3410" u="1"/>
        <s v="1398" u="1"/>
        <s v="2210" u="1"/>
        <s v="1010" u="1"/>
        <s v="1821" u="1"/>
        <s v="3420" u="1"/>
        <s v="2220" u="1"/>
        <s v="1020" u="1"/>
        <s v="1831" u="1"/>
        <s v="3430" u="1"/>
        <s v="2230" u="1"/>
        <s v="1030" u="1"/>
        <s v="1841" u="1"/>
        <s v="3440" u="1"/>
        <s v="2240" u="1"/>
        <s v="1040" u="1"/>
        <s v="1851" u="1"/>
        <s v="3450" u="1"/>
        <s v="2250" u="1"/>
        <s v="1050" u="1"/>
        <s v="1861" u="1"/>
        <s v="3460" u="1"/>
        <s v="0661" u="1"/>
        <s v="2260" u="1"/>
        <s v="1060" u="1"/>
        <s v="1871" u="1"/>
        <s v="3470" u="1"/>
        <s v="0671" u="1"/>
        <s v="2270" u="1"/>
        <s v="2909" u="1"/>
        <s v="1070" u="1"/>
        <s v="1709" u="1"/>
        <s v="1881" u="1"/>
        <s v="3308" u="1"/>
        <s v="3480" u="1"/>
        <s v="0681" u="1"/>
        <s v="2108" u="1"/>
        <s v="2280" u="1"/>
        <s v="2919" u="1"/>
        <s v="1080" u="1"/>
        <s v="1719" u="1"/>
        <s v="1891" u="1"/>
        <s v="3318" u="1"/>
        <s v="3490" u="1"/>
        <s v="0691" u="1"/>
        <s v="2118" u="1"/>
        <s v="2290" u="1"/>
        <s v="2929" u="1"/>
        <s v="1090" u="1"/>
        <s v="1729" u="1"/>
        <s v="3328" u="1"/>
        <s v="2128" u="1"/>
        <s v="2939" u="1"/>
        <s v="1739" u="1"/>
        <s v="3338" u="1"/>
        <s v="2138" u="1"/>
        <s v="2949" u="1"/>
        <s v="1749" u="1"/>
        <s v="3348" u="1"/>
        <s v="2148" u="1"/>
        <s v="2959" u="1"/>
        <s v="1759" u="1"/>
        <s v="3358" u="1"/>
        <s v="2158" u="1"/>
        <s v="2969" u="1"/>
        <s v="1769" u="1"/>
        <s v="3368" u="1"/>
        <s v="2168" u="1"/>
        <s v="2979" u="1"/>
        <s v="1779" u="1"/>
        <s v="3378" u="1"/>
        <s v="2178" u="1"/>
        <s v="2989" u="1"/>
        <s v="3801" u="1"/>
        <s v="1789" u="1"/>
        <s v="2601" u="1"/>
        <s v="3388" u="1"/>
        <s v="1401" u="1"/>
        <s v="2188" u="1"/>
        <s v="2999" u="1"/>
        <s v="3000" u="1"/>
        <s v="3811" u="1"/>
        <s v="1799" u="1"/>
        <s v="2611" u="1"/>
        <s v="3398" u="1"/>
        <s v="1411" u="1"/>
        <s v="2198" u="1"/>
        <s v="3010" u="1"/>
        <s v="3821" u="1"/>
        <s v="2621" u="1"/>
        <s v="1421" u="1"/>
        <s v="3020" u="1"/>
        <s v="3831" u="1"/>
        <s v="2631" u="1"/>
        <s v="1431" u="1"/>
        <s v="3030" u="1"/>
        <s v="3841" u="1"/>
        <s v="2641" u="1"/>
        <s v="1441" u="1"/>
        <s v="3040" u="1"/>
        <s v="3851" u="1"/>
        <s v="2651" u="1"/>
        <s v="1451" u="1"/>
        <s v="3050" u="1"/>
        <s v="3861" u="1"/>
        <s v="2661" u="1"/>
        <s v="1461" u="1"/>
        <s v="3060" u="1"/>
        <s v="3871" u="1"/>
        <s v="2671" u="1"/>
        <s v="1471" u="1"/>
        <s v="3070" u="1"/>
        <s v="3709" u="1"/>
        <s v="3881" u="1"/>
        <s v="2509" u="1"/>
        <s v="2681" u="1"/>
        <s v="1309" u="1"/>
        <s v="1481" u="1"/>
        <s v="3080" u="1"/>
        <s v="3719" u="1"/>
        <s v="3891" u="1"/>
        <s v="2519" u="1"/>
        <s v="2691" u="1"/>
        <s v="1319" u="1"/>
        <s v="1491" u="1"/>
        <s v="3090" u="1"/>
        <s v="3729" u="1"/>
        <s v="2529" u="1"/>
        <s v="1329" u="1"/>
        <s v="3739" u="1"/>
        <s v="2539" u="1"/>
        <s v="1339" u="1"/>
        <s v="3749" u="1"/>
        <s v="2549" u="1"/>
        <s v="1349" u="1"/>
        <s v="3759" u="1"/>
        <s v="2559" u="1"/>
        <s v="1359" u="1"/>
        <s v="3769" u="1"/>
        <s v="2569" u="1"/>
        <s v="1369" u="1"/>
        <s v="3779" u="1"/>
        <s v="2579" u="1"/>
        <s v="1379" u="1"/>
        <s v="3789" u="1"/>
        <s v="1802" u="1"/>
        <s v="2589" u="1"/>
        <s v="3401" u="1"/>
        <s v="1389" u="1"/>
        <s v="2201" u="1"/>
        <s v="3799" u="1"/>
        <s v="1001" u="1"/>
        <s v="1812" u="1"/>
        <s v="2599" u="1"/>
        <s v="3411" u="1"/>
        <s v="1399" u="1"/>
        <s v="2211" u="1"/>
        <s v="1011" u="1"/>
        <s v="1822" u="1"/>
        <s v="3421" u="1"/>
        <s v="2221" u="1"/>
        <s v="1021" u="1"/>
        <s v="1832" u="1"/>
        <s v="3431" u="1"/>
        <s v="2231" u="1"/>
        <s v="1031" u="1"/>
        <s v="1842" u="1"/>
        <s v="3441" u="1"/>
        <s v="2241" u="1"/>
        <s v="1041" u="1"/>
        <s v="1852" u="1"/>
        <s v="3451" u="1"/>
        <s v="2251" u="1"/>
        <s v="1051" u="1"/>
        <s v="1862" u="1"/>
        <s v="3461" u="1"/>
        <s v="0662" u="1"/>
        <s v="2261" u="1"/>
        <s v="1061" u="1"/>
        <s v="1872" u="1"/>
        <s v="3471" u="1"/>
        <s v="0672" u="1"/>
        <s v="2271" u="1"/>
        <s v="1071" u="1"/>
        <s v="1882" u="1"/>
        <s v="3309" u="1"/>
        <s v="3481" u="1"/>
        <s v="0682" u="1"/>
        <s v="2109" u="1"/>
        <s v="2281" u="1"/>
        <s v="1081" u="1"/>
        <s v="1892" u="1"/>
        <s v="3319" u="1"/>
        <s v="3491" u="1"/>
        <s v="0692" u="1"/>
        <s v="2119" u="1"/>
        <s v="2291" u="1"/>
        <s v="1091" u="1"/>
        <s v="3329" u="1"/>
        <s v="2129" u="1"/>
        <s v="3339" u="1"/>
        <s v="2139" u="1"/>
        <s v="3349" u="1"/>
        <s v="2149" u="1"/>
        <s v="3359" u="1"/>
        <s v="2159" u="1"/>
        <s v="3369" u="1"/>
        <s v="2169" u="1"/>
        <s v="3379" u="1"/>
        <s v="2179" u="1"/>
        <s v="3802" u="1"/>
        <s v="2602" u="1"/>
        <s v="3389" u="1"/>
        <s v="1402" u="1"/>
        <s v="2189" u="1"/>
        <s v="3001" u="1"/>
        <s v="3812" u="1"/>
        <s v="2612" u="1"/>
        <s v="3399" u="1"/>
        <s v="1412" u="1"/>
        <s v="2199" u="1"/>
        <s v="3011" u="1"/>
        <s v="3822" u="1"/>
        <s v="2622" u="1"/>
        <s v="1422" u="1"/>
        <s v="3021" u="1"/>
        <s v="3832" u="1"/>
        <s v="2632" u="1"/>
        <s v="1432" u="1"/>
        <s v="3031" u="1"/>
        <s v="3842" u="1"/>
        <s v="2642" u="1"/>
        <s v="1442" u="1"/>
        <s v="3041" u="1"/>
        <s v="3852" u="1"/>
        <s v="2652" u="1"/>
        <s v="1452" u="1"/>
        <s v="3051" u="1"/>
        <s v="3862" u="1"/>
        <s v="2662" u="1"/>
        <s v="1462" u="1"/>
        <s v="3061" u="1"/>
        <s v="3872" u="1"/>
        <s v="2672" u="1"/>
        <s v="1472" u="1"/>
        <s v="3071" u="1"/>
        <s v="3882" u="1"/>
        <s v="2682" u="1"/>
        <s v="1482" u="1"/>
        <s v="3081" u="1"/>
        <s v="3892" u="1"/>
        <s v="2692" u="1"/>
        <s v="1492" u="1"/>
        <s v="3091" u="1"/>
        <s v="1803" u="1"/>
        <s v="3402" u="1"/>
        <s v="2202" u="1"/>
        <s v="1002" u="1"/>
        <s v="1813" u="1"/>
        <s v="3412" u="1"/>
        <s v="2212" u="1"/>
        <s v="1012" u="1"/>
        <s v="1823" u="1"/>
        <s v="3422" u="1"/>
        <s v="2222" u="1"/>
        <s v="1022" u="1"/>
        <s v="1833" u="1"/>
        <s v="3432" u="1"/>
        <s v="2232" u="1"/>
        <s v="1032" u="1"/>
        <s v="1843" u="1"/>
        <s v="3442" u="1"/>
        <s v="2242" u="1"/>
        <s v="1042" u="1"/>
        <s v="1853" u="1"/>
        <s v="3452" u="1"/>
        <s v="2252" u="1"/>
        <s v="1052" u="1"/>
        <s v="1863" u="1"/>
        <s v="3462" u="1"/>
        <s v="0663" u="1"/>
        <s v="2262" u="1"/>
        <s v="1062" u="1"/>
        <s v="1873" u="1"/>
        <s v="3472" u="1"/>
        <s v="0673" u="1"/>
        <s v="2272" u="1"/>
        <s v="1072" u="1"/>
        <s v="1883" u="1"/>
        <s v="3482" u="1"/>
        <s v="0683" u="1"/>
        <s v="2282" u="1"/>
        <s v="1082" u="1"/>
        <s v="1893" u="1"/>
        <s v="3492" u="1"/>
        <s v="0693" u="1"/>
        <s v="2292" u="1"/>
        <s v="1092" u="1"/>
        <s v="3803" u="1"/>
        <s v="2603" u="1"/>
        <s v="1403" u="1"/>
        <s v="3002" u="1"/>
        <s v="3813" u="1"/>
        <s v="2613" u="1"/>
        <s v="1413" u="1"/>
        <s v="3012" u="1"/>
        <s v="3823" u="1"/>
        <s v="2623" u="1"/>
        <s v="1423" u="1"/>
        <s v="3022" u="1"/>
        <s v="3833" u="1"/>
        <s v="2633" u="1"/>
        <s v="1433" u="1"/>
        <s v="3032" u="1"/>
        <s v="3843" u="1"/>
        <s v="2643" u="1"/>
        <s v="1443" u="1"/>
        <s v="3042" u="1"/>
        <s v="3853" u="1"/>
        <s v="2653" u="1"/>
        <s v="1453" u="1"/>
        <s v="3052" u="1"/>
        <s v="3863" u="1"/>
        <s v="2663" u="1"/>
        <s v="1463" u="1"/>
        <s v="3062" u="1"/>
        <s v="3873" u="1"/>
        <s v="2673" u="1"/>
        <s v="1473" u="1"/>
        <s v="3072" u="1"/>
        <s v="3883" u="1"/>
        <s v="2683" u="1"/>
        <s v="1483" u="1"/>
        <s v="3082" u="1"/>
        <s v="3893" u="1"/>
        <s v="2693" u="1"/>
        <s v="1493" u="1"/>
        <s v="3092" u="1"/>
        <s v="1804" u="1"/>
        <s v="3403" u="1"/>
        <s v="2203" u="1"/>
        <s v="1003" u="1"/>
        <s v="1814" u="1"/>
        <s v="3413" u="1"/>
        <s v="2213" u="1"/>
        <s v="1013" u="1"/>
        <s v="1824" u="1"/>
        <s v="3423" u="1"/>
        <s v="2223" u="1"/>
        <s v="1023" u="1"/>
        <s v="1834" u="1"/>
        <s v="3433" u="1"/>
        <s v="2233" u="1"/>
        <s v="1033" u="1"/>
        <s v="1844" u="1"/>
        <s v="3443" u="1"/>
        <s v="2243" u="1"/>
        <s v="1043" u="1"/>
        <s v="1854" u="1"/>
        <s v="3453" u="1"/>
        <s v="2253" u="1"/>
        <s v="1053" u="1"/>
        <s v="1864" u="1"/>
        <s v="3463" u="1"/>
        <s v="0664" u="1"/>
        <s v="2263" u="1"/>
        <s v="1063" u="1"/>
        <s v="1874" u="1"/>
        <s v="3473" u="1"/>
        <s v="0674" u="1"/>
        <s v="2273" u="1"/>
        <s v="1073" u="1"/>
        <s v="1884" u="1"/>
        <s v="3483" u="1"/>
        <s v="0684" u="1"/>
        <s v="2283" u="1"/>
        <s v="1083" u="1"/>
        <s v="1894" u="1"/>
        <s v="3493" u="1"/>
        <s v="0694" u="1"/>
        <s v="2293" u="1"/>
        <s v="1093" u="1"/>
        <s v="3804" u="1"/>
        <s v="2604" u="1"/>
        <s v="1404" u="1"/>
        <s v="3003" u="1"/>
        <s v="3814" u="1"/>
        <s v="2614" u="1"/>
        <s v="1414" u="1"/>
        <s v="3013" u="1"/>
        <s v="3824" u="1"/>
        <s v="2624" u="1"/>
        <s v="1424" u="1"/>
        <s v="3023" u="1"/>
        <s v="3834" u="1"/>
        <s v="2634" u="1"/>
        <s v="1434" u="1"/>
        <s v="3033" u="1"/>
        <s v="3844" u="1"/>
        <s v="2644" u="1"/>
        <s v="1444" u="1"/>
        <s v="3043" u="1"/>
        <s v="3854" u="1"/>
        <s v="2654" u="1"/>
        <s v="1454" u="1"/>
        <s v="3053" u="1"/>
        <s v="3864" u="1"/>
        <s v="2664" u="1"/>
        <s v="1464" u="1"/>
        <s v="3063" u="1"/>
        <s v="3874" u="1"/>
        <s v="2674" u="1"/>
        <s v="1474" u="1"/>
        <s v="3073" u="1"/>
        <s v="3884" u="1"/>
        <s v="2684" u="1"/>
        <s v="1484" u="1"/>
        <s v="3083" u="1"/>
        <s v="3894" u="1"/>
        <s v="2694" u="1"/>
        <s v="1494" u="1"/>
        <s v="3093" u="1"/>
        <s v="1805" u="1"/>
        <s v="3404" u="1"/>
        <s v="2204" u="1"/>
        <s v="1004" u="1"/>
        <s v="1815" u="1"/>
        <s v="3414" u="1"/>
        <s v="2214" u="1"/>
        <s v="1014" u="1"/>
        <s v="1825" u="1"/>
        <s v="3424" u="1"/>
        <s v="2224" u="1"/>
        <s v="1024" u="1"/>
        <s v="1835" u="1"/>
        <s v="3434" u="1"/>
        <s v="2234" u="1"/>
        <s v="1034" u="1"/>
        <s v="1845" u="1"/>
        <s v="3444" u="1"/>
        <s v="2244" u="1"/>
        <s v="1044" u="1"/>
        <s v="1855" u="1"/>
        <s v="3454" u="1"/>
        <s v="2254" u="1"/>
        <s v="1054" u="1"/>
        <s v="1865" u="1"/>
        <s v="3464" u="1"/>
        <s v="0665" u="1"/>
        <s v="2264" u="1"/>
        <s v="1064" u="1"/>
        <s v="1875" u="1"/>
        <s v="3474" u="1"/>
        <s v="0675" u="1"/>
        <s v="2274" u="1"/>
        <s v="1074" u="1"/>
        <s v="1885" u="1"/>
        <s v="3484" u="1"/>
        <s v="0685" u="1"/>
        <s v="2284" u="1"/>
        <s v="1084" u="1"/>
        <s v="1895" u="1"/>
        <s v="3494" u="1"/>
        <s v="0695" u="1"/>
        <s v="2294" u="1"/>
        <s v="1094" u="1"/>
        <s v="3805" u="1"/>
        <s v="2605" u="1"/>
        <s v="1405" u="1"/>
        <s v="3004" u="1"/>
        <s v="3815" u="1"/>
        <s v="2615" u="1"/>
        <s v="1415" u="1"/>
        <s v="3014" u="1"/>
        <s v="3825" u="1"/>
        <s v="2625" u="1"/>
        <s v="1425" u="1"/>
        <s v="3024" u="1"/>
        <s v="3835" u="1"/>
        <s v="2635" u="1"/>
        <s v="1435" u="1"/>
        <s v="3034" u="1"/>
        <s v="3845" u="1"/>
        <s v="2645" u="1"/>
        <s v="1445" u="1"/>
        <s v="3044" u="1"/>
        <s v="3855" u="1"/>
        <s v="2655" u="1"/>
        <s v="1455" u="1"/>
        <s v="3054" u="1"/>
        <s v="3865" u="1"/>
        <s v="2665" u="1"/>
        <s v="1465" u="1"/>
        <s v="3064" u="1"/>
        <s v="3875" u="1"/>
        <s v="2675" u="1"/>
        <s v="1475" u="1"/>
        <s v="3074" u="1"/>
        <s v="3885" u="1"/>
        <s v="2685" u="1"/>
        <s v="1485" u="1"/>
        <s v="3084" u="1"/>
        <s v="3895" u="1"/>
        <s v="2695" u="1"/>
        <s v="1495" u="1"/>
        <s v="3094" u="1"/>
        <s v="1806" u="1"/>
        <s v="3405" u="1"/>
        <s v="2205" u="1"/>
        <s v="1005" u="1"/>
        <s v="1816" u="1"/>
        <s v="3415" u="1"/>
        <s v="2215" u="1"/>
        <s v="1015" u="1"/>
        <s v="1826" u="1"/>
        <s v="3425" u="1"/>
        <s v="2225" u="1"/>
        <s v="1025" u="1"/>
        <s v="1836" u="1"/>
        <s v="3435" u="1"/>
        <s v="2235" u="1"/>
        <s v="1035" u="1"/>
        <s v="1846" u="1"/>
        <s v="3445" u="1"/>
        <s v="2245" u="1"/>
        <s v="1045" u="1"/>
        <s v="1856" u="1"/>
        <s v="3455" u="1"/>
        <s v="2255" u="1"/>
        <s v="1055" u="1"/>
        <s v="1866" u="1"/>
        <s v="3465" u="1"/>
        <s v="0666" u="1"/>
        <s v="2265" u="1"/>
        <s v="1065" u="1"/>
        <s v="1876" u="1"/>
        <s v="3475" u="1"/>
        <s v="0676" u="1"/>
        <s v="2275" u="1"/>
        <s v="1075" u="1"/>
        <s v="1886" u="1"/>
        <s v="3485" u="1"/>
        <s v="0686" u="1"/>
        <s v="2285" u="1"/>
        <s v="1085" u="1"/>
        <s v="1896" u="1"/>
        <s v="3495" u="1"/>
        <s v="0696" u="1"/>
        <s v="2295" u="1"/>
        <s v="1095" u="1"/>
        <s v="3806" u="1"/>
        <s v="2606" u="1"/>
        <s v="1406" u="1"/>
        <s v="3005" u="1"/>
        <s v="3816" u="1"/>
        <s v="2616" u="1"/>
        <s v="1416" u="1"/>
        <s v="3015" u="1"/>
        <s v="3826" u="1"/>
        <s v="2626" u="1"/>
        <s v="1426" u="1"/>
        <s v="3025" u="1"/>
        <s v="3836" u="1"/>
        <s v="2636" u="1"/>
        <s v="1436" u="1"/>
        <s v="3035" u="1"/>
        <s v="3846" u="1"/>
        <s v="2646" u="1"/>
        <s v="1446" u="1"/>
        <s v="3045" u="1"/>
        <s v="3856" u="1"/>
        <s v="2656" u="1"/>
        <s v="1456" u="1"/>
        <s v="3055" u="1"/>
        <s v="3866" u="1"/>
        <s v="2666" u="1"/>
        <s v="1466" u="1"/>
        <s v="3065" u="1"/>
        <s v="3876" u="1"/>
        <s v="2676" u="1"/>
        <s v="1476" u="1"/>
        <s v="3075" u="1"/>
        <s v="3886" u="1"/>
        <s v="2686" u="1"/>
        <s v="1486" u="1"/>
        <s v="3085" u="1"/>
        <s v="3896" u="1"/>
        <s v="2696" u="1"/>
        <s v="1496" u="1"/>
        <s v="3095" u="1"/>
        <s v="1807" u="1"/>
        <s v="3406" u="1"/>
        <s v="2206" u="1"/>
        <s v="1006" u="1"/>
        <s v="1817" u="1"/>
        <s v="3416" u="1"/>
        <s v="2216" u="1"/>
        <s v="1016" u="1"/>
        <s v="1827" u="1"/>
        <s v="3426" u="1"/>
        <s v="2226" u="1"/>
        <s v="1026" u="1"/>
        <s v="1837" u="1"/>
        <s v="3436" u="1"/>
        <s v="2236" u="1"/>
        <s v="1036" u="1"/>
        <s v="1847" u="1"/>
        <s v="3446" u="1"/>
        <s v="2246" u="1"/>
        <s v="1046" u="1"/>
        <s v="1857" u="1"/>
        <s v="3456" u="1"/>
        <s v="2256" u="1"/>
        <s v="1056" u="1"/>
        <s v="1867" u="1"/>
        <s v="3466" u="1"/>
        <s v="0667" u="1"/>
        <s v="2266" u="1"/>
        <s v="1066" u="1"/>
        <s v="1877" u="1"/>
        <s v="3476" u="1"/>
        <s v="0677" u="1"/>
        <s v="2276" u="1"/>
        <s v="1076" u="1"/>
        <s v="1887" u="1"/>
        <s v="3486" u="1"/>
        <s v="0687" u="1"/>
        <s v="2286" u="1"/>
        <s v="1086" u="1"/>
        <s v="1897" u="1"/>
        <s v="3496" u="1"/>
        <s v="0697" u="1"/>
        <s v="2296" u="1"/>
        <s v="1096" u="1"/>
        <s v="3807" u="1"/>
        <s v="2607" u="1"/>
        <s v="1407" u="1"/>
        <s v="3006" u="1"/>
        <s v="3817" u="1"/>
        <s v="2617" u="1"/>
        <s v="1417" u="1"/>
        <s v="3016" u="1"/>
        <s v="3827" u="1"/>
        <s v="2627" u="1"/>
        <s v="1427" u="1"/>
        <s v="3026" u="1"/>
        <s v="3837" u="1"/>
        <s v="2637" u="1"/>
        <s v="1437" u="1"/>
        <s v="3036" u="1"/>
        <s v="3847" u="1"/>
        <s v="2647" u="1"/>
        <s v="1447" u="1"/>
        <s v="3046" u="1"/>
        <s v="3857" u="1"/>
        <s v="2657" u="1"/>
        <s v="1457" u="1"/>
        <s v="3056" u="1"/>
        <s v="3867" u="1"/>
        <s v="2667" u="1"/>
        <s v="1467" u="1"/>
        <s v="3066" u="1"/>
        <s v="3877" u="1"/>
        <s v="2677" u="1"/>
        <s v="1477" u="1"/>
        <s v="3076" u="1"/>
        <s v="3887" u="1"/>
        <s v="1900" u="1"/>
        <s v="2687" u="1"/>
        <s v="0700" u="1"/>
        <s v="1487" u="1"/>
        <s v="3086" u="1"/>
        <s v="3897" u="1"/>
        <s v="1910" u="1"/>
        <s v="2697" u="1"/>
        <s v="0710" u="1"/>
        <s v="1497" u="1"/>
        <s v="3096" u="1"/>
        <s v="1920" u="1"/>
        <s v="0720" u="1"/>
        <s v="1930" u="1"/>
        <s v="0730" u="1"/>
        <s v="1940" u="1"/>
        <s v="0740" u="1"/>
        <s v="1950" u="1"/>
        <s v="0750" u="1"/>
        <s v="1960" u="1"/>
        <s v="0760" u="1"/>
        <s v="1970" u="1"/>
        <s v="0770" u="1"/>
        <s v="1808" u="1"/>
        <s v="1980" u="1"/>
        <s v="3407" u="1"/>
        <s v="0780" u="1"/>
        <s v="2207" u="1"/>
        <s v="1007" u="1"/>
        <s v="1818" u="1"/>
        <s v="1990" u="1"/>
        <s v="3417" u="1"/>
        <s v="0790" u="1"/>
        <s v="2217" u="1"/>
        <s v="1017" u="1"/>
        <s v="1828" u="1"/>
        <s v="3427" u="1"/>
        <s v="2227" u="1"/>
        <s v="1027" u="1"/>
        <s v="1838" u="1"/>
        <s v="3437" u="1"/>
        <s v="2237" u="1"/>
        <s v="1037" u="1"/>
        <s v="1848" u="1"/>
        <s v="3447" u="1"/>
        <s v="2247" u="1"/>
        <s v="1047" u="1"/>
        <s v="1858" u="1"/>
        <s v="3457" u="1"/>
        <s v="0658" u="1"/>
        <s v="2257" u="1"/>
        <s v="1057" u="1"/>
        <s v="1868" u="1"/>
        <s v="3467" u="1"/>
        <s v="0668" u="1"/>
        <s v="2267" u="1"/>
        <s v="1067" u="1"/>
        <s v="1878" u="1"/>
        <s v="3477" u="1"/>
        <s v="0678" u="1"/>
        <s v="2277" u="1"/>
        <s v="3900" u="1"/>
        <s v="1077" u="1"/>
        <s v="1888" u="1"/>
        <s v="2700" u="1"/>
        <s v="3487" u="1"/>
        <s v="0688" u="1"/>
        <s v="1500" u="1"/>
        <s v="2287" u="1"/>
        <s v="3910" u="1"/>
        <s v="1087" u="1"/>
        <s v="1898" u="1"/>
        <s v="2710" u="1"/>
        <s v="3497" u="1"/>
        <s v="0698" u="1"/>
        <s v="1510" u="1"/>
        <s v="2297" u="1"/>
        <s v="3920" u="1"/>
        <s v="1097" u="1"/>
        <s v="2720" u="1"/>
        <s v="1520" u="1"/>
        <s v="3930" u="1"/>
        <s v="2730" u="1"/>
        <s v="1530" u="1"/>
        <s v="3940" u="1"/>
        <s v="2740" u="1"/>
        <s v="1540" u="1"/>
        <s v="3950" u="1"/>
        <s v="2750" u="1"/>
        <s v="1550" u="1"/>
        <s v="3960" u="1"/>
        <s v="2760" u="1"/>
        <s v="1560" u="1"/>
        <s v="3970" u="1"/>
        <s v="2770" u="1"/>
        <s v="1570" u="1"/>
        <s v="3808" u="1"/>
        <s v="3980" u="1"/>
        <s v="2608" u="1"/>
        <s v="2780" u="1"/>
        <s v="1408" u="1"/>
        <s v="1580" u="1"/>
        <s v="3007" u="1"/>
        <s v="3818" u="1"/>
        <s v="2618" u="1"/>
        <s v="2790" u="1"/>
        <s v="1418" u="1"/>
        <s v="1590" u="1"/>
        <s v="3017" u="1"/>
        <s v="3828" u="1"/>
        <s v="2628" u="1"/>
        <s v="1428" u="1"/>
        <s v="3027" u="1"/>
        <s v="3838" u="1"/>
        <s v="2638" u="1"/>
        <s v="1438" u="1"/>
        <s v="3037" u="1"/>
        <s v="3848" u="1"/>
        <s v="2648" u="1"/>
        <s v="1448" u="1"/>
        <s v="3047" u="1"/>
        <s v="3858" u="1"/>
        <s v="2658" u="1"/>
        <s v="1458" u="1"/>
        <s v="3057" u="1"/>
        <s v="3868" u="1"/>
        <s v="2668" u="1"/>
        <s v="1468" u="1"/>
        <s v="3067" u="1"/>
        <s v="3878" u="1"/>
        <s v="2678" u="1"/>
        <s v="1478" u="1"/>
        <s v="3077" u="1"/>
        <s v="3888" u="1"/>
        <s v="1901" u="1"/>
        <s v="2688" u="1"/>
        <s v="3500" u="1"/>
        <s v="0701" u="1"/>
        <s v="1488" u="1"/>
        <s v="2300" u="1"/>
        <s v="3087" u="1"/>
        <s v="3898" u="1"/>
        <s v="1100" u="1"/>
        <s v="1911" u="1"/>
        <s v="2698" u="1"/>
        <s v="3510" u="1"/>
        <s v="0711" u="1"/>
        <s v="1498" u="1"/>
        <s v="2310" u="1"/>
        <s v="3097" u="1"/>
        <s v="1110" u="1"/>
        <s v="1921" u="1"/>
        <s v="3520" u="1"/>
        <s v="0721" u="1"/>
        <s v="2320" u="1"/>
        <s v="1120" u="1"/>
        <s v="1931" u="1"/>
        <s v="3530" u="1"/>
        <s v="0731" u="1"/>
        <s v="2330" u="1"/>
        <s v="1130" u="1"/>
        <s v="1941" u="1"/>
        <s v="3540" u="1"/>
        <s v="0741" u="1"/>
        <s v="2340" u="1"/>
        <s v="1140" u="1"/>
        <s v="1951" u="1"/>
        <s v="3550" u="1"/>
        <s v="0751" u="1"/>
        <s v="2350" u="1"/>
        <s v="1150" u="1"/>
        <s v="1961" u="1"/>
        <s v="3560" u="1"/>
        <s v="0761" u="1"/>
        <s v="2360" u="1"/>
        <s v="1160" u="1"/>
        <s v="1971" u="1"/>
        <s v="3570" u="1"/>
        <s v="0771" u="1"/>
        <s v="2370" u="1"/>
        <s v="1170" u="1"/>
        <s v="1809" u="1"/>
        <s v="1981" u="1"/>
        <s v="3408" u="1"/>
        <s v="3580" u="1"/>
        <s v="0781" u="1"/>
        <s v="2208" u="1"/>
        <s v="2380" u="1"/>
        <s v="1008" u="1"/>
        <s v="1180" u="1"/>
        <s v="1819" u="1"/>
        <s v="1991" u="1"/>
        <s v="3418" u="1"/>
        <s v="3590" u="1"/>
        <s v="0791" u="1"/>
        <s v="2218" u="1"/>
        <s v="2390" u="1"/>
        <s v="1018" u="1"/>
        <s v="1190" u="1"/>
        <s v="1829" u="1"/>
        <s v="3428" u="1"/>
        <s v="2228" u="1"/>
        <s v="1028" u="1"/>
        <s v="1839" u="1"/>
        <s v="3438" u="1"/>
        <s v="2238" u="1"/>
        <s v="1038" u="1"/>
        <s v="1849" u="1"/>
        <s v="3448" u="1"/>
        <s v="2248" u="1"/>
        <s v="1048" u="1"/>
        <s v="1859" u="1"/>
        <s v="3458" u="1"/>
        <s v="0659" u="1"/>
        <s v="2258" u="1"/>
        <s v="1058" u="1"/>
        <s v="1869" u="1"/>
        <s v="3468" u="1"/>
        <s v="0669" u="1"/>
        <s v="2268" u="1"/>
        <s v="1068" u="1"/>
        <s v="1879" u="1"/>
        <s v="3478" u="1"/>
        <s v="0679" u="1"/>
        <s v="2278" u="1"/>
        <s v="3901" u="1"/>
        <s v="1078" u="1"/>
        <s v="1889" u="1"/>
        <s v="2701" u="1"/>
        <s v="3488" u="1"/>
        <s v="0689" u="1"/>
        <s v="1501" u="1"/>
        <s v="2288" u="1"/>
        <s v="3100" u="1"/>
        <s v="3911" u="1"/>
        <s v="1088" u="1"/>
        <s v="1899" u="1"/>
        <s v="2711" u="1"/>
        <s v="3498" u="1"/>
        <s v="0699" u="1"/>
        <s v="1511" u="1"/>
        <s v="2298" u="1"/>
        <s v="3110" u="1"/>
        <s v="3921" u="1"/>
        <s v="1098" u="1"/>
        <s v="2721" u="1"/>
        <s v="1521" u="1"/>
        <s v="3120" u="1"/>
        <s v="3931" u="1"/>
        <s v="2731" u="1"/>
        <s v="1531" u="1"/>
        <s v="3130" u="1"/>
        <s v="3941" u="1"/>
        <s v="2741" u="1"/>
        <s v="1541" u="1"/>
        <s v="3140" u="1"/>
        <s v="3951" u="1"/>
        <s v="2751" u="1"/>
        <s v="1551" u="1"/>
        <s v="3150" u="1"/>
        <s v="3961" u="1"/>
        <s v="2761" u="1"/>
        <s v="1561" u="1"/>
        <s v="3160" u="1"/>
        <s v="3971" u="1"/>
        <s v="2771" u="1"/>
        <s v="1571" u="1"/>
        <s v="3170" u="1"/>
        <s v="3809" u="1"/>
        <s v="3981" u="1"/>
        <s v="2609" u="1"/>
        <s v="2781" u="1"/>
        <s v="1409" u="1"/>
        <s v="1581" u="1"/>
        <s v="3008" u="1"/>
        <s v="3180" u="1"/>
        <s v="3819" u="1"/>
        <s v="2619" u="1"/>
        <s v="2791" u="1"/>
        <s v="1419" u="1"/>
        <s v="1591" u="1"/>
        <s v="3018" u="1"/>
        <s v="3190" u="1"/>
        <s v="3829" u="1"/>
        <s v="2629" u="1"/>
        <s v="1429" u="1"/>
        <s v="3028" u="1"/>
        <s v="3839" u="1"/>
        <s v="2639" u="1"/>
        <s v="1439" u="1"/>
        <s v="3038" u="1"/>
        <s v="3849" u="1"/>
        <s v="2649" u="1"/>
        <s v="1449" u="1"/>
        <s v="3048" u="1"/>
        <s v="3859" u="1"/>
        <s v="2659" u="1"/>
        <s v="1459" u="1"/>
        <s v="3058" u="1"/>
        <s v="3869" u="1"/>
        <s v="2669" u="1"/>
        <s v="1469" u="1"/>
        <s v="3068" u="1"/>
        <s v="3879" u="1"/>
        <s v="2679" u="1"/>
        <s v="1479" u="1"/>
        <s v="3078" u="1"/>
        <s v="3889" u="1"/>
        <s v="1902" u="1"/>
        <s v="2689" u="1"/>
        <s v="3501" u="1"/>
        <s v="0702" u="1"/>
        <s v="1489" u="1"/>
        <s v="2301" u="1"/>
        <s v="3088" u="1"/>
        <s v="3899" u="1"/>
        <s v="1101" u="1"/>
        <s v="1912" u="1"/>
        <s v="2699" u="1"/>
        <s v="3511" u="1"/>
        <s v="0712" u="1"/>
        <s v="1499" u="1"/>
        <s v="2311" u="1"/>
        <s v="3098" u="1"/>
        <s v="1111" u="1"/>
        <s v="1922" u="1"/>
        <s v="3521" u="1"/>
        <s v="0722" u="1"/>
        <s v="2321" u="1"/>
        <s v="1121" u="1"/>
        <s v="1932" u="1"/>
        <s v="3531" u="1"/>
        <s v="0732" u="1"/>
        <s v="2331" u="1"/>
        <s v="1131" u="1"/>
        <s v="1942" u="1"/>
        <s v="3541" u="1"/>
        <s v="0742" u="1"/>
        <s v="2341" u="1"/>
        <s v="1141" u="1"/>
        <s v="1952" u="1"/>
        <s v="3551" u="1"/>
        <s v="0752" u="1"/>
        <s v="2351" u="1"/>
        <s v="1151" u="1"/>
        <s v="1962" u="1"/>
        <s v="3561" u="1"/>
        <s v="0762" u="1"/>
        <s v="2361" u="1"/>
        <s v="1161" u="1"/>
        <s v="1972" u="1"/>
        <s v="3571" u="1"/>
        <s v="0772" u="1"/>
        <s v="2371" u="1"/>
        <s v="1171" u="1"/>
        <s v="1982" u="1"/>
        <s v="3409" u="1"/>
        <s v="3581" u="1"/>
        <s v="0782" u="1"/>
        <s v="2209" u="1"/>
        <s v="2381" u="1"/>
        <s v="1009" u="1"/>
        <s v="1181" u="1"/>
        <s v="1992" u="1"/>
        <s v="3419" u="1"/>
        <s v="3591" u="1"/>
        <s v="0792" u="1"/>
        <s v="2219" u="1"/>
        <s v="2391" u="1"/>
        <s v="1019" u="1"/>
        <s v="1191" u="1"/>
        <s v="3429" u="1"/>
        <s v="2229" u="1"/>
        <s v="1029" u="1"/>
        <s v="3439" u="1"/>
        <s v="2239" u="1"/>
        <s v="1039" u="1"/>
        <s v="3449" u="1"/>
        <s v="2249" u="1"/>
        <s v="1049" u="1"/>
        <s v="3459" u="1"/>
        <s v="2259" u="1"/>
        <s v="1059" u="1"/>
        <s v="3469" u="1"/>
        <s v="2269" u="1"/>
        <s v="1069" u="1"/>
        <s v="3479" u="1"/>
        <s v="2279" u="1"/>
        <s v="3902" u="1"/>
        <s v="1079" u="1"/>
        <s v="2702" u="1"/>
        <s v="3489" u="1"/>
        <s v="1502" u="1"/>
        <s v="2289" u="1"/>
        <s v="3101" u="1"/>
        <s v="3912" u="1"/>
        <s v="1089" u="1"/>
        <s v="2712" u="1"/>
        <s v="3499" u="1"/>
        <s v="1512" u="1"/>
        <s v="2299" u="1"/>
        <s v="3111" u="1"/>
        <s v="3922" u="1"/>
        <s v="1099" u="1"/>
        <s v="2722" u="1"/>
        <s v="1522" u="1"/>
        <s v="3121" u="1"/>
        <s v="3932" u="1"/>
        <s v="2732" u="1"/>
        <s v="1532" u="1"/>
        <s v="3131" u="1"/>
        <s v="3942" u="1"/>
        <s v="2742" u="1"/>
        <s v="1542" u="1"/>
        <s v="3141" u="1"/>
        <s v="3952" u="1"/>
        <s v="2752" u="1"/>
        <s v="1552" u="1"/>
        <s v="3151" u="1"/>
        <s v="3962" u="1"/>
        <s v="2762" u="1"/>
        <s v="1562" u="1"/>
        <s v="3161" u="1"/>
        <s v="3972" u="1"/>
        <s v="2772" u="1"/>
        <s v="1572" u="1"/>
        <s v="3171" u="1"/>
        <s v="3982" u="1"/>
        <s v="2782" u="1"/>
        <s v="1582" u="1"/>
        <s v="3009" u="1"/>
        <s v="3181" u="1"/>
        <s v="2792" u="1"/>
        <s v="1592" u="1"/>
        <s v="3019" u="1"/>
        <s v="3191" u="1"/>
        <s v="3029" u="1"/>
        <s v="3039" u="1"/>
        <s v="3049" u="1"/>
        <s v="3059" u="1"/>
        <s v="3069" u="1"/>
        <s v="3079" u="1"/>
        <s v="1903" u="1"/>
        <s v="3502" u="1"/>
        <s v="0703" u="1"/>
        <s v="2302" u="1"/>
        <s v="3089" u="1"/>
        <s v="1102" u="1"/>
        <s v="1913" u="1"/>
        <s v="3512" u="1"/>
        <s v="0713" u="1"/>
        <s v="2312" u="1"/>
        <s v="3099" u="1"/>
        <s v="1112" u="1"/>
        <s v="1923" u="1"/>
        <s v="3522" u="1"/>
        <s v="0723" u="1"/>
        <s v="2322" u="1"/>
        <s v="1122" u="1"/>
        <s v="1933" u="1"/>
        <s v="3532" u="1"/>
        <s v="0733" u="1"/>
        <s v="2332" u="1"/>
        <s v="1132" u="1"/>
        <s v="1943" u="1"/>
        <s v="3542" u="1"/>
        <s v="0743" u="1"/>
        <s v="2342" u="1"/>
        <s v="1142" u="1"/>
        <s v="1953" u="1"/>
        <s v="3552" u="1"/>
        <s v="0753" u="1"/>
        <s v="2352" u="1"/>
        <s v="1152" u="1"/>
        <s v="1963" u="1"/>
        <s v="3562" u="1"/>
        <s v="0763" u="1"/>
        <s v="2362" u="1"/>
        <s v="1162" u="1"/>
        <s v="1973" u="1"/>
        <s v="3572" u="1"/>
        <s v="0773" u="1"/>
        <s v="2372" u="1"/>
        <s v="1172" u="1"/>
        <s v="1983" u="1"/>
        <s v="3582" u="1"/>
        <s v="0783" u="1"/>
        <s v="2382" u="1"/>
        <s v="1182" u="1"/>
        <s v="1993" u="1"/>
        <s v="3592" u="1"/>
        <s v="0793" u="1"/>
        <s v="2392" u="1"/>
        <s v="1192" u="1"/>
        <s v="3903" u="1"/>
        <s v="2703" u="1"/>
        <s v="1503" u="1"/>
        <s v="3102" u="1"/>
        <s v="3913" u="1"/>
        <s v="2713" u="1"/>
        <s v="1513" u="1"/>
        <s v="3112" u="1"/>
        <s v="3923" u="1"/>
        <s v="2723" u="1"/>
        <s v="1523" u="1"/>
        <s v="3122" u="1"/>
        <s v="3933" u="1"/>
        <s v="2733" u="1"/>
        <s v="1533" u="1"/>
        <s v="3132" u="1"/>
        <s v="3943" u="1"/>
        <s v="2743" u="1"/>
        <s v="1543" u="1"/>
        <s v="3142" u="1"/>
        <s v="3953" u="1"/>
        <s v="2753" u="1"/>
        <s v="1553" u="1"/>
        <s v="3152" u="1"/>
        <s v="3963" u="1"/>
        <s v="2763" u="1"/>
        <s v="1563" u="1"/>
        <s v="3162" u="1"/>
        <s v="3973" u="1"/>
        <s v="2773" u="1"/>
        <s v="1573" u="1"/>
        <s v="3172" u="1"/>
        <s v="2783" u="1"/>
        <s v="1583" u="1"/>
        <s v="3182" u="1"/>
        <s v="2793" u="1"/>
        <s v="1593" u="1"/>
        <s v="3192" u="1"/>
        <s v="1904" u="1"/>
        <s v="3503" u="1"/>
        <s v="0704" u="1"/>
        <s v="2303" u="1"/>
        <s v="1103" u="1"/>
        <s v="1914" u="1"/>
        <s v="3513" u="1"/>
        <s v="0714" u="1"/>
        <s v="2313" u="1"/>
        <s v="1113" u="1"/>
        <s v="1924" u="1"/>
        <s v="3523" u="1"/>
        <s v="0724" u="1"/>
        <s v="2323" u="1"/>
        <s v="1123" u="1"/>
        <s v="1934" u="1"/>
        <s v="3533" u="1"/>
        <s v="0734" u="1"/>
        <s v="2333" u="1"/>
        <s v="1133" u="1"/>
        <s v="1944" u="1"/>
        <s v="3543" u="1"/>
        <s v="0744" u="1"/>
        <s v="2343" u="1"/>
        <s v="1143" u="1"/>
        <s v="1954" u="1"/>
        <s v="3553" u="1"/>
        <s v="0754" u="1"/>
        <s v="2353" u="1"/>
        <s v="1153" u="1"/>
        <s v="1964" u="1"/>
        <s v="3563" u="1"/>
        <s v="0764" u="1"/>
        <s v="2363" u="1"/>
        <s v="1163" u="1"/>
        <s v="1974" u="1"/>
        <s v="3573" u="1"/>
        <s v="0774" u="1"/>
        <s v="2373" u="1"/>
        <s v="1173" u="1"/>
        <s v="1984" u="1"/>
        <s v="3583" u="1"/>
        <s v="0784" u="1"/>
        <s v="2383" u="1"/>
        <s v="1183" u="1"/>
        <s v="1994" u="1"/>
        <s v="3593" u="1"/>
        <s v="0794" u="1"/>
        <s v="2393" u="1"/>
        <s v="1193" u="1"/>
        <s v="3904" u="1"/>
        <s v="2704" u="1"/>
        <s v="1504" u="1"/>
        <s v="3103" u="1"/>
        <s v="3914" u="1"/>
        <s v="2714" u="1"/>
        <s v="1514" u="1"/>
        <s v="3113" u="1"/>
        <s v="3924" u="1"/>
        <s v="2724" u="1"/>
        <s v="1524" u="1"/>
        <s v="3123" u="1"/>
        <s v="3934" u="1"/>
        <s v="2734" u="1"/>
        <s v="1534" u="1"/>
        <s v="3133" u="1"/>
        <s v="3944" u="1"/>
        <s v="2744" u="1"/>
        <s v="1544" u="1"/>
        <s v="3143" u="1"/>
        <s v="3954" u="1"/>
        <s v="2754" u="1"/>
        <s v="1554" u="1"/>
        <s v="3153" u="1"/>
        <s v="3964" u="1"/>
        <s v="2764" u="1"/>
        <s v="1564" u="1"/>
        <s v="3163" u="1"/>
        <s v="3974" u="1"/>
        <s v="2774" u="1"/>
        <s v="1574" u="1"/>
        <s v="3173" u="1"/>
        <s v="2784" u="1"/>
        <s v="1584" u="1"/>
        <s v="3183" u="1"/>
        <s v="2794" u="1"/>
        <s v="1594" u="1"/>
        <s v="3193" u="1"/>
        <s v="1905" u="1"/>
        <s v="3504" u="1"/>
        <s v="0705" u="1"/>
        <s v="2304" u="1"/>
        <s v="1104" u="1"/>
        <s v="1915" u="1"/>
        <s v="3514" u="1"/>
        <s v="0715" u="1"/>
        <s v="2314" u="1"/>
        <s v="1114" u="1"/>
        <s v="1925" u="1"/>
        <s v="3524" u="1"/>
        <s v="0725" u="1"/>
        <s v="2324" u="1"/>
        <s v="1124" u="1"/>
        <s v="1935" u="1"/>
        <s v="3534" u="1"/>
        <s v="0735" u="1"/>
        <s v="2334" u="1"/>
        <s v="1134" u="1"/>
        <s v="1945" u="1"/>
        <s v="3544" u="1"/>
        <s v="0745" u="1"/>
        <s v="2344" u="1"/>
        <s v="1144" u="1"/>
        <s v="1955" u="1"/>
        <s v="3554" u="1"/>
        <s v="0755" u="1"/>
        <s v="2354" u="1"/>
        <s v="1154" u="1"/>
        <s v="1965" u="1"/>
        <s v="3564" u="1"/>
        <s v="0765" u="1"/>
        <s v="2364" u="1"/>
        <s v="1164" u="1"/>
        <s v="1975" u="1"/>
        <s v="3574" u="1"/>
        <s v="0775" u="1"/>
        <s v="2374" u="1"/>
        <s v="1174" u="1"/>
        <s v="1985" u="1"/>
        <s v="3584" u="1"/>
        <s v="0785" u="1"/>
        <s v="2384" u="1"/>
        <s v="1184" u="1"/>
        <s v="1995" u="1"/>
        <s v="3594" u="1"/>
        <s v="0795" u="1"/>
        <s v="2394" u="1"/>
        <s v="1194" u="1"/>
        <s v="3905" u="1"/>
        <s v="2705" u="1"/>
        <s v="1505" u="1"/>
        <s v="3104" u="1"/>
        <s v="3915" u="1"/>
        <s v="2715" u="1"/>
        <s v="1515" u="1"/>
        <s v="3114" u="1"/>
        <s v="3925" u="1"/>
        <s v="2725" u="1"/>
        <s v="1525" u="1"/>
        <s v="3124" u="1"/>
        <s v="3935" u="1"/>
        <s v="2735" u="1"/>
        <s v="1535" u="1"/>
        <s v="3134" u="1"/>
        <s v="3945" u="1"/>
        <s v="2745" u="1"/>
        <s v="1545" u="1"/>
        <s v="3144" u="1"/>
        <s v="3955" u="1"/>
        <s v="2755" u="1"/>
        <s v="1555" u="1"/>
        <s v="3154" u="1"/>
        <s v="3965" u="1"/>
        <s v="2765" u="1"/>
        <s v="1565" u="1"/>
        <s v="3164" u="1"/>
        <s v="3975" u="1"/>
        <s v="2775" u="1"/>
        <s v="1575" u="1"/>
        <s v="3174" u="1"/>
        <s v="2785" u="1"/>
        <s v="1585" u="1"/>
        <s v="3184" u="1"/>
        <s v="2795" u="1"/>
        <s v="1595" u="1"/>
        <s v="3194" u="1"/>
        <s v="1906" u="1"/>
        <s v="3505" u="1"/>
        <s v="0706" u="1"/>
        <s v="2305" u="1"/>
        <s v="1105" u="1"/>
        <s v="1916" u="1"/>
        <s v="3515" u="1"/>
        <s v="0716" u="1"/>
        <s v="2315" u="1"/>
        <s v="1115" u="1"/>
        <s v="1926" u="1"/>
        <s v="3525" u="1"/>
        <s v="0726" u="1"/>
        <s v="2325" u="1"/>
        <s v="1125" u="1"/>
        <s v="1936" u="1"/>
        <s v="3535" u="1"/>
        <s v="0736" u="1"/>
        <s v="2335" u="1"/>
        <s v="1135" u="1"/>
        <s v="1946" u="1"/>
        <s v="3545" u="1"/>
        <s v="0746" u="1"/>
        <s v="2345" u="1"/>
        <s v="1145" u="1"/>
        <s v="1956" u="1"/>
        <s v="3555" u="1"/>
        <s v="0756" u="1"/>
        <s v="2355" u="1"/>
        <s v="1155" u="1"/>
        <s v="1966" u="1"/>
        <s v="3565" u="1"/>
        <s v="0766" u="1"/>
        <s v="2365" u="1"/>
        <s v="1165" u="1"/>
        <s v="1976" u="1"/>
        <s v="3575" u="1"/>
        <s v="0776" u="1"/>
        <s v="2375" u="1"/>
        <s v="1175" u="1"/>
        <s v="1986" u="1"/>
        <s v="3585" u="1"/>
        <s v="0786" u="1"/>
        <s v="2385" u="1"/>
        <s v="1185" u="1"/>
        <s v="1996" u="1"/>
        <s v="3595" u="1"/>
        <s v="0796" u="1"/>
        <s v="2395" u="1"/>
        <s v="1195" u="1"/>
        <s v="3906" u="1"/>
        <s v="2706" u="1"/>
        <s v="1506" u="1"/>
        <s v="3105" u="1"/>
        <s v="3916" u="1"/>
        <s v="2716" u="1"/>
        <s v="1516" u="1"/>
        <s v="3115" u="1"/>
        <s v="3926" u="1"/>
        <s v="2726" u="1"/>
        <s v="1526" u="1"/>
        <s v="3125" u="1"/>
        <s v="3936" u="1"/>
        <s v="2736" u="1"/>
        <s v="1536" u="1"/>
        <s v="3135" u="1"/>
        <s v="3946" u="1"/>
        <s v="2746" u="1"/>
        <s v="1546" u="1"/>
        <s v="3145" u="1"/>
        <s v="3956" u="1"/>
        <s v="2756" u="1"/>
        <s v="1556" u="1"/>
        <s v="3155" u="1"/>
        <s v="3966" u="1"/>
        <s v="2766" u="1"/>
        <s v="1566" u="1"/>
        <s v="3165" u="1"/>
        <s v="3976" u="1"/>
        <s v="2776" u="1"/>
        <s v="1576" u="1"/>
        <s v="3175" u="1"/>
        <s v="2786" u="1"/>
        <s v="1586" u="1"/>
        <s v="3185" u="1"/>
        <s v="2796" u="1"/>
        <s v="1596" u="1"/>
        <s v="3195" u="1"/>
        <s v="1907" u="1"/>
        <s v="3506" u="1"/>
        <s v="0707" u="1"/>
        <s v="2306" u="1"/>
        <s v="1106" u="1"/>
        <s v="1917" u="1"/>
        <s v="3516" u="1"/>
        <s v="0717" u="1"/>
        <s v="2316" u="1"/>
        <s v="1116" u="1"/>
        <s v="1927" u="1"/>
        <s v="3526" u="1"/>
        <s v="0727" u="1"/>
        <s v="2326" u="1"/>
        <s v="1126" u="1"/>
        <s v="1937" u="1"/>
        <s v="3536" u="1"/>
        <s v="0737" u="1"/>
        <s v="2336" u="1"/>
        <s v="1136" u="1"/>
        <s v="1947" u="1"/>
        <s v="3546" u="1"/>
        <s v="0747" u="1"/>
        <s v="2346" u="1"/>
        <s v="1146" u="1"/>
        <s v="1957" u="1"/>
        <s v="3556" u="1"/>
        <s v="0757" u="1"/>
        <s v="2356" u="1"/>
        <s v="1156" u="1"/>
        <s v="1967" u="1"/>
        <s v="3566" u="1"/>
        <s v="0767" u="1"/>
        <s v="2366" u="1"/>
        <s v="1166" u="1"/>
        <s v="1977" u="1"/>
        <s v="3576" u="1"/>
        <s v="0777" u="1"/>
        <s v="2376" u="1"/>
        <s v="1176" u="1"/>
        <s v="1987" u="1"/>
        <s v="3586" u="1"/>
        <s v="0787" u="1"/>
        <s v="2386" u="1"/>
        <s v="1186" u="1"/>
        <s v="1997" u="1"/>
        <s v="3596" u="1"/>
        <s v="0797" u="1"/>
        <s v="2396" u="1"/>
        <s v="1196" u="1"/>
        <s v="3907" u="1"/>
        <s v="2707" u="1"/>
        <s v="1507" u="1"/>
        <s v="3106" u="1"/>
        <s v="3917" u="1"/>
        <s v="2717" u="1"/>
        <s v="1517" u="1"/>
        <s v="3116" u="1"/>
        <s v="3927" u="1"/>
        <s v="2727" u="1"/>
        <s v="1527" u="1"/>
        <s v="3126" u="1"/>
        <s v="3937" u="1"/>
        <s v="2737" u="1"/>
        <s v="1537" u="1"/>
        <s v="3136" u="1"/>
        <s v="3947" u="1"/>
        <s v="2747" u="1"/>
        <s v="1547" u="1"/>
        <s v="3146" u="1"/>
        <s v="3957" u="1"/>
        <s v="2757" u="1"/>
        <s v="1557" u="1"/>
        <s v="3156" u="1"/>
        <s v="3967" u="1"/>
        <s v="2767" u="1"/>
        <s v="1567" u="1"/>
        <s v="3166" u="1"/>
        <s v="3977" u="1"/>
        <s v="2777" u="1"/>
        <s v="1577" u="1"/>
        <s v="3176" u="1"/>
        <s v="2787" u="1"/>
        <s v="0800" u="1"/>
        <s v="1587" u="1"/>
        <s v="3186" u="1"/>
        <s v="2797" u="1"/>
        <s v="0810" u="1"/>
        <s v="1597" u="1"/>
        <s v="3196" u="1"/>
        <s v="0820" u="1"/>
        <s v="0830" u="1"/>
        <s v="0840" u="1"/>
        <s v="0850" u="1"/>
        <s v="0860" u="1"/>
        <s v="0870" u="1"/>
        <s v="1908" u="1"/>
        <s v="3507" u="1"/>
        <s v="0708" u="1"/>
        <s v="0880" u="1"/>
        <s v="2307" u="1"/>
        <s v="1107" u="1"/>
        <s v="1918" u="1"/>
        <s v="3517" u="1"/>
        <s v="0718" u="1"/>
        <s v="0890" u="1"/>
        <s v="2317" u="1"/>
        <s v="1117" u="1"/>
        <s v="1928" u="1"/>
        <s v="3527" u="1"/>
        <s v="0728" u="1"/>
        <s v="2327" u="1"/>
        <s v="1127" u="1"/>
        <s v="1938" u="1"/>
        <s v="3537" u="1"/>
        <s v="0738" u="1"/>
        <s v="2337" u="1"/>
        <s v="1137" u="1"/>
        <s v="1948" u="1"/>
        <s v="3547" u="1"/>
        <s v="0748" u="1"/>
        <s v="2347" u="1"/>
        <s v="1147" u="1"/>
        <s v="1958" u="1"/>
        <s v="3557" u="1"/>
        <s v="0758" u="1"/>
        <s v="2357" u="1"/>
        <s v="1157" u="1"/>
        <s v="1968" u="1"/>
        <s v="3567" u="1"/>
        <s v="0768" u="1"/>
        <s v="2367" u="1"/>
        <s v="1167" u="1"/>
        <s v="1978" u="1"/>
        <s v="3577" u="1"/>
        <s v="0778" u="1"/>
        <s v="2377" u="1"/>
        <s v="1177" u="1"/>
        <s v="1988" u="1"/>
        <s v="2800" u="1"/>
        <s v="3587" u="1"/>
        <s v="0788" u="1"/>
        <s v="1600" u="1"/>
        <s v="2387" u="1"/>
        <s v="1187" u="1"/>
        <s v="1998" u="1"/>
        <s v="2810" u="1"/>
        <s v="3597" u="1"/>
        <s v="0798" u="1"/>
        <s v="1610" u="1"/>
        <s v="2397" u="1"/>
        <s v="1197" u="1"/>
        <s v="2820" u="1"/>
        <s v="1620" u="1"/>
        <s v="2830" u="1"/>
        <s v="1630" u="1"/>
        <s v="2840" u="1"/>
        <s v="1640" u="1"/>
        <s v="2850" u="1"/>
        <s v="1650" u="1"/>
        <s v="2860" u="1"/>
        <s v="1660" u="1"/>
        <s v="2870" u="1"/>
        <s v="1670" u="1"/>
        <s v="3908" u="1"/>
        <s v="2708" u="1"/>
        <s v="2880" u="1"/>
        <s v="1508" u="1"/>
        <s v="1680" u="1"/>
        <s v="3107" u="1"/>
        <s v="3918" u="1"/>
        <s v="2718" u="1"/>
        <s v="2890" u="1"/>
        <s v="1518" u="1"/>
        <s v="1690" u="1"/>
        <s v="3117" u="1"/>
        <s v="3928" u="1"/>
        <s v="2728" u="1"/>
        <s v="1528" u="1"/>
        <s v="3127" u="1"/>
        <s v="3938" u="1"/>
        <s v="2738" u="1"/>
        <s v="1538" u="1"/>
        <s v="3137" u="1"/>
        <s v="3948" u="1"/>
        <s v="2748" u="1"/>
        <s v="1548" u="1"/>
        <s v="3147" u="1"/>
        <s v="3958" u="1"/>
        <s v="2758" u="1"/>
        <s v="1558" u="1"/>
        <s v="3157" u="1"/>
        <s v="3968" u="1"/>
        <s v="2768" u="1"/>
        <s v="1568" u="1"/>
        <s v="3167" u="1"/>
        <s v="3978" u="1"/>
        <s v="2778" u="1"/>
        <s v="1578" u="1"/>
        <s v="3177" u="1"/>
        <s v="2788" u="1"/>
        <s v="3600" u="1"/>
        <s v="0801" u="1"/>
        <s v="1588" u="1"/>
        <s v="2400" u="1"/>
        <s v="3187" u="1"/>
        <s v="1200" u="1"/>
        <s v="2798" u="1"/>
        <s v="3610" u="1"/>
        <s v="0811" u="1"/>
        <s v="1598" u="1"/>
        <s v="2410" u="1"/>
        <s v="3197" u="1"/>
        <s v="1210" u="1"/>
        <s v="3620" u="1"/>
        <s v="0821" u="1"/>
        <s v="2420" u="1"/>
        <s v="1220" u="1"/>
        <s v="3630" u="1"/>
        <s v="0831" u="1"/>
        <s v="2430" u="1"/>
        <s v="1230" u="1"/>
        <s v="3640" u="1"/>
        <s v="0841" u="1"/>
        <s v="2440" u="1"/>
        <s v="1240" u="1"/>
        <s v="3650" u="1"/>
        <s v="0851" u="1"/>
        <s v="2450" u="1"/>
        <s v="1250" u="1"/>
        <s v="3660" u="1"/>
        <s v="0861" u="1"/>
        <s v="2460" u="1"/>
        <s v="1260" u="1"/>
        <s v="3670" u="1"/>
        <s v="0871" u="1"/>
        <s v="2470" u="1"/>
        <s v="1270" u="1"/>
        <s v="1909" u="1"/>
        <s v="3508" u="1"/>
        <s v="3680" u="1"/>
        <s v="0709" u="1"/>
        <s v="0881" u="1"/>
        <s v="2308" u="1"/>
        <s v="2480" u="1"/>
        <s v="1108" u="1"/>
        <s v="1280" u="1"/>
        <s v="1919" u="1"/>
        <s v="3518" u="1"/>
        <s v="3690" u="1"/>
        <s v="0719" u="1"/>
        <s v="0891" u="1"/>
        <s v="2318" u="1"/>
        <s v="2490" u="1"/>
        <s v="1118" u="1"/>
        <s v="1290" u="1"/>
        <s v="1929" u="1"/>
        <s v="3528" u="1"/>
        <s v="0729" u="1"/>
        <s v="2328" u="1"/>
        <s v="1128" u="1"/>
        <s v="1939" u="1"/>
        <s v="3538" u="1"/>
        <s v="0739" u="1"/>
        <s v="2338" u="1"/>
        <s v="1138" u="1"/>
        <s v="1949" u="1"/>
        <s v="3548" u="1"/>
        <s v="0749" u="1"/>
        <s v="2348" u="1"/>
        <s v="1148" u="1"/>
        <s v="1959" u="1"/>
        <s v="3558" u="1"/>
        <s v="0759" u="1"/>
        <s v="2358" u="1"/>
        <s v="1158" u="1"/>
        <s v="1969" u="1"/>
        <s v="3568" u="1"/>
        <s v="0769" u="1"/>
        <s v="2368" u="1"/>
        <s v="1168" u="1"/>
        <s v="1979" u="1"/>
        <s v="3578" u="1"/>
        <s v="0779" u="1"/>
        <s v="2378" u="1"/>
        <s v="1178" u="1"/>
        <s v="1989" u="1"/>
        <s v="2801" u="1"/>
        <s v="3588" u="1"/>
        <s v="0789" u="1"/>
        <s v="1601" u="1"/>
        <s v="2388" u="1"/>
        <s v="3200" u="1"/>
        <s v="1188" u="1"/>
        <s v="1999" u="1"/>
        <s v="2000" u="1"/>
        <s v="2811" u="1"/>
        <s v="3598" u="1"/>
        <s v="0799" u="1"/>
        <s v="1611" u="1"/>
        <s v="2398" u="1"/>
        <s v="3210" u="1"/>
        <s v="1198" u="1"/>
        <s v="2010" u="1"/>
        <s v="2821" u="1"/>
        <s v="1621" u="1"/>
        <s v="3220" u="1"/>
        <s v="2020" u="1"/>
        <s v="2831" u="1"/>
        <s v="1631" u="1"/>
        <s v="3230" u="1"/>
        <s v="2030" u="1"/>
        <s v="2841" u="1"/>
        <s v="1641" u="1"/>
        <s v="3240" u="1"/>
        <s v="2040" u="1"/>
        <s v="2851" u="1"/>
        <s v="1651" u="1"/>
        <s v="3250" u="1"/>
        <s v="2050" u="1"/>
        <s v="2861" u="1"/>
        <s v="1661" u="1"/>
        <s v="3260" u="1"/>
        <s v="2060" u="1"/>
        <s v="2871" u="1"/>
        <s v="1671" u="1"/>
        <s v="3270" u="1"/>
        <s v="3909" u="1"/>
        <s v="2070" u="1"/>
        <s v="2709" u="1"/>
        <s v="2881" u="1"/>
        <s v="1509" u="1"/>
        <s v="1681" u="1"/>
        <s v="3108" u="1"/>
        <s v="3280" u="1"/>
        <s v="3919" u="1"/>
        <s v="2080" u="1"/>
        <s v="2719" u="1"/>
        <s v="2891" u="1"/>
        <s v="1519" u="1"/>
        <s v="1691" u="1"/>
        <s v="3118" u="1"/>
        <s v="3290" u="1"/>
        <s v="3929" u="1"/>
        <s v="2090" u="1"/>
        <s v="2729" u="1"/>
        <s v="1529" u="1"/>
        <s v="3128" u="1"/>
        <s v="3939" u="1"/>
        <s v="2739" u="1"/>
        <s v="1539" u="1"/>
        <s v="3138" u="1"/>
        <s v="3949" u="1"/>
        <s v="2749" u="1"/>
        <s v="1549" u="1"/>
        <s v="3148" u="1"/>
        <s v="3959" u="1"/>
        <s v="2759" u="1"/>
        <s v="1559" u="1"/>
        <s v="3158" u="1"/>
        <s v="3969" u="1"/>
        <s v="2769" u="1"/>
        <s v="1569" u="1"/>
        <s v="3168" u="1"/>
        <s v="3979" u="1"/>
        <s v="2779" u="1"/>
        <s v="1579" u="1"/>
        <s v="3178" u="1"/>
        <s v="2789" u="1"/>
        <s v="3601" u="1"/>
        <s v="0802" u="1"/>
        <s v="1589" u="1"/>
        <s v="2401" u="1"/>
        <s v="3188" u="1"/>
        <s v="1201" u="1"/>
        <s v="2799" u="1"/>
        <s v="3611" u="1"/>
        <s v="0812" u="1"/>
        <s v="1599" u="1"/>
        <s v="2411" u="1"/>
        <s v="3198" u="1"/>
        <s v="1211" u="1"/>
        <s v="3621" u="1"/>
        <s v="0822" u="1"/>
        <s v="2421" u="1"/>
        <s v="1221" u="1"/>
        <s v="3631" u="1"/>
        <s v="0832" u="1"/>
        <s v="2431" u="1"/>
        <s v="1231" u="1"/>
        <s v="3641" u="1"/>
        <s v="0842" u="1"/>
        <s v="2441" u="1"/>
        <s v="1241" u="1"/>
        <s v="3651" u="1"/>
        <s v="0852" u="1"/>
        <s v="2451" u="1"/>
        <s v="1251" u="1"/>
        <s v="3661" u="1"/>
        <s v="0862" u="1"/>
        <s v="2461" u="1"/>
        <s v="1261" u="1"/>
        <s v="3671" u="1"/>
        <s v="0872" u="1"/>
        <s v="2471" u="1"/>
        <s v="1271" u="1"/>
        <s v="3509" u="1"/>
        <s v="3681" u="1"/>
        <s v="0882" u="1"/>
        <s v="2309" u="1"/>
        <s v="2481" u="1"/>
        <s v="1109" u="1"/>
        <s v="1281" u="1"/>
        <s v="3519" u="1"/>
        <s v="3691" u="1"/>
        <s v="0892" u="1"/>
        <s v="2319" u="1"/>
        <s v="2491" u="1"/>
        <s v="1119" u="1"/>
        <s v="1291" u="1"/>
        <s v="3529" u="1"/>
        <s v="2329" u="1"/>
        <s v="1129" u="1"/>
        <s v="3539" u="1"/>
        <s v="2339" u="1"/>
        <s v="1139" u="1"/>
        <s v="3549" u="1"/>
        <s v="2349" u="1"/>
        <s v="1149" u="1"/>
        <s v="3559" u="1"/>
        <s v="2359" u="1"/>
        <s v="1159" u="1"/>
        <s v="3569" u="1"/>
        <s v="2369" u="1"/>
        <s v="1169" u="1"/>
        <s v="3579" u="1"/>
        <s v="2379" u="1"/>
        <s v="1179" u="1"/>
        <s v="2802" u="1"/>
        <s v="3589" u="1"/>
        <s v="1602" u="1"/>
        <s v="2389" u="1"/>
        <s v="3201" u="1"/>
        <s v="1189" u="1"/>
        <s v="2001" u="1"/>
        <s v="2812" u="1"/>
        <s v="3599" u="1"/>
        <s v="1612" u="1"/>
        <s v="2399" u="1"/>
        <s v="3211" u="1"/>
        <s v="1199" u="1"/>
        <s v="2011" u="1"/>
        <s v="2822" u="1"/>
        <s v="1622" u="1"/>
        <s v="3221" u="1"/>
        <s v="2021" u="1"/>
        <s v="2832" u="1"/>
        <s v="1632" u="1"/>
        <s v="3231" u="1"/>
        <s v="2031" u="1"/>
        <s v="2842" u="1"/>
        <s v="1642" u="1"/>
        <s v="3241" u="1"/>
        <s v="2041" u="1"/>
        <s v="2852" u="1"/>
        <s v="1652" u="1"/>
        <s v="3251" u="1"/>
        <s v="2051" u="1"/>
        <s v="2862" u="1"/>
        <s v="1662" u="1"/>
        <s v="3261" u="1"/>
        <s v="2061" u="1"/>
        <s v="2872" u="1"/>
        <s v="1672" u="1"/>
        <s v="3271" u="1"/>
        <s v="2071" u="1"/>
        <s v="2882" u="1"/>
        <s v="1682" u="1"/>
        <s v="3109" u="1"/>
        <s v="3281" u="1"/>
        <s v="2081" u="1"/>
        <s v="2892" u="1"/>
        <s v="1692" u="1"/>
        <s v="3119" u="1"/>
        <s v="3291" u="1"/>
        <s v="2091" u="1"/>
        <s v="3129" u="1"/>
        <s v="3139" u="1"/>
        <s v="3149" u="1"/>
        <s v="3159" u="1"/>
        <s v="3169" u="1"/>
        <s v="3179" u="1"/>
        <s v="3602" u="1"/>
        <s v="0803" u="1"/>
        <s v="2402" u="1"/>
        <s v="3189" u="1"/>
        <s v="1202" u="1"/>
        <s v="3612" u="1"/>
        <s v="0813" u="1"/>
        <s v="2412" u="1"/>
        <s v="3199" u="1"/>
        <s v="1212" u="1"/>
        <s v="3622" u="1"/>
        <s v="0823" u="1"/>
        <s v="2422" u="1"/>
        <s v="1222" u="1"/>
        <s v="3632" u="1"/>
        <s v="0833" u="1"/>
        <s v="2432" u="1"/>
        <s v="1232" u="1"/>
        <s v="3642" u="1"/>
        <s v="0843" u="1"/>
        <s v="2442" u="1"/>
        <s v="1242" u="1"/>
        <s v="3652" u="1"/>
        <s v="0853" u="1"/>
        <s v="2452" u="1"/>
        <s v="1252" u="1"/>
        <s v="3662" u="1"/>
        <s v="0863" u="1"/>
        <s v="2462" u="1"/>
        <s v="1262" u="1"/>
        <s v="3672" u="1"/>
        <s v="0873" u="1"/>
        <s v="2472" u="1"/>
        <s v="1272" u="1"/>
        <s v="3682" u="1"/>
        <s v="0883" u="1"/>
        <s v="2482" u="1"/>
        <s v="1282" u="1"/>
        <s v="3692" u="1"/>
        <s v="0893" u="1"/>
        <s v="2492" u="1"/>
        <s v="1292" u="1"/>
        <s v="2803" u="1"/>
        <s v="1603" u="1"/>
        <s v="3202" u="1"/>
        <s v="2002" u="1"/>
        <s v="2813" u="1"/>
        <s v="1613" u="1"/>
        <s v="3212" u="1"/>
        <s v="2012" u="1"/>
        <s v="2823" u="1"/>
        <s v="1623" u="1"/>
        <s v="3222" u="1"/>
        <s v="2022" u="1"/>
        <s v="2833" u="1"/>
        <s v="1633" u="1"/>
        <s v="3232" u="1"/>
        <s v="2032" u="1"/>
        <s v="2843" u="1"/>
        <s v="1643" u="1"/>
        <s v="3242" u="1"/>
        <s v="2042" u="1"/>
        <s v="2853" u="1"/>
        <s v="1653" u="1"/>
        <s v="3252" u="1"/>
        <s v="2052" u="1"/>
        <s v="2863" u="1"/>
        <s v="1663" u="1"/>
        <s v="3262" u="1"/>
        <s v="2062" u="1"/>
        <s v="2873" u="1"/>
        <s v="1673" u="1"/>
        <s v="3272" u="1"/>
        <s v="2072" u="1"/>
        <s v="2883" u="1"/>
        <s v="1683" u="1"/>
        <s v="3282" u="1"/>
        <s v="2082" u="1"/>
        <s v="2893" u="1"/>
        <s v="1693" u="1"/>
        <s v="3292" u="1"/>
        <s v="2092" u="1"/>
        <s v="3603" u="1"/>
        <s v="0804" u="1"/>
        <s v="2403" u="1"/>
        <s v="1203" u="1"/>
        <s v="3613" u="1"/>
        <s v="0814" u="1"/>
        <s v="2413" u="1"/>
        <s v="1213" u="1"/>
        <s v="3623" u="1"/>
        <s v="0824" u="1"/>
        <s v="2423" u="1"/>
        <s v="1223" u="1"/>
        <s v="3633" u="1"/>
        <s v="0834" u="1"/>
        <s v="2433" u="1"/>
        <s v="1233" u="1"/>
        <s v="3643" u="1"/>
        <s v="0844" u="1"/>
        <s v="2443" u="1"/>
        <s v="1243" u="1"/>
        <s v="3653" u="1"/>
        <s v="0854" u="1"/>
        <s v="2453" u="1"/>
        <s v="1253" u="1"/>
        <s v="3663" u="1"/>
        <s v="0864" u="1"/>
        <s v="2463" u="1"/>
        <s v="1263" u="1"/>
        <s v="3673" u="1"/>
        <s v="0874" u="1"/>
        <s v="2473" u="1"/>
        <s v="1273" u="1"/>
        <s v="3683" u="1"/>
        <s v="0884" u="1"/>
        <s v="2483" u="1"/>
        <s v="1283" u="1"/>
        <s v="3693" u="1"/>
        <s v="0894" u="1"/>
        <s v="2493" u="1"/>
        <s v="1293" u="1"/>
        <s v="2804" u="1"/>
        <s v="1604" u="1"/>
        <s v="3203" u="1"/>
        <s v="2003" u="1"/>
        <s v="2814" u="1"/>
        <s v="1614" u="1"/>
        <s v="3213" u="1"/>
        <s v="2013" u="1"/>
        <s v="2824" u="1"/>
        <s v="1624" u="1"/>
        <s v="3223" u="1"/>
        <s v="2023" u="1"/>
        <s v="2834" u="1"/>
        <s v="1634" u="1"/>
        <s v="3233" u="1"/>
        <s v="2033" u="1"/>
        <s v="2844" u="1"/>
        <s v="1644" u="1"/>
        <s v="3243" u="1"/>
        <s v="2043" u="1"/>
        <s v="2854" u="1"/>
        <s v="1654" u="1"/>
        <s v="3253" u="1"/>
        <s v="2053" u="1"/>
        <s v="2864" u="1"/>
        <s v="1664" u="1"/>
        <s v="3263" u="1"/>
        <s v="2063" u="1"/>
        <s v="2874" u="1"/>
        <s v="1674" u="1"/>
        <s v="3273" u="1"/>
        <s v="2073" u="1"/>
        <s v="2884" u="1"/>
        <s v="1684" u="1"/>
        <s v="3283" u="1"/>
        <s v="2083" u="1"/>
        <s v="2894" u="1"/>
        <s v="1694" u="1"/>
        <s v="3293" u="1"/>
        <s v="2093" u="1"/>
        <s v="3604" u="1"/>
        <s v="0805" u="1"/>
        <s v="2404" u="1"/>
        <s v="1204" u="1"/>
        <s v="3614" u="1"/>
        <s v="0815" u="1"/>
        <s v="2414" u="1"/>
        <s v="1214" u="1"/>
        <s v="3624" u="1"/>
        <s v="0825" u="1"/>
        <s v="2424" u="1"/>
        <s v="1224" u="1"/>
        <s v="3634" u="1"/>
        <s v="0835" u="1"/>
        <s v="2434" u="1"/>
        <s v="1234" u="1"/>
        <s v="3644" u="1"/>
        <s v="0845" u="1"/>
        <s v="2444" u="1"/>
        <s v="1244" u="1"/>
        <s v="3654" u="1"/>
        <s v="0855" u="1"/>
        <s v="2454" u="1"/>
        <s v="1254" u="1"/>
        <s v="3664" u="1"/>
        <s v="0865" u="1"/>
        <s v="2464" u="1"/>
        <s v="1264" u="1"/>
        <s v="3674" u="1"/>
        <s v="0875" u="1"/>
        <s v="2474" u="1"/>
        <s v="1274" u="1"/>
        <s v="3684" u="1"/>
        <s v="0885" u="1"/>
        <s v="2484" u="1"/>
        <s v="1284" u="1"/>
        <s v="3694" u="1"/>
        <s v="0895" u="1"/>
        <s v="2494" u="1"/>
        <s v="1294" u="1"/>
        <s v="2805" u="1"/>
        <s v="1605" u="1"/>
        <s v="3204" u="1"/>
        <s v="2004" u="1"/>
        <s v="2815" u="1"/>
        <s v="1615" u="1"/>
        <s v="3214" u="1"/>
        <s v="2014" u="1"/>
        <s v="2825" u="1"/>
        <s v="1625" u="1"/>
        <s v="3224" u="1"/>
        <s v="2024" u="1"/>
        <s v="2835" u="1"/>
        <s v="1635" u="1"/>
        <s v="3234" u="1"/>
        <s v="2034" u="1"/>
        <s v="2845" u="1"/>
        <s v="1645" u="1"/>
        <s v="3244" u="1"/>
        <s v="2044" u="1"/>
        <s v="2855" u="1"/>
        <s v="1655" u="1"/>
        <s v="3254" u="1"/>
        <s v="2054" u="1"/>
        <s v="2865" u="1"/>
        <s v="1665" u="1"/>
        <s v="3264" u="1"/>
        <s v="2064" u="1"/>
        <s v="2875" u="1"/>
        <s v="1675" u="1"/>
        <s v="3274" u="1"/>
        <s v="2074" u="1"/>
        <s v="2885" u="1"/>
        <s v="1685" u="1"/>
        <s v="3284" u="1"/>
        <s v="2084" u="1"/>
        <s v="2895" u="1"/>
        <s v="1695" u="1"/>
        <s v="3294" u="1"/>
        <s v="2094" u="1"/>
        <s v="3605" u="1"/>
        <s v="0806" u="1"/>
        <s v="2405" u="1"/>
        <s v="1205" u="1"/>
        <s v="3615" u="1"/>
        <s v="0816" u="1"/>
        <s v="2415" u="1"/>
        <s v="1215" u="1"/>
        <s v="3625" u="1"/>
        <s v="0826" u="1"/>
        <s v="2425" u="1"/>
        <s v="1225" u="1"/>
        <s v="3635" u="1"/>
        <s v="0836" u="1"/>
        <s v="2435" u="1"/>
        <s v="1235" u="1"/>
        <s v="3645" u="1"/>
        <s v="0846" u="1"/>
        <s v="2445" u="1"/>
        <s v="1245" u="1"/>
        <s v="3655" u="1"/>
        <s v="0856" u="1"/>
        <s v="2455" u="1"/>
        <s v="1255" u="1"/>
        <s v="3665" u="1"/>
        <s v="0866" u="1"/>
        <s v="2465" u="1"/>
        <s v="1265" u="1"/>
        <s v="3675" u="1"/>
        <s v="0876" u="1"/>
        <s v="2475" u="1"/>
        <s v="1275" u="1"/>
        <s v="3685" u="1"/>
        <s v="0886" u="1"/>
        <s v="2485" u="1"/>
        <s v="1285" u="1"/>
        <s v="3695" u="1"/>
        <s v="0896" u="1"/>
        <s v="2495" u="1"/>
        <s v="1295" u="1"/>
        <s v="2806" u="1"/>
        <s v="1606" u="1"/>
        <s v="3205" u="1"/>
        <s v="2005" u="1"/>
        <s v="2816" u="1"/>
        <s v="1616" u="1"/>
        <s v="3215" u="1"/>
        <s v="2015" u="1"/>
        <s v="2826" u="1"/>
        <s v="1626" u="1"/>
        <s v="3225" u="1"/>
        <s v="2025" u="1"/>
        <s v="2836" u="1"/>
        <s v="1636" u="1"/>
        <s v="3235" u="1"/>
        <s v="2035" u="1"/>
        <s v="2846" u="1"/>
        <s v="1646" u="1"/>
        <s v="3245" u="1"/>
        <s v="2045" u="1"/>
        <s v="2856" u="1"/>
        <s v="1656" u="1"/>
        <s v="3255" u="1"/>
        <s v="2055" u="1"/>
        <s v="2866" u="1"/>
        <s v="1666" u="1"/>
        <s v="3265" u="1"/>
        <s v="2065" u="1"/>
        <s v="2876" u="1"/>
        <s v="1676" u="1"/>
        <s v="3275" u="1"/>
        <s v="2075" u="1"/>
        <s v="2886" u="1"/>
        <s v="1686" u="1"/>
        <s v="3285" u="1"/>
        <s v="2085" u="1"/>
        <s v="2896" u="1"/>
        <s v="1696" u="1"/>
        <s v="3295" u="1"/>
        <s v="2095" u="1"/>
        <s v="3606" u="1"/>
        <s v="0807" u="1"/>
        <s v="2406" u="1"/>
        <s v="1206" u="1"/>
        <s v="3616" u="1"/>
        <s v="0817" u="1"/>
        <s v="2416" u="1"/>
        <s v="1216" u="1"/>
        <s v="3626" u="1"/>
        <s v="0827" u="1"/>
        <s v="2426" u="1"/>
        <s v="1226" u="1"/>
        <s v="3636" u="1"/>
        <s v="0837" u="1"/>
        <s v="2436" u="1"/>
        <s v="1236" u="1"/>
        <s v="3646" u="1"/>
        <s v="0847" u="1"/>
        <s v="2446" u="1"/>
        <s v="1246" u="1"/>
        <s v="3656" u="1"/>
        <s v="0857" u="1"/>
        <s v="2456" u="1"/>
        <s v="1256" u="1"/>
        <s v="3666" u="1"/>
        <s v="0867" u="1"/>
        <s v="2466" u="1"/>
        <s v="1266" u="1"/>
        <s v="3676" u="1"/>
        <s v="0877" u="1"/>
        <s v="2476" u="1"/>
        <s v="1276" u="1"/>
        <s v="3686" u="1"/>
        <s v="0887" u="1"/>
        <s v="2486" u="1"/>
        <s v="1286" u="1"/>
        <s v="3696" u="1"/>
        <s v="0897" u="1"/>
        <s v="2496" u="1"/>
        <s v="1296" u="1"/>
        <s v="2807" u="1"/>
        <s v="1607" u="1"/>
        <s v="3206" u="1"/>
        <s v="2006" u="1"/>
        <s v="2817" u="1"/>
        <s v="1617" u="1"/>
        <s v="3216" u="1"/>
        <s v="2016" u="1"/>
        <s v="2827" u="1"/>
        <s v="1627" u="1"/>
        <s v="3226" u="1"/>
        <s v="2026" u="1"/>
        <s v="2837" u="1"/>
        <s v="1637" u="1"/>
        <s v="3236" u="1"/>
        <s v="2036" u="1"/>
        <s v="2847" u="1"/>
        <s v="1647" u="1"/>
        <s v="3246" u="1"/>
        <s v="2046" u="1"/>
        <s v="2857" u="1"/>
        <s v="1657" u="1"/>
        <s v="3256" u="1"/>
        <s v="2056" u="1"/>
        <s v="2867" u="1"/>
        <s v="1667" u="1"/>
        <s v="3266" u="1"/>
        <s v="2066" u="1"/>
        <s v="2877" u="1"/>
        <s v="1677" u="1"/>
        <s v="3276" u="1"/>
        <s v="2076" u="1"/>
        <s v="2887" u="1"/>
        <s v="0900" u="1"/>
        <s v="1687" u="1"/>
        <s v="3286" u="1"/>
        <s v="2086" u="1"/>
        <s v="2897" u="1"/>
        <s v="0910" u="1"/>
        <s v="1697" u="1"/>
        <s v="3296" u="1"/>
        <s v="2096" u="1"/>
        <s v="0920" u="1"/>
        <s v="0930" u="1"/>
        <s v="0940" u="1"/>
        <s v="0950" u="1"/>
        <s v="0960" u="1"/>
        <s v="0970" u="1"/>
        <s v="3607" u="1"/>
        <s v="0808" u="1"/>
        <s v="0980" u="1"/>
        <s v="2407" u="1"/>
        <s v="1207" u="1"/>
        <s v="3617" u="1"/>
        <s v="0818" u="1"/>
        <s v="0990" u="1"/>
        <s v="2417" u="1"/>
        <s v="1217" u="1"/>
        <s v="3627" u="1"/>
        <s v="0828" u="1"/>
        <s v="2427" u="1"/>
        <s v="1227" u="1"/>
        <s v="3637" u="1"/>
        <s v="0838" u="1"/>
        <s v="2437" u="1"/>
        <s v="1237" u="1"/>
        <s v="3647" u="1"/>
        <s v="0848" u="1"/>
        <s v="2447" u="1"/>
        <s v="1247" u="1"/>
        <s v="3657" u="1"/>
        <s v="0858" u="1"/>
        <s v="2457" u="1"/>
        <s v="1257" u="1"/>
        <s v="3667" u="1"/>
        <s v="0868" u="1"/>
        <s v="2467" u="1"/>
        <s v="1267" u="1"/>
        <s v="3677" u="1"/>
        <s v="0878" u="1"/>
        <s v="2477" u="1"/>
        <s v="1277" u="1"/>
        <s v="2900" u="1"/>
        <s v="3687" u="1"/>
        <s v="0888" u="1"/>
        <s v="1700" u="1"/>
        <s v="2487" u="1"/>
        <s v="1287" u="1"/>
        <s v="2910" u="1"/>
        <s v="3697" u="1"/>
        <s v="0898" u="1"/>
        <s v="1710" u="1"/>
        <s v="2497" u="1"/>
        <s v="1297" u="1"/>
        <s v="2920" u="1"/>
        <s v="1720" u="1"/>
        <s v="2930" u="1"/>
        <s v="1730" u="1"/>
        <s v="2940" u="1"/>
        <s v="1740" u="1"/>
        <s v="2950" u="1"/>
        <s v="1750" u="1"/>
        <s v="2960" u="1"/>
        <s v="1760" u="1"/>
        <s v="2970" u="1"/>
        <s v="1770" u="1"/>
        <s v="2808" u="1"/>
        <s v="2980" u="1"/>
        <s v="1608" u="1"/>
        <s v="1780" u="1"/>
        <s v="3207" u="1"/>
        <s v="2007" u="1"/>
        <s v="2818" u="1"/>
        <s v="2990" u="1"/>
        <s v="1618" u="1"/>
        <s v="1790" u="1"/>
        <s v="3217" u="1"/>
        <s v="2017" u="1"/>
        <s v="2828" u="1"/>
        <s v="1628" u="1"/>
        <s v="3227" u="1"/>
        <s v="2027" u="1"/>
        <s v="2838" u="1"/>
        <s v="1638" u="1"/>
        <s v="3237" u="1"/>
        <s v="2037" u="1"/>
        <s v="2848" u="1"/>
        <s v="1648" u="1"/>
        <s v="3247" u="1"/>
        <s v="2047" u="1"/>
        <s v="2858" u="1"/>
        <s v="1658" u="1"/>
        <s v="3257" u="1"/>
        <s v="2057" u="1"/>
        <s v="2868" u="1"/>
        <s v="1668" u="1"/>
        <s v="3267" u="1"/>
        <s v="2067" u="1"/>
        <s v="2878" u="1"/>
        <s v="1678" u="1"/>
        <s v="3277" u="1"/>
        <s v="2077" u="1"/>
        <s v="2888" u="1"/>
        <s v="3700" u="1"/>
        <s v="0901" u="1"/>
        <s v="1688" u="1"/>
        <s v="2500" u="1"/>
        <s v="3287" u="1"/>
        <s v="1300" u="1"/>
        <s v="2087" u="1"/>
        <s v="2898" u="1"/>
        <s v="3710" u="1"/>
        <s v="0911" u="1"/>
        <s v="1698" u="1"/>
        <s v="2510" u="1"/>
        <s v="3297" u="1"/>
        <s v="1310" u="1"/>
        <s v="2097" u="1"/>
        <s v="3720" u="1"/>
        <s v="0921" u="1"/>
        <s v="2520" u="1"/>
        <s v="1320" u="1"/>
        <s v="3730" u="1"/>
        <s v="0931" u="1"/>
        <s v="2530" u="1"/>
        <s v="1330" u="1"/>
        <s v="3740" u="1"/>
        <s v="0941" u="1"/>
        <s v="2540" u="1"/>
        <s v="1340" u="1"/>
        <s v="3750" u="1"/>
        <s v="0951" u="1"/>
        <s v="2550" u="1"/>
        <s v="1350" u="1"/>
        <s v="3760" u="1"/>
        <s v="0961" u="1"/>
        <s v="2560" u="1"/>
        <s v="1360" u="1"/>
        <s v="3770" u="1"/>
        <s v="0971" u="1"/>
        <s v="2570" u="1"/>
        <s v="1370" u="1"/>
        <s v="3608" u="1"/>
        <s v="3780" u="1"/>
        <s v="0809" u="1"/>
        <s v="0981" u="1"/>
        <s v="2408" u="1"/>
        <s v="2580" u="1"/>
        <s v="1208" u="1"/>
        <s v="1380" u="1"/>
        <s v="3618" u="1"/>
        <s v="3790" u="1"/>
        <s v="0819" u="1"/>
        <s v="0991" u="1"/>
        <s v="2418" u="1"/>
        <s v="2590" u="1"/>
        <s v="1218" u="1"/>
        <s v="1390" u="1"/>
        <s v="3628" u="1"/>
      </sharedItems>
    </cacheField>
    <cacheField name="idcoleccion" numFmtId="0">
      <sharedItems containsSemiMixedTypes="0" containsString="0" containsNumber="1" containsInteger="1" minValue="300" maxValue="300"/>
    </cacheField>
    <cacheField name="coleccion" numFmtId="0">
      <sharedItems count="2">
        <s v="Violencia contra la mujer"/>
        <s v="Ingresos Históricos" u="1"/>
      </sharedItems>
    </cacheField>
    <cacheField name="sector" numFmtId="0">
      <sharedItems/>
    </cacheField>
    <cacheField name="Filtro URL" numFmtId="0">
      <sharedItems containsMixedTypes="1" containsNumber="1" containsInteger="1" minValue="0" maxValue="270110003"/>
    </cacheField>
    <cacheField name="tema" numFmtId="0">
      <sharedItems count="15">
        <s v="Centros de la Mujer"/>
        <s v="Centros de Atención y Reparación para Mujeres Víctimas/Sobrevivientes de Violencia Sexual"/>
        <s v="Centros de Reeducación de Hombres"/>
        <s v="Casas de Acogida"/>
        <s v="Atenciones por procedimiento"/>
        <s v="Sentencias por delito de abuso sexual"/>
        <s v="Delitos violentos"/>
        <s v="Delitos Contra el Estado Civil y la Familia"/>
        <s v="Delitos Contra la Vida, Integridad o Dignidad Personal"/>
        <s v="Delitos (todos)"/>
        <s v="Juzgados de Garantía"/>
        <s v="Ingreso Promedio Regional" u="1"/>
        <s v="Ingreso Promedio Comunal" u="1"/>
        <s v="Ingreso Promedio Nacional" u="1"/>
        <s v="Sentencias por delitos contra la mujer" u="1"/>
      </sharedItems>
    </cacheField>
    <cacheField name="contenido" numFmtId="0">
      <sharedItems count="13">
        <s v="Centros de Apoyo"/>
        <s v="Abuso Sexual"/>
        <s v="Sentencias por delitos vinculados a la mujer"/>
        <s v="Ingreso por Etnia" u="1"/>
        <s v="Ingresos Regionales" u="1"/>
        <s v="Delitos contra la mujer" u="1"/>
        <s v="Ingresos Nacionales" u="1"/>
        <s v="Ingreso Promedio Mensual" u="1"/>
        <s v="Ingreso por Sexo-Alfabetismo" u="1"/>
        <s v="Establacimientos de Apoyo" u="1"/>
        <s v="Ingreso por Sexo" u="1"/>
        <s v="Ingresos Comunales" u="1"/>
        <s v="Ingreso por Alfabetismo" u="1"/>
      </sharedItems>
    </cacheField>
    <cacheField name="escala" numFmtId="0">
      <sharedItems count="3">
        <s v="País"/>
        <s v="Región"/>
        <s v="Comuna"/>
      </sharedItems>
    </cacheField>
    <cacheField name="territorio" numFmtId="0">
      <sharedItems count="373">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s v="Iquique"/>
        <s v="Antofagasta"/>
        <s v="Calama"/>
        <s v="Tocopilla"/>
        <s v="Copiapo"/>
        <s v="Diego de Almagro"/>
        <s v="Vallenar"/>
        <s v="Coquimbo"/>
        <s v="Illapel"/>
        <s v="La Serena"/>
        <s v="Ovalle"/>
        <s v="Vicuña"/>
        <s v="Calera"/>
        <s v="La Ligua"/>
        <s v="Limache"/>
        <s v="Los Andes"/>
        <s v="Quillota"/>
        <s v="Quilpue"/>
        <s v="San Felipe"/>
        <s v="Valparaiso"/>
        <s v="Villa Alemana"/>
        <s v="Viña Del Mar"/>
        <s v="Graneros"/>
        <s v="Rancagua"/>
        <s v="Rengo"/>
        <s v="San Fernando"/>
        <s v="San Vicente"/>
        <s v="Santa Cruz"/>
        <s v="Cauquenes"/>
        <s v="Constitucion"/>
        <s v="Curico"/>
        <s v="Linares"/>
        <s v="Molina"/>
        <s v="Parral"/>
        <s v="San Javier"/>
        <s v="Talca"/>
        <s v="Arauco"/>
        <s v="Cañete"/>
        <s v="Chiguayante"/>
        <s v="Concepcion"/>
        <s v="Coronel"/>
        <s v="Los Angeles"/>
        <s v="Talcahuano"/>
        <s v="Tome"/>
        <s v="Angol"/>
        <s v="Lautaro"/>
        <s v="Loncoche"/>
        <s v="Nueva Imperial"/>
        <s v="Pitrufquen"/>
        <s v="Temuco"/>
        <s v="Victoria"/>
        <s v="Villarrica"/>
        <s v="Ancud"/>
        <s v="Castro"/>
        <s v="Osorno"/>
        <s v="Puerto Montt"/>
        <s v="Puerto Varas"/>
        <s v="Rio Negro"/>
        <s v="Coyhaique"/>
        <s v="Punta Arenas"/>
        <s v="Santiago"/>
        <s v="Los Lagos"/>
        <s v="Mariquina"/>
        <s v="Valdivia"/>
        <s v="Arica"/>
        <s v="Chillan"/>
        <s v="San Carlos"/>
        <s v="Yungay"/>
        <s v="Pirque" u="1"/>
        <s v="Ollagüe" u="1"/>
        <s v="Peñaflor" u="1"/>
        <s v="Coihaique" u="1"/>
        <s v="Padre las Casas" u="1"/>
        <s v="Aisén" u="1"/>
        <s v="Chanco" u="1"/>
        <s v="Doñihue" u="1"/>
        <s v="Llaillay" u="1"/>
        <s v="Torres del Paine" u="1"/>
        <s v="Cunco" u="1"/>
        <s v="Calbuco" u="1"/>
        <s v="Putaendo" u="1"/>
        <s v="Pichilemu" u="1"/>
        <s v="Calle Larga" u="1"/>
        <s v="San Gregorio" u="1"/>
        <s v="Olivar" u="1"/>
        <s v="Lago Ranco" u="1"/>
        <s v="Pudahuel" u="1"/>
        <s v="Treguaco" u="1"/>
        <s v="Río Ibáñez" u="1"/>
        <s v="Santa María" u="1"/>
        <s v="Tomé" u="1"/>
        <s v="Río Bueno" u="1"/>
        <s v="Marchihue" u="1"/>
        <s v="Hijuelas" u="1"/>
        <s v="Purranque" u="1"/>
        <s v="Río Verde" u="1"/>
        <s v="Las Cabras" u="1"/>
        <s v="Gorbea" u="1"/>
        <s v="Placilla" u="1"/>
        <s v="Tierra Amarilla" u="1"/>
        <s v="Freirina" u="1"/>
        <s v="La Unión" u="1"/>
        <s v="Constitución" u="1"/>
        <s v="Rauco" u="1"/>
        <s v="Antuco" u="1"/>
        <s v="El Carmen" u="1"/>
        <s v="Punitaqui" u="1"/>
        <s v="San Fabián" u="1"/>
        <s v="La Estrella" u="1"/>
        <s v="Pozo Almonte" u="1"/>
        <s v="Caldera" u="1"/>
        <s v="Licantén" u="1"/>
        <s v="San Clemente" u="1"/>
        <s v="Pucón" u="1"/>
        <s v="Colina" u="1"/>
        <s v="Yumbel" u="1"/>
        <s v="Pelarco" u="1"/>
        <s v="Tucapel" u="1"/>
        <s v="Coltauco" u="1"/>
        <s v="Pitrufquén" u="1"/>
        <s v="Los Muermos" u="1"/>
        <s v="Máfil" u="1"/>
        <s v="Penco" u="1"/>
        <s v="Melipeuco" u="1"/>
        <s v="Paredones" u="1"/>
        <s v="Cerro Navia" u="1"/>
        <s v="Alto Hospicio" u="1"/>
        <s v="Juan Fernández" u="1"/>
        <s v="Renca" u="1"/>
        <s v="Mulchén" u="1"/>
        <s v="Navidad" u="1"/>
        <s v="Guaitecas" u="1"/>
        <s v="Valparaíso" u="1"/>
        <s v="Chillán Viejo" u="1"/>
        <s v="Macul" u="1"/>
        <s v="Lumaco" u="1"/>
        <s v="Cochrane" u="1"/>
        <s v="Hualaihué" u="1"/>
        <s v="Quilicura" u="1"/>
        <s v="Petorca" u="1"/>
        <s v="Puyehue" u="1"/>
        <s v="Chonchi" u="1"/>
        <s v="Hualañé" u="1"/>
        <s v="Chañaral" u="1"/>
        <s v="Paiguano" u="1"/>
        <s v="Providencia" u="1"/>
        <s v="Puerto Octay" u="1"/>
        <s v="Casablanca" u="1"/>
        <s v="Lampa" u="1"/>
        <s v="Chillán" u="1"/>
        <s v="Primavera" u="1"/>
        <s v="La Cisterna" u="1"/>
        <s v="Laguna Blanca" u="1"/>
        <s v="Cabrero" u="1"/>
        <s v="Mostazal" u="1"/>
        <s v="Lota" u="1"/>
        <s v="Tortel" u="1"/>
        <s v="Hualqui" u="1"/>
        <s v="Contulmo" u="1"/>
        <s v="Timaukel" u="1"/>
        <s v="Galvarino" u="1"/>
        <s v="Curacautín" u="1"/>
        <s v="San Rosendo" u="1"/>
        <s v="Curicó" u="1"/>
        <s v="La Cruz" u="1"/>
        <s v="Los Vilos" u="1"/>
        <s v="Cobquecura" u="1"/>
        <s v="Combarbalá" u="1"/>
        <s v="La Florida" u="1"/>
        <s v="San Rafael" u="1"/>
        <s v="Tirúa" u="1"/>
        <s v="Freire" u="1"/>
        <s v="El Monte" u="1"/>
        <s v="La Pintana" u="1"/>
        <s v="Pica" u="1"/>
        <s v="Tiltil" u="1"/>
        <s v="Coelemu" u="1"/>
        <s v="Pichidegua" u="1"/>
        <s v="María Elena" u="1"/>
        <s v="San Bernardo" u="1"/>
        <s v="Peumo" u="1"/>
        <s v="Quilaco" u="1"/>
        <s v="Saavedra" u="1"/>
        <s v="Quinta de Tilcoco" u="1"/>
        <s v="Lanco" u="1"/>
        <s v="Huasco" u="1"/>
        <s v="Curacaví" u="1"/>
        <s v="Dalcahue" u="1"/>
        <s v="Melipilla" u="1"/>
        <s v="Peñalolén" u="1"/>
        <s v="Paine" u="1"/>
        <s v="Talagante" u="1"/>
        <s v="San Antonio" u="1"/>
        <s v="Teodoro Schmidt" u="1"/>
        <s v="Papudo" u="1"/>
        <s v="Chaitén" u="1"/>
        <s v="Cochamó" u="1"/>
        <s v="Nancagua" u="1"/>
        <s v="Taltal" u="1"/>
        <s v="Llanquihue" u="1"/>
        <s v="San Nicolás" u="1"/>
        <s v="San Pedro de la Paz" u="1"/>
        <s v="Huara" u="1"/>
        <s v="Renaico" u="1"/>
        <s v="Porvenir" u="1"/>
        <s v="Vitacura" u="1"/>
        <s v="Sierra Gorda" u="1"/>
        <s v="Isla de Pascua" u="1"/>
        <s v="Queilén" u="1"/>
        <s v="Lonquimay" u="1"/>
        <s v="Huechuraba" u="1"/>
        <s v="San Joaquín" u="1"/>
        <s v="Santa Juana" u="1"/>
        <s v="Estación Central" u="1"/>
        <s v="San Juan de La Costa" u="1"/>
        <s v="Catemu" u="1"/>
        <s v="Retiro" u="1"/>
        <s v="Ñiquén" u="1"/>
        <s v="Cabildo" u="1"/>
        <s v="Coihueco" u="1"/>
        <s v="Pumanque" u="1"/>
        <s v="Concepción" u="1"/>
        <s v="Lago Verde" u="1"/>
        <s v="Lo Barnechea" u="1"/>
        <s v="Carahue" u="1"/>
        <s v="Colchane" u="1"/>
        <s v="Traiguén" u="1"/>
        <s v="Algarrobo" u="1"/>
        <s v="Cerrillos" u="1"/>
        <s v="Frutillar" u="1"/>
        <s v="Vilcún" u="1"/>
        <s v="Paillaco" u="1"/>
        <s v="Quirihue" u="1"/>
        <s v="Andacollo" u="1"/>
        <s v="Río Claro" u="1"/>
        <s v="Bulnes" u="1"/>
        <s v="Quilleco" u="1"/>
        <s v="Futaleufú" u="1"/>
        <s v="Vichuquén" u="1"/>
        <s v="Santo Domingo" u="1"/>
        <s v="Empedrado" u="1"/>
        <s v="Portezuelo" u="1"/>
        <s v="San Miguel" u="1"/>
        <s v="Purén" u="1"/>
        <s v="Pelluhue" u="1"/>
        <s v="Rinconada" u="1"/>
        <s v="Pinto" u="1"/>
        <s v="Fresia" u="1"/>
        <s v="Pemuco" u="1"/>
        <s v="Curarrehue" u="1"/>
        <s v="Buin" u="1"/>
        <s v="Lebu" u="1"/>
        <s v="Camiña" u="1"/>
        <s v="Quellón" u="1"/>
        <s v="Romeral" u="1"/>
        <s v="Pencahue" u="1"/>
        <s v="Quinta Normal" u="1"/>
        <s v="Canela" u="1"/>
        <s v="Nogales" u="1"/>
        <s v="Conchalí" u="1"/>
        <s v="Cartagena" u="1"/>
        <s v="Monte Patria" u="1"/>
        <s v="Alhué" u="1"/>
        <s v="Malloa" u="1"/>
        <s v="El Tabo" u="1"/>
        <s v="Florida" u="1"/>
        <s v="Hualpén" u="1"/>
        <s v="Perquenco" u="1"/>
        <s v="Salamanca" u="1"/>
        <s v="Mejillones" u="1"/>
        <s v="Curaco de Vélez" u="1"/>
        <s v="Negrete" u="1"/>
        <s v="O'Higgins" u="1"/>
        <s v="Panquehue" u="1"/>
        <s v="Maule" u="1"/>
        <s v="Longaví" u="1"/>
        <s v="Maullín" u="1"/>
        <s v="Olmué" u="1"/>
        <s v="Ñuñoa" u="1"/>
        <s v="Natales" u="1"/>
        <s v="Quilpué" u="1"/>
        <s v="Lo Prado" u="1"/>
        <s v="Palmilla" u="1"/>
        <s v="El Quisco" u="1"/>
        <s v="Puqueldón" u="1"/>
        <s v="Los Sauces" u="1"/>
        <s v="Río Hurtado" u="1"/>
        <s v="Pedro Aguirre Cerda" u="1"/>
        <s v="Laja" u="1"/>
        <s v="Colbún" u="1"/>
        <s v="Quillón" u="1"/>
        <s v="La Granja" u="1"/>
        <s v="San Pablo" u="1"/>
        <s v="San Ramón" u="1"/>
        <s v="San Ignacio" u="1"/>
        <s v="Ránquil" u="1"/>
        <s v="Chile Chico" u="1"/>
        <s v="Quemchi" u="1"/>
        <s v="Quinchao" u="1"/>
        <s v="Chimbarongo" u="1"/>
        <s v="Putre" u="1"/>
        <s v="Concón" u="1"/>
        <s v="Palena" u="1"/>
        <s v="Toltén" u="1"/>
        <s v="Futrono" u="1"/>
        <s v="Collipulli" u="1"/>
        <s v="Los Alamos" u="1"/>
        <s v="Ercilla" u="1"/>
        <s v="Camarones" u="1"/>
        <s v="Curanilahue" u="1"/>
        <s v="Requínoa" u="1"/>
        <s v="Zapallar" u="1"/>
        <s v="Puchuncaví" u="1"/>
        <s v="Panguipulli" u="1"/>
        <s v="Calera de Tango" u="1"/>
        <s v="Cholchol" u="1"/>
        <s v="Villa Alegre" u="1"/>
        <s v="Sagrada Familia" u="1"/>
        <s v="Curepto" u="1"/>
        <s v="San Pedro" u="1"/>
        <s v="Copiapó" u="1"/>
        <s v="Litueche" u="1"/>
        <s v="Lo Espejo" u="1"/>
        <s v="Puente Alto" u="1"/>
        <s v="Río Negro" u="1"/>
        <s v="Isla de Maipo" u="1"/>
        <s v="Santa Bárbara" u="1"/>
        <s v="Cabo de Hornos" u="1"/>
        <s v="Maipú" u="1"/>
        <s v="Recoleta" u="1"/>
        <s v="Coinco" u="1"/>
        <s v="Chépica" u="1"/>
        <s v="La Reina" u="1"/>
        <s v="La Higuera" u="1"/>
        <s v="Las Condes" u="1"/>
        <s v="María Pinto" u="1"/>
        <s v="Padre Hurtado" u="1"/>
        <s v="Cisnes" u="1"/>
        <s v="General Lagos" u="1"/>
        <s v="Teno" u="1"/>
        <s v="Peralillo" u="1"/>
        <s v="San Esteban" u="1"/>
        <s v="San José de Maipo" u="1"/>
        <s v="San Pedro de Atacama" u="1"/>
        <s v="Lolol" u="1"/>
        <s v="Corral" u="1"/>
        <s v="Ninhue" u="1"/>
        <s v="Alto del Carmen" u="1"/>
        <s v="Codegua" u="1"/>
        <s v="Quintero" u="1"/>
        <s v="Alto Biobío" u="1"/>
        <s v="El Bosque" u="1"/>
        <s v="Nacimiento" u="1"/>
        <s v="Machalí" u="1"/>
        <s v="Independencia" u="1"/>
        <s v="Yerbas Buenas" u="1"/>
      </sharedItems>
    </cacheField>
    <cacheField name="Filtro Integrado" numFmtId="0">
      <sharedItems/>
    </cacheField>
    <cacheField name="Muestra" numFmtId="0">
      <sharedItems/>
    </cacheField>
    <cacheField name="temporalidad" numFmtId="0">
      <sharedItems/>
    </cacheField>
    <cacheField name="unidad_medida" numFmtId="0">
      <sharedItems/>
    </cacheField>
    <cacheField name="fuente" numFmtId="0">
      <sharedItems/>
    </cacheField>
    <cacheField name="titulo" numFmtId="0">
      <sharedItems count="4544">
        <s v="Cantidad de Centros de la Mujer por región"/>
        <s v="Cantidad de Centros de la Mujer por comuna en la Región de Tarapacá"/>
        <s v="Cantidad de Centros de la Mujer por comuna en la Región de Antofagasta"/>
        <s v="Cantidad de Centros de la Mujer por comuna en la Región de Atacama"/>
        <s v="Cantidad de Centros de la Mujer por comuna en la Región de Coquimbo"/>
        <s v="Cantidad de Centros de la Mujer por comuna en la Región de Valparaíso"/>
        <s v="Cantidad de Centros de la Mujer por comuna en la Región de O'Higgins"/>
        <s v="Cantidad de Centros de la Mujer por comuna en la Región de Maule"/>
        <s v="Cantidad de Centros de la Mujer por comuna en la Región del Biobío"/>
        <s v="Cantidad de Centros de la Mujer por comuna en la Región de La Araucanía"/>
        <s v="Cantidad de Centros de la Mujer por comuna en la Región de Los Lagos"/>
        <s v="Cantidad de Centros de la Mujer por comuna en la Región de Aysén"/>
        <s v="Cantidad de Centros de la Mujer por comuna en la Región de Magallanes"/>
        <s v="Cantidad de Centros de la Mujer por comuna en la Región Metropolitana"/>
        <s v="Cantidad de Centros de la Mujer por comuna en la Región de Los Ríos"/>
        <s v="Cantidad de Centros de la Mujer por comuna en la Región de Arica y Parinacota"/>
        <s v="Cantidad de Centros de la Mujer por comuna en la Región de Ñuble"/>
        <s v="Cantidad de Centros de la Mujer por tipo de atención en la Región de Tarapacá"/>
        <s v="Cantidad de Centros de la Mujer por tipo de atención en la Región de Antofagasta"/>
        <s v="Cantidad de Centros de la Mujer por tipo de atención en la Región de Atacama"/>
        <s v="Cantidad de Centros de la Mujer por tipo de atención en la Región de Coquimbo"/>
        <s v="Cantidad de Centros de la Mujer por tipo de atención en la Región de Valparaíso"/>
        <s v="Cantidad de Centros de la Mujer por tipo de atención en la Región de O'Higgins"/>
        <s v="Cantidad de Centros de la Mujer por tipo de atención en la Región de Maule"/>
        <s v="Cantidad de Centros de la Mujer por tipo de atención en la Región del Biobío"/>
        <s v="Cantidad de Centros de la Mujer por tipo de atención en la Región de La Araucanía"/>
        <s v="Cantidad de Centros de la Mujer por tipo de atención en la Región de Los Lagos"/>
        <s v="Cantidad de Centros de la Mujer por tipo de atención en la Región de Aysén"/>
        <s v="Cantidad de Centros de la Mujer por tipo de atención en la Región de Magallanes"/>
        <s v="Cantidad de Centros de la Mujer por tipo de atención en la Región Metropolitana"/>
        <s v="Cantidad de Centros de la Mujer por tipo de atención en la Región de Los Ríos"/>
        <s v="Cantidad de Centros de la Mujer por tipo de atención en la Región de Arica y Parinacota"/>
        <s v="Cantidad de Centros de la Mujer por tipo de atención en la Región de Ñuble"/>
        <s v="Cantidad de mujeres atendidas en Centros de Atención y Reparación para Mujeres Víctimas/Sobrevivientes de Violencia Sexual por tipo de atención en la Región de Valparaíso"/>
        <s v="Cantidad de mujeres atendidas en Centros de Atención y Reparación para Mujeres Víctimas/Sobrevivientes de Violencia Sexual por tipo de atención en la Región Metropolitana"/>
        <s v="Cantidad de mujeres atendidas en Centros de Atención y Reparación para Mujeres Víctimas/Sobrevivientes de Violencia Sexual por tipo de atención en la Región del Biobío"/>
        <s v="Cantidad de mujeres atendidas en Centros de Atención y Reparación para Mujeres Víctimas/Sobrevivientes de Violencia Sexual por región en el proceso de Orientación e Información (OI)"/>
        <s v="Cantidad de mujeres atendidas en Centros de Atención y Reparación para Mujeres Víctimas/Sobrevivientes de Violencia Sexual por región en el proceso de Atención Reparatoria"/>
        <s v="Cantidad de mujeres atendidas en Centros de Atención y Reparación para Mujeres Víctimas/Sobrevivientes de Violencia Sexual que continúan del año anterior por región "/>
        <s v="Cantidad de hombres registrados en Centros de Reeducación de Hombres por tipo de procedimiento"/>
        <s v="Cantidad de mujeres atendidas en Centros de la Mujer por procedimiento"/>
        <s v="Cantidad de mujeres atendidas en Casas de Acogida por procedimiento"/>
        <s v="Cantidad de mujeres atendidas en Centros de la Mujer por tipo de procedimiento"/>
        <s v="Cantidad de mujeres atendidas en Casas de Acogida por tipo de procedimiento"/>
        <s v="Cantidad de mujeres atendidas en Centros de Apoyo por procedimiento en la fase de Atención"/>
        <s v="Cantidad de mujeres atendidas en Centros de Apoyo por procedimiento en la fase de Ingreso"/>
        <s v="Cantidad de mujeres atendidas en Centros de Apoyo por procedimiento en la fase de Pre Ingreso"/>
        <s v="Cantidad de mujeres atendidas en Centros de Apoyo por procedimiento en la fase de Salida"/>
        <s v="Mapa de Centros de la Mujer por comuna"/>
        <s v="Cantidad de Centros de la Mujer por tipo de atención"/>
        <s v="Sentencias Dictadas por Delitos de Abuso Sexual por región en la tipología de  Delitos sexuales, para el Periodo 2013-2019"/>
        <s v="Sentencias Dictadas por Delitos de Abuso Sexual por Juzgado de Garantía en la tipología de  Delitos sexuales, para el Periodo 2013-2019"/>
        <s v="Sentencias Dictadas por Delitos de Abuso Sexual por Delito en la tipología de  Delitos sexuales, para el Periodo 2013-2019"/>
        <s v="Sentencias Dictadas por Delitos de Abuso Sexual en la Calama durante el Periodo 2013-2019"/>
        <s v="Sentencias Dictadas por Delitos de Abuso Sexual en la Tocopilla durante el Periodo 2013-2019"/>
        <s v="Sentencias Dictadas por Delitos de Abuso Sexual en la Copiapo durante el Periodo 2013-2019"/>
        <s v="Sentencias Dictadas por Delitos de Abuso Sexual en la Diego de Almagro durante el Periodo 2013-2019"/>
        <s v="Sentencias Dictadas por Delitos de Abuso Sexual en la Vallenar durante el Periodo 2013-2019"/>
        <s v="Sentencias Dictadas por Delitos de Abuso Sexual en la Coquimbo durante el Periodo 2013-2019"/>
        <s v="Sentencias Dictadas por Delitos de Abuso Sexual en la Illapel durante el Periodo 2013-2019"/>
        <s v="Sentencias Dictadas por Delitos de Abuso Sexual en la La Serena durante el Periodo 2013-2019"/>
        <s v="Sentencias Dictadas por Delitos de Abuso Sexual en la Ovalle durante el Periodo 2013-2019"/>
        <s v="Sentencias Dictadas por Delitos de Abuso Sexual en la Vicuña durante el Periodo 2013-2019"/>
        <s v="Sentencias Dictadas por Delitos de Abuso Sexual en la Calera durante el Periodo 2013-2019"/>
        <s v="Sentencias Dictadas por Delitos de Abuso Sexual en la La Ligua durante el Periodo 2013-2019"/>
        <s v="Sentencias Dictadas por Delitos de Abuso Sexual en la Limache durante el Periodo 2013-2019"/>
        <s v="Sentencias Dictadas por Delitos de Abuso Sexual en la Los Andes durante el Periodo 2013-2019"/>
        <s v="Sentencias Dictadas por Delitos de Abuso Sexual en la Quillota durante el Periodo 2013-2019"/>
        <s v="Sentencias Dictadas por Delitos de Abuso Sexual en la Quilpue durante el Periodo 2013-2019"/>
        <s v="Sentencias Dictadas por Delitos de Abuso Sexual por Juzgado de Garantía en la San Felipe durante el Periodo 2013-2019"/>
        <s v="Sentencias Dictadas por Delitos de Abuso Sexual por Juzgado de Garantía en la Valparaiso durante el Periodo 2013-2019"/>
        <s v="Sentencias Dictadas por Delitos de Abuso Sexual por Juzgado de Garantía en la Villa Alemana durante el Periodo 2013-2019"/>
        <s v="Sentencias Dictadas por Delitos de Abuso Sexual por Juzgado de Garantía en la Viña Del Mar durante el Periodo 2013-2019"/>
        <s v="Sentencias Dictadas por Delitos de Abuso Sexual por Juzgado de Garantía en la Graneros durante el Periodo 2013-2019"/>
        <s v="Sentencias Dictadas por Delitos de Abuso Sexual por Juzgado de Garantía en la Rancagua durante el Periodo 2013-2019"/>
        <s v="Sentencias Dictadas por Delitos de Abuso Sexual por Juzgado de Garantía en la Rengo durante el Periodo 2013-2019"/>
        <s v="Sentencias Dictadas por Delitos de Abuso Sexual por Juzgado de Garantía en la San Fernando durante el Periodo 2013-2019"/>
        <s v="Sentencias Dictadas por Delitos de Abuso Sexual por Juzgado de Garantía en la San Vicente durante el Periodo 2013-2019"/>
        <s v="Sentencias Dictadas por Delitos de Abuso Sexual por Juzgado de Garantía en la Santa Cruz durante el Periodo 2013-2019"/>
        <s v="Sentencias Dictadas por Delitos de Abuso Sexual por Juzgado de Garantía en la Cauquenes durante el Periodo 2013-2019"/>
        <s v="Sentencias Dictadas por Delitos de Abuso Sexual por Juzgado de Garantía en la Constitucion durante el Periodo 2013-2019"/>
        <s v="Sentencias Dictadas por Delitos de Abuso Sexual por Juzgado de Garantía en la Curico durante el Periodo 2013-2019"/>
        <s v="Sentencias Dictadas por Delitos de Abuso Sexual por Juzgado de Garantía en la Linares durante el Periodo 2013-2019"/>
        <s v="Sentencias Dictadas por Delitos de Abuso Sexual por Juzgado de Garantía en la Molina durante el Periodo 2013-2019"/>
        <s v="Sentencias Dictadas por Delitos de Abuso Sexual por Juzgado de Garantía en la Parral durante el Periodo 2013-2019"/>
        <s v="Sentencias Dictadas por Delitos de Abuso Sexual por Delito en la San Javier durante el Periodo 2013-2019"/>
        <s v="Sentencias Dictadas por Delitos de Abuso Sexual por Delito en la Talca durante el Periodo 2013-2019"/>
        <s v="Sentencias Dictadas por Delitos de Abuso Sexual por Delito en la Arauco durante el Periodo 2013-2019"/>
        <s v="Sentencias Dictadas por Delitos de Abuso Sexual por Delito en la Cañete durante el Periodo 2013-2019"/>
        <s v="Sentencias Dictadas por Delitos de Abuso Sexual por Delito en la Chiguayante durante el Periodo 2013-2019"/>
        <s v="Sentencias Dictadas por Delitos de Abuso Sexual por Delito en la Concepcion durante el Periodo 2013-2019"/>
        <s v="Sentencias Dictadas por Delitos de Abuso Sexual por Delito en la Coronel durante el Periodo 2013-2019"/>
        <s v="Sentencias Dictadas por Delitos de Abuso Sexual por Delito en la Los Angeles durante el Periodo 2013-2019"/>
        <s v="Sentencias Dictadas por Delitos de Abuso Sexual por Delito en la Talcahuano durante el Periodo 2013-2019"/>
        <s v="Sentencias Dictadas por Delitos de Abuso Sexual por Delito en la Tome durante el Periodo 2013-2019"/>
        <s v="Sentencias Dictadas por Delitos de Abuso Sexual por Delito en la Angol durante el Periodo 2013-2019"/>
        <s v="Sentencias Dictadas por Delitos de Abuso Sexual por Delito en la Lautaro durante el Periodo 2013-2019"/>
        <s v="Sentencias Dictadas por Delitos de Abuso Sexual por Delito en la Loncoche durante el Periodo 2013-2019"/>
        <s v="Sentencias Dictadas por Delitos de Abuso Sexual por Delito en la Nueva Imperial durante el Periodo 2013-2019"/>
        <s v="Sentencias Dictadas por Delitos de Abuso Sexual por Delito en la Pitrufquen durante el Periodo 2013-2019"/>
        <s v="Sentencias Dictadas por Delitos de Abuso Sexual por Delito en la Temuco durante el Periodo 2013-2019"/>
        <s v="Sentencias Dictadas por Delitos de Abuso Sexual en el  Juzgado de Garantía de Victoria para el Periodo 2013-2019"/>
        <s v="Sentencias Dictadas por Delitos de Abuso Sexual en el  Juzgado de Garantía de Villarrica para el Periodo 2013-2019"/>
        <s v="Sentencias Dictadas por Delitos de Abuso Sexual en el  Juzgado de Garantía de Ancud para el Periodo 2013-2019"/>
        <s v="Sentencias Dictadas por Delitos de Abuso Sexual en el  Juzgado de Garantía de Castro para el Periodo 2013-2019"/>
        <s v="Sentencias Dictadas por Delitos de Abuso Sexual en el  Juzgado de Garantía de Osorno para el Periodo 2013-2019"/>
        <s v="Sentencias Dictadas por Delitos de Abuso Sexual en el  Juzgado de Garantía de Puerto Montt para el Periodo 2013-2019"/>
        <s v="Sentencias Dictadas por Delitos de Abuso Sexual en el  Juzgado de Garantía de Puerto Varas para el Periodo 2013-2019"/>
        <s v="Sentencias Dictadas por Delitos de Abuso Sexual en el  Juzgado de Garantía de Rio Negro para el Periodo 2013-2019"/>
        <s v="Sentencias Dictadas por Delitos de Abuso Sexual en el  Juzgado de Garantía de Coyhaique para el Periodo 2013-2019"/>
        <s v="Sentencias Dictadas por Delitos de Abuso Sexual en el  Juzgado de Garantía de Punta Arenas para el Periodo 2013-2019"/>
        <s v="Sentencias Dictadas por Delitos de Abuso Sexual en el  Juzgado de Garantía de Santiago para el Periodo 2013-2019"/>
        <s v="Sentencias Dictadas por Delitos de Abuso Sexual en el  Juzgado de Garantía de Los Lagos para el Periodo 2013-2019"/>
        <s v="Sentencias Dictadas por Delitos de Abuso Sexual en el  Juzgado de Garantía de Mariquina para el Periodo 2013-2019"/>
        <s v="Sentencias Dictadas por Delitos de Abuso Sexual en el  Juzgado de Garantía de Valdivia para el Periodo 2013-2019"/>
        <s v="Sentencias Dictadas por Delitos de Abuso Sexual en el  Juzgado de Garantía de Arica para el Periodo 2013-2019"/>
        <s v="Sentencias Dictadas por Delitos de Abuso Sexual en el  Juzgado de Garantía de Chillan para el Periodo 2013-2019"/>
        <s v="Sentencias Dictadas por Delitos de Abuso Sexual en el  Juzgado de Garantía de San Carlos para el Periodo 2013-2019"/>
        <s v="Sentencias Dictadas por Delitos de Abuso Sexual en el  Juzgado de Garantía de Yungay para el Periodo 2013-2019"/>
        <s v="Sentencias Dictadas por Delitos de Abuso Sexual en el  Juzgado de Garantía de Iquique para el Periodo 2013-2019"/>
        <s v="Sentencias Dictadas por Delitos de Abuso Sexual en el  Juzgado de Garantía de Antofagasta para el Periodo 2013-2019"/>
        <s v="Sentencias Dictadas por Delitos de Abuso Sexual en el  Juzgado de Garantía de Calama para el Periodo 2013-2019"/>
        <s v="Sentencias Dictadas por Delitos de Abuso Sexual en el  Juzgado de Garantía de Tocopilla para el Periodo 2013-2019"/>
        <s v="Sentencias Dictadas por Delitos de Abuso Sexual en el  Juzgado de Garantía de Copiapo para el Periodo 2013-2019"/>
        <s v="Sentencias Dictadas por Delitos de Abuso Sexual en el  Juzgado de Garantía de Diego de Almagro para el Periodo 2013-2019"/>
        <s v="Sentencias Dictadas por Delitos de Abuso Sexual en el  Juzgado de Garantía de Vallenar para el Periodo 2013-2019"/>
        <s v="Sentencias Dictadas por Delitos de Abuso Sexual en el  Juzgado de Garantía de Coquimbo para el Periodo 2013-2019"/>
        <s v="Sentencias Dictadas por Delitos de Abuso Sexual en el  Juzgado de Garantía de Illapel para el Periodo 2013-2019"/>
        <s v="Sentencias Dictadas por Delitos de Abuso Sexual en el  Juzgado de Garantía de La Serena para el Periodo 2013-2019"/>
        <s v="Sentencias Dictadas por Delitos de Abuso Sexual en el  Juzgado de Garantía de Ovalle para el Periodo 2013-2019"/>
        <s v="Sentencias Dictadas por Delitos de Abuso Sexual en el  Juzgado de Garantía de Vicuña para el Periodo 2013-2019"/>
        <s v="Sentencias Dictadas por Delitos de Abuso Sexual en el  Juzgado de Garantía de Calera para el Periodo 2013-2019"/>
        <s v="Sentencias Dictadas por Delitos de Abuso Sexual en el  Juzgado de Garantía de La Ligua para el Periodo 2013-2019"/>
        <s v="Sentencias Dictadas por Delitos de Abuso Sexual en el  Juzgado de Garantía de Limache para el Periodo 2013-2019"/>
        <s v="Sentencias Dictadas por Delitos de Abuso Sexual en el  Juzgado de Garantía de Los Andes para el Periodo 2013-2019"/>
        <s v="Sentencias Dictadas por Delitos de Abuso Sexual en el  Juzgado de Garantía de Quillota para el Periodo 2013-2019"/>
        <s v="Sentencias Dictadas por Delitos de Abuso Sexual en el  Juzgado de Garantía de Quilpue para el Periodo 2013-2019"/>
        <s v="Sentencias Dictadas por Delitos de Abuso Sexual en el  Juzgado de Garantía de San Felipe para el Periodo 2013-2019"/>
        <s v="Sentencias Dictadas por Delitos de Abuso Sexual en el  Juzgado de Garantía de Valparaiso para el Periodo 2013-2019"/>
        <s v="Sentencias Dictadas por Delitos de Abuso Sexual en el  Juzgado de Garantía de Villa Alemana para el Periodo 2013-2019"/>
        <s v="Sentencias Dictadas por Delitos de Abuso Sexual en el  Juzgado de Garantía de Viña Del Mar para el Periodo 2013-2019"/>
        <s v="Sentencias Dictadas por Delitos de Abuso Sexual en el  Juzgado de Garantía de Graneros para el Periodo 2013-2019"/>
        <s v="Sentencias Dictadas por Delitos de Abuso Sexual en el  Juzgado de Garantía de Rancagua para el Periodo 2013-2019"/>
        <s v="Sentencias Dictadas por Delitos de Abuso Sexual en el  Juzgado de Garantía de Rengo para el Periodo 2013-2019"/>
        <s v="Sentencias Dictadas por Delitos de Abuso Sexual en el  Juzgado de Garantía de San Fernando para el Periodo 2013-2019"/>
        <s v="Sentencias Dictadas por Delitos de Abuso Sexual en el  Juzgado de Garantía de San Vicente para el Periodo 2013-2019"/>
        <s v="Sentencias Dictadas por Delitos de Abuso Sexual en el  Juzgado de Garantía de Santa Cruz para el Periodo 2013-2019"/>
        <s v="Sentencias Dictadas por Delitos de Abuso Sexual en el 10° Juzgado de Garantía de Cauquenes para el Periodo 2013-2019"/>
        <s v="Sentencias Dictadas por Delitos de Abuso Sexual en el 11° Juzgado de Garantía de Constitucion para el Periodo 2013-2019"/>
        <s v="Sentencias Dictadas por Delitos de Abuso Sexual en el 12° Juzgado de Garantía de Curico para el Periodo 2013-2019"/>
        <s v="Sentencias Dictadas por Delitos de Abuso Sexual en el 13° Juzgado de Garantía de Linares para el Periodo 2013-2019"/>
        <s v="Sentencias Dictadas por Delitos de Abuso Sexual en el 14° Juzgado de Garantía de Molina para el Periodo 2013-2019"/>
        <s v="Sentencias Dictadas por Delitos de Abuso Sexual en el 15° Juzgado de Garantía de Parral para el Periodo 2013-2019"/>
        <s v="Sentencias Dictadas por Delitos de Abuso Sexual en el 1° Juzgado de Garantía de San Javier para el Periodo 2013-2019"/>
        <s v="Sentencias Dictadas por Delitos de Abuso Sexual en el 2° Juzgado de Garantía de Talca para el Periodo 2013-2019"/>
        <s v="Sentencias Dictadas por Delitos de Abuso Sexual en el 3° Juzgado de Garantía de Arauco para el Periodo 2013-2019"/>
        <s v="Sentencias Dictadas por Delitos de Abuso Sexual en el 4° Juzgado de Garantía de Cañete para el Periodo 2013-2019"/>
        <s v="Sentencias Dictadas por Delitos de Abuso Sexual en el 5° Juzgado de Garantía de Chiguayante para el Periodo 2013-2019"/>
        <s v="Sentencias Dictadas por Delitos de Abuso Sexual en el 6° Juzgado de Garantía de Concepcion para el Periodo 2013-2019"/>
        <s v="Sentencias Dictadas por Delitos de Abuso Sexual en el 7° Juzgado de Garantía de Coronel para el Periodo 2013-2019"/>
        <s v="Sentencias Dictadas por Delitos de Abuso Sexual en el 8° Juzgado de Garantía de Los Angeles para el Periodo 2013-2019"/>
        <s v="Sentencias Dictadas por Delitos de Abuso Sexual en el 9° Juzgado de Garantía de Talcahuano para el Periodo 2013-2019"/>
        <s v="Sentencias Dictadas por Delitos de Abuso Sexual en el Juzgado de Garantía de Tome para el Periodo 2013-2019"/>
        <s v="Sentencias Dictadas por Delitos de Abuso Sexual en el Juzgado de Garantía de Angol para el Periodo 2013-2019"/>
        <s v="Sentencias Dictadas por Delitos de Abuso Sexual en el Juzgado de Garantía de Lautaro para el Periodo 2013-2019"/>
        <s v="Sentencias Dictadas por Delitos de Abuso Sexual en el Juzgado de Garantía de Loncoche para el Periodo 2013-2019"/>
        <s v="Sentencias Dictadas por Delitos de Abuso Sexual en el Juzgado de Garantía de Nueva Imperial para el Periodo 2013-2019"/>
        <s v="Sentencias Dictadas por Delitos de Abuso Sexual en el Juzgado de Garantía de Pitrufquen para el Periodo 2013-2019"/>
        <s v="Sentencias Dictadas por Delitos de Abuso Sexual en el Juzgado de Garantía de Temuco para el Periodo 2013-2019"/>
        <s v="Sentencias Dictadas por Delitos de Abuso Sexual por Delito en el  Juzgado de Garantía de Victoria para el Periodo 2013-2019"/>
        <s v="Sentencias Dictadas por Delitos de Abuso Sexual por Delito en el  Juzgado de Garantía de Villarrica para el Periodo 2013-2019"/>
        <s v="Sentencias Dictadas por Delitos de Abuso Sexual por Delito en el  Juzgado de Garantía de Ancud para el Periodo 2013-2019"/>
        <s v="Sentencias Dictadas por Delitos de Abuso Sexual por Delito en el  Juzgado de Garantía de Castro para el Periodo 2013-2019"/>
        <s v="Sentencias Dictadas por Delitos de Abuso Sexual por Delito en el  Juzgado de Garantía de Osorno para el Periodo 2013-2019"/>
        <s v="Sentencias Dictadas por Delitos de Abuso Sexual por Delito en el  Juzgado de Garantía de Puerto Montt para el Periodo 2013-2019"/>
        <s v="Sentencias Dictadas por Delitos de Abuso Sexual por Delito en el  Juzgado de Garantía de Puerto Varas para el Periodo 2013-2019"/>
        <s v="Sentencias Dictadas por Delitos de Abuso Sexual por Delito en el  Juzgado de Garantía de Rio Negro para el Periodo 2013-2019"/>
        <s v="Sentencias Dictadas por Delitos de Abuso Sexual por Delito en el  Juzgado de Garantía de Coyhaique para el Periodo 2013-2019"/>
        <s v="Sentencias Dictadas por Delitos de Abuso Sexual por Delito en el  Juzgado de Garantía de Punta Arenas para el Periodo 2013-2019"/>
        <s v="Sentencias Dictadas por Delitos de Abuso Sexual por Delito en el  Juzgado de Garantía de Santiago para el Periodo 2013-2019"/>
        <s v="Sentencias Dictadas por Delitos de Abuso Sexual por Delito en el  Juzgado de Garantía de Los Lagos para el Periodo 2013-2019"/>
        <s v="Sentencias Dictadas por Delitos de Abuso Sexual por Delito en el  Juzgado de Garantía de Mariquina para el Periodo 2013-2019"/>
        <s v="Sentencias Dictadas por Delitos de Abuso Sexual por Delito en el  Juzgado de Garantía de Valdivia para el Periodo 2013-2019"/>
        <s v="Sentencias Dictadas por Delitos de Abuso Sexual por Delito en el  Juzgado de Garantía de Arica para el Periodo 2013-2019"/>
        <s v="Sentencias Dictadas por Delitos de Abuso Sexual por Delito en el  Juzgado de Garantía de Chillan para el Periodo 2013-2019"/>
        <s v="Sentencias Dictadas por Delitos de Abuso Sexual por Delito en el  Juzgado de Garantía de San Carlos para el Periodo 2013-2019"/>
        <s v="Sentencias Dictadas por Delitos de Abuso Sexual por Delito en el  Juzgado de Garantía de Yungay para el Periodo 2013-2019"/>
        <s v="Sentencias Dictadas por Delitos de Abuso Sexual por Delito en el  Juzgado de Garantía de Chile para el Periodo 2013-2019"/>
        <s v="Sentencias Dictadas por Delitos de Abuso Sexual por Delito en el  Juzgado de Garantía de Región de Tarapacá para el Periodo 2013-2019"/>
        <s v="Sentencias Dictadas por Delitos de Abuso Sexual por Delito en el  Juzgado de Garantía de Región de Antofagasta para el Periodo 2013-2019"/>
        <s v="Sentencias Dictadas por Delitos de Abuso Sexual por Delito en el  Juzgado de Garantía de Región de Atacama para el Periodo 2013-2019"/>
        <s v="Sentencias Dictadas por Delitos de Abuso Sexual por Delito en el  Juzgado de Garantía de Región de Coquimbo para el Periodo 2013-2019"/>
        <s v="Sentencias Dictadas por Delitos de Abuso Sexual por Delito en el  Juzgado de Garantía de Región de Valparaíso para el Periodo 2013-2019"/>
        <s v="Sentencias Dictadas por Delitos de Abuso Sexual por Delito en el  Juzgado de Garantía de Región de O'Higgins para el Periodo 2013-2019"/>
        <s v="Sentencias Dictadas por Delitos de Abuso Sexual por Delito en el  Juzgado de Garantía de Región de Maule para el Periodo 2013-2019"/>
        <s v="Sentencias Dictadas por Delitos de Abuso Sexual por Delito en el  Juzgado de Garantía de Región del Biobío para el Periodo 2013-2019"/>
        <s v="Sentencias Dictadas por Delitos de Abuso Sexual por Delito en el  Juzgado de Garantía de Región de La Araucanía para el Periodo 2013-2019"/>
        <s v="Sentencias Dictadas por Delitos de Abuso Sexual por Delito en el  Juzgado de Garantía de Región de Los Lagos para el Periodo 2013-2019"/>
        <s v="Sentencias Dictadas por Delitos de Abuso Sexual por Delito en el  Juzgado de Garantía de Región de Aysén para el Periodo 2013-2019"/>
        <s v="Sentencias Dictadas por Delitos de Abuso Sexual por Delito en el  Juzgado de Garantía de Región de Magallanes para el Periodo 2013-2019"/>
        <s v="Sentencias Dictadas por Delitos de Abuso Sexual por Delito en el  Juzgado de Garantía de Región Metropolitana para el Periodo 2013-2019"/>
        <s v="Sentencias Dictadas por Delitos de Abuso Sexual por Delito en el  Juzgado de Garantía de Región de Los Ríos para el Periodo 2013-2019"/>
        <s v="Sentencias Dictadas por Delitos de Abuso Sexual por Delito en el 10° Juzgado de Garantía de Región de Arica y Parinacota para el Periodo 2013-2019"/>
        <s v="Sentencias Dictadas por Delitos de Abuso Sexual por Delito en el 11° Juzgado de Garantía de Región de Ñuble para el Periodo 2013-2019"/>
        <s v="Sentencias Dictadas por Delitos de Abuso Sexual por Delito en el 12° Juzgado de Garantía de Región de Tarapacá para el Periodo 2013-2019"/>
        <s v="Sentencias Dictadas por Delitos de Abuso Sexual por Delito en el 13° Juzgado de Garantía de Región de Antofagasta para el Periodo 2013-2019"/>
        <s v="Sentencias Dictadas por Delitos de Abuso Sexual por Delito en el 14° Juzgado de Garantía de Región de Atacama para el Periodo 2013-2019"/>
        <s v="Sentencias Dictadas por Delitos de Abuso Sexual por Delito en el 15° Juzgado de Garantía de Región de Coquimbo para el Periodo 2013-2019"/>
        <s v="Sentencias Dictadas por Delitos de Abuso Sexual por Delito en el 1° Juzgado de Garantía de Región de Valparaíso para el Periodo 2013-2019"/>
        <s v="Sentencias Dictadas por Delitos de Abuso Sexual por Delito en el 2° Juzgado de Garantía de Región de O'Higgins para el Periodo 2013-2019"/>
        <s v="Sentencias Dictadas por Delitos de Abuso Sexual por Delito en el 3° Juzgado de Garantía de Región de Maule para el Periodo 2013-2019"/>
        <s v="Sentencias Dictadas por Delitos de Abuso Sexual por Delito en el 4° Juzgado de Garantía de Región del Biobío para el Periodo 2013-2019"/>
        <s v="Sentencias Dictadas por Delitos de Abuso Sexual por Delito en el 5° Juzgado de Garantía de Región de La Araucanía para el Periodo 2013-2019"/>
        <s v="Sentencias Dictadas por Delitos de Abuso Sexual por Delito en el 6° Juzgado de Garantía de Región de Los Lagos para el Periodo 2013-2019"/>
        <s v="Sentencias Dictadas por Delitos de Abuso Sexual por Delito en el 7° Juzgado de Garantía de Región de Aysén para el Periodo 2013-2019"/>
        <s v="Sentencias Dictadas por Delitos de Abuso Sexual por Delito en el 8° Juzgado de Garantía de Región de Magallanes para el Periodo 2013-2019"/>
        <s v="Sentencias Dictadas por Delitos de Abuso Sexual por Delito en el 9° Juzgado de Garantía de Región Metropolitana para el Periodo 2013-2019"/>
        <s v="Sentencias Dictadas por Delitos de Abuso Sexual por Delito en el Juzgado de Garantía de Región de Los Ríos para el Periodo 2013-2019"/>
        <s v="Sentencias Dictadas por Delitos de Abuso Sexual por Delito en el Juzgado de Garantía de Región de Arica y Parinacota para el Periodo 2013-2019"/>
        <s v="Sentencias Dictadas por Delitos de Abuso Sexual por Delito en el Juzgado de Garantía de Región de Ñuble para el Periodo 2013-2019"/>
        <s v="Sentencias Dictadas por Delitos de Abuso Sexual por Delito en el Juzgado de Garantía de Región de Tarapacá para el Periodo 2013-2019"/>
        <s v="Sentencias Dictadas por Delitos de Abuso Sexual por Delito en el Juzgado de Garantía de Región de Antofagasta para el Periodo 2013-2019"/>
        <s v="Sentencias Dictadas por Delitos de Abuso Sexual por Delito en el Juzgado de Garantía de Región de Atacama para el Periodo 2013-2019"/>
        <s v="Sentencias Dictadas por Delitos de Abuso Sexual por Delito en el Juzgado de Garantía de Región de Coquimbo para el Periodo 2013-2019"/>
        <s v="Sentencias Dictadas por Delitos de Abuso Sexual por región para el delito de Abuso Sexual Adulto, durante el Periodo 2013-2019"/>
        <s v="Sentencias Dictadas por Delitos de Abuso Sexual por región para el delito de Abuso Sexual Calificado c/Introduccion Objetos O Uso Animal, durante el Periodo 2013-2019"/>
        <s v="Sentencias Dictadas por Delitos de Abuso Sexual por región para el delito de Abuso Sexual Con Contacto De Menor De 14 Años, durante el Periodo 2013-2019"/>
        <s v="Sentencias Dictadas por Delitos de Abuso Sexual por región para el delito de Abuso Sexual De 14 Años A Menor De 18 Años Con Circunstancia Estupro, durante el Periodo 2013-2019"/>
        <s v="Sentencias Dictadas por Delitos de Abuso Sexual por región para el delito de Abuso Sexual De Mayor De 14 (Con Circunstancias De Violación), durante el Periodo 2013-2019"/>
        <s v="Sentencias Dictadas por Delitos de Abuso Sexual por región para el delito de Abuso Sexual Mayor 14 /Sorpresa Sin Consentimiento, durante el Periodo 2013-2019"/>
        <s v="Sentencias Dictadas por Delitos de Abuso Sexual por región para el delito de Abuso Sexual Sin Contacto, durante el Periodo 2013-2019"/>
        <s v="Sentencias Dictadas por Delitos de Abuso Sexual por Juzgado de Garantía para el delito de Abuso Sexual Adulto, durante el Periodo 2013-2019"/>
        <s v="Sentencias Dictadas por Delitos de Abuso Sexual por Juzgado de Garantía para el delito de Abuso Sexual Calificado c/Introduccion Objetos O Uso Animal, durante el Periodo 2013-2019"/>
        <s v="Sentencias Dictadas por Delitos de Abuso Sexual por Juzgado de Garantía para el delito de Abuso Sexual Con Contacto De Menor De 14 Años, durante el Periodo 2013-2019"/>
        <s v="Sentencias Dictadas por Delitos de Abuso Sexual por Juzgado de Garantía para el delito de Abuso Sexual De 14 Años A Menor De 18 Años Con Circunstancia Estupro, durante el Periodo 2013-2019"/>
        <s v="Sentencias Dictadas por Delitos de Abuso Sexual por Juzgado de Garantía para el delito de Abuso Sexual De Mayor De 14 (Con Circunstancias De Violación), durante el Periodo 2013-2019"/>
        <s v="Sentencias Dictadas por Delitos de Abuso Sexual por Juzgado de Garantía para el delito de Abuso Sexual Mayor 14 /Sorpresa Sin Consentimiento, durante el Periodo 2013-2019"/>
        <s v="Sentencias Dictadas por Delitos de Abuso Sexual por Juzgado de Garantía para el delito de Abuso Sexual Sin Contacto, durante el Periodo 2013-2019"/>
        <s v="Variación Trimestral de Sentencias Dictadas (%) por Delitos de Abuso Sexual  en la Chile, durante el Periodo 2013-2019"/>
        <s v="Variación Trimestral de Sentencias Dictadas (%) en la Chile por Delito, durante el Periodo 2013-2019"/>
        <s v="Variación Trimestral de Sentencias Dictadas (%) en la Región de Tarapacá por Juzgado de Garantía, durante el Periodo 2013-2019"/>
        <s v="Variación Trimestral de Sentencias Dictadas (%) en la Región de Antofagasta por Juzgado de Garantía, durante el Periodo 2013-2019"/>
        <s v="Variación Trimestral de Sentencias Dictadas (%) en la Región de Atacama por Juzgado de Garantía, durante el Periodo 2013-2019"/>
        <s v="Variación Trimestral de Sentencias Dictadas (%) en la Región de Coquimbo por Juzgado de Garantía, durante el Periodo 2013-2019"/>
        <s v="Variación Trimestral de Sentencias Dictadas (%) en la Región de Valparaíso por Juzgado de Garantía, durante el Periodo 2013-2019"/>
        <s v="Variación Trimestral de Sentencias Dictadas (%) en la Región de O'Higgins por Juzgado de Garantía, durante el Periodo 2013-2019"/>
        <s v="Variación Trimestral de Sentencias Dictadas (%) en la Región de Maule por Juzgado de Garantía, durante el Periodo 2013-2019"/>
        <s v="Variación Trimestral de Sentencias Dictadas (%) en la Región del Biobío por Juzgado de Garantía, durante el Periodo 2013-2019"/>
        <s v="Variación Trimestral de Sentencias Dictadas (%) en la Región de La Araucanía por Juzgado de Garantía, durante el Periodo 2013-2019"/>
        <s v="Variación Trimestral de Sentencias Dictadas (%) en la Región de Los Lagos por Juzgado de Garantía, durante el Periodo 2013-2019"/>
        <s v="Variación Trimestral de Sentencias Dictadas (%) en la Región de Aysén por Juzgado de Garantía, durante el Periodo 2013-2019"/>
        <s v="Variación Trimestral de Sentencias Dictadas (%) en la Región de Magallanes por Juzgado de Garantía, durante el Periodo 2013-2019"/>
        <s v="Variación Trimestral de Sentencias Dictadas (%) en la Región Metropolitana por Juzgado de Garantía, durante el Periodo 2013-2019"/>
        <s v="Variación Trimestral de Sentencias Dictadas (%) en la Región de Los Ríos por Juzgado de Garantía, durante el Periodo 2013-2019"/>
        <s v="Variación Trimestral de Sentencias Dictadas (%) en la Región de Arica y Parinacota por Juzgado de Garantía, durante el Periodo 2013-2019"/>
        <s v="Variación Trimestral de Sentencias Dictadas (%) en la Región de Ñuble por Juzgado de Garantía, durante el Periodo 2013-2019"/>
        <s v="Variación Trimestral de Sentencias Dictadas (%) para el Delito de Abuso Sexual Adulto por región, durante el Periodo 2013-2019"/>
        <s v="Variación Trimestral de Sentencias Dictadas (%) para el Delito de Abuso Sexual Calificado c/Introduccion Objetos O Uso Animal por región, durante el Periodo 2013-2019"/>
        <s v="Variación Trimestral de Sentencias Dictadas (%) para el Delito de Abuso Sexual Con Contacto De Menor De 14 Años por región, durante el Periodo 2013-2019"/>
        <s v="Variación Trimestral de Sentencias Dictadas (%) para el Delito de Abuso Sexual De 14 Años A Menor De 18 Años Con Circunstancia Estupro por región, durante el Periodo 2013-2019"/>
        <s v="Variación Trimestral de Sentencias Dictadas (%) para el Delito de Abuso Sexual De Mayor De 14 (Con Circunstancias De Violación) por región, durante el Periodo 2013-2019"/>
        <s v="Variación Trimestral de Sentencias Dictadas (%) para el Delito de Abuso Sexual Mayor 14 /Sorpresa Sin Consentimiento por región, durante el Periodo 2013-2019"/>
        <s v="Variación Trimestral de Sentencias Dictadas (%) para el Delito de Abuso Sexual Sin Contacto por región, durante el Periodo 2013-2019"/>
        <s v="Variación Trimestral de Sentencias Dictadas (%) para el Delito de Acoso Sexual Lugares Públicos /Libre Acceso Público por región, durante el Periodo 2013-2019"/>
        <s v="Variación Trimestral de Sentencias Dictadas (%) para el Delito de Abuso Sexual Adulto por Juzgado de Garantía, durante el Periodo 2013-2019"/>
        <s v="Variación Trimestral de Sentencias Dictadas (%) para el Delito de Abuso Sexual Calificado c/Introduccion Objetos O Uso Animal por Juzgado de Garantía, durante el Periodo 2013-2019"/>
        <s v="Variación Trimestral de Sentencias Dictadas (%) para el Delito de Abuso Sexual Con Contacto De Menor De 14 Años por Juzgado de Garantía, durante el Periodo 2013-2019"/>
        <s v="Variación Trimestral de Sentencias Dictadas (%) para el Delito de Abuso Sexual De 14 Años A Menor De 18 Años Con Circunstancia Estupro por Juzgado de Garantía, durante el Periodo 2013-2019"/>
        <s v="Variación Trimestral de Sentencias Dictadas (%) para el Delito de Abuso Sexual De Mayor De 14 (Con Circunstancias De Violación) por Juzgado de Garantía, durante el Periodo 2013-2019"/>
        <s v="Variación Trimestral de Sentencias Dictadas (%) para el Delito de Abuso Sexual Mayor 14 /Sorpresa Sin Consentimiento por Juzgado de Garantía, durante el Periodo 2013-2019"/>
        <s v="Variación Trimestral de Sentencias Dictadas (%) para el Delito de Abuso Sexual Sin Contacto por Juzgado de Garantía, durante el Periodo 2013-2019"/>
        <s v="Variación Trimestral de Sentencias Dictadas (%) para el Delito de Acoso Sexual Lugares Públicos /Libre Acceso Público por Juzgado de Garantía, durante el Periodo 2013-2019"/>
        <s v="Mapa de Sentencias Dictadas Acumuladas para el Delito de Abuso Sexual (Sólo Crimen) por región, durante el Periodo 2013-2019"/>
        <s v="Mapa de Sentencias Dictadas Acumuladas para el Delito de Abuso Sexual Adulto por región, durante el Periodo 2013-2019"/>
        <s v="Mapa de Sentencias Dictadas Acumuladas para el Delito de Abuso Sexual Calificado c/Introduccion Objetos O Uso Animal por región, durante el Periodo 2013-2019"/>
        <s v="Mapa de Sentencias Dictadas Acumuladas para el Delito de Abuso Sexual Con Contacto De Menor De 14 Años por región, durante el Periodo 2013-2019"/>
        <s v="Mapa de Sentencias Dictadas Acumuladas para el Delito de Abuso Sexual De 14 Años A Menor De 18 Años Con Circunstancia Estupro por región, durante el Periodo 2013-2019"/>
        <s v="Mapa de Sentencias Dictadas Acumuladas para el Delito de Abuso Sexual De Mayor De 14 (Con Circunstancias De Violación) por región, durante el Periodo 2013-2019"/>
        <s v="Mapa de Sentencias Dictadas Acumuladas para el Delito de Abuso Sexual Mayor 14 /Sorpresa Sin Consentimiento por región, durante el Periodo 2013-2019"/>
        <s v="Mapa de Sentencias Dictadas Acumuladas para el Delito de Abuso Sexual Sin Contacto por región, durante el Periodo 2013-2019"/>
        <s v="Mapa de Sentencias Dictadas Acumuladas para el Delito de Acoso Sexual Lugares Públicos /Libre Acceso Público por región, durante el Periodo 2013-2019"/>
        <s v="Mapa de Sentencias Dictadas para el Delito de Abuso Sexual Calificado c/Introduccion Objetos O Uso Animal por región, durante el Año 2019"/>
        <s v="Mapa de Sentencias Dictadas para el Delito de Abuso Sexual Con Contacto De Menor De 14 Años por región, durante el Año 2019"/>
        <s v="Mapa de Sentencias Dictadas para el Delito de Abuso Sexual De 14 Años A Menor De 18 Años Con Circunstancia Estupro por región, durante el Año 2019"/>
        <s v="Mapa de Sentencias Dictadas para el Delito de Abuso Sexual De Mayor De 14 (Con Circunstancias De Violación) por región, durante el Año 2019"/>
        <s v="Mapa de Sentencias Dictadas para el Delito de Abuso Sexual Mayor 14 /Sorpresa Sin Consentimiento por región, durante el Año 2019"/>
        <s v="Mapa de Sentencias Dictadas para el Delito de Abuso Sexual Sin Contacto por región, durante el Año 2019"/>
        <s v="Mapa de Sentencias Dictadas para el Delito de Acoso Sexual Lugares Públicos /Libre Acceso Público por región, durante el Año 2019"/>
        <s v="Mapa de Sentencias Dictadas Acumuladas para la tipología de Delitos Sexuales por región, durante el Periodo 2013-2019"/>
        <s v="Mapa de Sentencias Dictadas para la tipología de Delitos Sexuales por región, durante el Año 2019"/>
        <s v="Sentencias Dictadas por Delitos Vinculados a la Mujer por región en la tipología de Delitos Violentos, para el Periodo 2013-2019"/>
        <s v="Sentencias Dictadas por Delitos Vinculados a la Mujer por región en la tipología de Delitos Contra el Estado Civil y la Familia, para el Periodo 2013-2019"/>
        <s v="Sentencias Dictadas por Delitos Vinculados a la Mujer por región en la tipología de Delitos Contra la Vida, Integridad o Dignidad Personal, para el Periodo 2013-2019"/>
        <s v="Sentencias Dictadas por Delitos Vinculados a la Mujer por Tipo de Delito en la Región de Tarapacá durante el Periodo 2013-2019"/>
        <s v="Sentencias Dictadas por Delitos Vinculados a la Mujer por Tipo de Delito en la Región de Antofagasta durante el Periodo 2013-2019"/>
        <s v="Sentencias Dictadas por Delitos Vinculados a la Mujer por Tipo de Delito en la Región de Atacama durante el Periodo 2013-2019"/>
        <s v="Sentencias Dictadas por Delitos Vinculados a la Mujer por Tipo de Delito en la Región de Coquimbo durante el Periodo 2013-2019"/>
        <s v="Sentencias Dictadas por Delitos Vinculados a la Mujer por Tipo de Delito en la Región de Valparaíso durante el Periodo 2013-2019"/>
        <s v="Sentencias Dictadas por Delitos Vinculados a la Mujer por Tipo de Delito en la Región de O'Higgins durante el Periodo 2013-2019"/>
        <s v="Sentencias Dictadas por Delitos Vinculados a la Mujer por Tipo de Delito en la Región de Maule durante el Periodo 2013-2019"/>
        <s v="Sentencias Dictadas por Delitos Vinculados a la Mujer por Tipo de Delito en la Región del Biobío durante el Periodo 2013-2019"/>
        <s v="Sentencias Dictadas por Delitos Vinculados a la Mujer por Tipo de Delito en la Región de La Araucanía durante el Periodo 2013-2019"/>
        <s v="Sentencias Dictadas por Delitos Vinculados a la Mujer por Tipo de Delito en la Región de Los Lagos durante el Periodo 2013-2019"/>
        <s v="Sentencias Dictadas por Delitos Vinculados a la Mujer por Tipo de Delito en la Región de Aysén durante el Periodo 2013-2019"/>
        <s v="Sentencias Dictadas por Delitos Vinculados a la Mujer por Tipo de Delito en la Región de Magallanes durante el Periodo 2013-2019"/>
        <s v="Sentencias Dictadas por Delitos Vinculados a la Mujer por Tipo de Delito en la Región Metropolitana durante el Periodo 2013-2019"/>
        <s v="Sentencias Dictadas por Delitos Vinculados a la Mujer por Tipo de Delito en la Región de Los Ríos durante el Periodo 2013-2019"/>
        <s v="Sentencias Dictadas por Delitos Vinculados a la Mujer por Tipo de Delito en la Región de Arica y Parinacota durante el Periodo 2013-2019"/>
        <s v="Sentencias Dictadas por Delitos Vinculados a la Mujer por Tipo de Delito en la Región de Ñuble durante el Periodo 2013-2019"/>
        <s v="Sentencias Dictadas por Delitos Vinculados a la Mujer por Juzgado de Garantía en la Región de Tarapacá durante el Periodo 2013-2019"/>
        <s v="Sentencias Dictadas por Delitos Vinculados a la Mujer por Juzgado de Garantía en la Región de Antofagasta durante el Periodo 2013-2019"/>
        <s v="Sentencias Dictadas por Delitos Vinculados a la Mujer por Juzgado de Garantía en la Región de Atacama durante el Periodo 2013-2019"/>
        <s v="Sentencias Dictadas por Delitos Vinculados a la Mujer por Juzgado de Garantía en la Región de Coquimbo durante el Periodo 2013-2019"/>
        <s v="Sentencias Dictadas por Delitos Vinculados a la Mujer por Juzgado de Garantía en la Región de Valparaíso durante el Periodo 2013-2019"/>
        <s v="Sentencias Dictadas por Delitos Vinculados a la Mujer por Juzgado de Garantía en la Región de O'Higgins durante el Periodo 2013-2019"/>
        <s v="Sentencias Dictadas por Delitos Vinculados a la Mujer por Juzgado de Garantía en la Región de Maule durante el Periodo 2013-2019"/>
        <s v="Sentencias Dictadas por Delitos Vinculados a la Mujer por Juzgado de Garantía en la Región del Biobío durante el Periodo 2013-2019"/>
        <s v="Sentencias Dictadas por Delitos Vinculados a la Mujer por Juzgado de Garantía en la Región de La Araucanía durante el Periodo 2013-2019"/>
        <s v="Sentencias Dictadas por Delitos Vinculados a la Mujer por Juzgado de Garantía en la Región de Los Lagos durante el Periodo 2013-2019"/>
        <s v="Sentencias Dictadas por Delitos Vinculados a la Mujer por Juzgado de Garantía en la Región de Aysén durante el Periodo 2013-2019"/>
        <s v="Sentencias Dictadas por Delitos Vinculados a la Mujer por Juzgado de Garantía en la Región de Magallanes durante el Periodo 2013-2019"/>
        <s v="Sentencias Dictadas por Delitos Vinculados a la Mujer por Juzgado de Garantía en la Región Metropolitana durante el Periodo 2013-2019"/>
        <s v="Sentencias Dictadas por Delitos Vinculados a la Mujer por Juzgado de Garantía en la Región de Los Ríos durante el Periodo 2013-2019"/>
        <s v="Sentencias Dictadas por Delitos Vinculados a la Mujer por Juzgado de Garantía en la Región de Arica y Parinacota durante el Periodo 2013-2019"/>
        <s v="Sentencias Dictadas por Delitos Vinculados a la Mujer por Juzgado de Garantía en la Región de Ñuble durante el Periodo 2013-2019"/>
        <s v="Sentencias Dictadas por Delitos Vinculados a la Mujer por Delito en la Región de Tarapacá durante el Periodo 2013-2019"/>
        <s v="Sentencias Dictadas por Delitos Vinculados a la Mujer por Delito en la Región de Antofagasta durante el Periodo 2013-2019"/>
        <s v="Sentencias Dictadas por Delitos Vinculados a la Mujer por Delito en la Región de Atacama durante el Periodo 2013-2019"/>
        <s v="Sentencias Dictadas por Delitos Vinculados a la Mujer por Delito en la Región de Coquimbo durante el Periodo 2013-2019"/>
        <s v="Sentencias Dictadas por Delitos Vinculados a la Mujer por Delito en la Región de Valparaíso durante el Periodo 2013-2019"/>
        <s v="Sentencias Dictadas por Delitos Vinculados a la Mujer por Delito en la Región de O'Higgins durante el Periodo 2013-2019"/>
        <s v="Sentencias Dictadas por Delitos Vinculados a la Mujer por Delito en la Región de Maule durante el Periodo 2013-2019"/>
        <s v="Sentencias Dictadas por Delitos Vinculados a la Mujer por Delito en la Región del Biobío durante el Periodo 2013-2019"/>
        <s v="Sentencias Dictadas por Delitos Vinculados a la Mujer por Delito en la Región de La Araucanía durante el Periodo 2013-2019"/>
        <s v="Sentencias Dictadas por Delitos Vinculados a la Mujer por Delito en la Región de Los Lagos durante el Periodo 2013-2019"/>
        <s v="Sentencias Dictadas por Delitos Vinculados a la Mujer por Delito en la Región de Aysén durante el Periodo 2013-2019"/>
        <s v="Sentencias Dictadas por Delitos Vinculados a la Mujer por Delito en la Región de Magallanes durante el Periodo 2013-2019"/>
        <s v="Sentencias Dictadas por Delitos Vinculados a la Mujer por Delito en la Región Metropolitana durante el Periodo 2013-2019"/>
        <s v="Sentencias Dictadas por Delitos Vinculados a la Mujer por Delito en la Región de Los Ríos durante el Periodo 2013-2019"/>
        <s v="Sentencias Dictadas por Delitos Vinculados a la Mujer por Delito en la Región de Arica y Parinacota durante el Periodo 2013-2019"/>
        <s v="Sentencias Dictadas por Delitos Vinculados a la Mujer por Delito en la Región de Ñuble durante el Periodo 2013-2019"/>
        <s v="Sentencias Dictadas por Delitos Vinculados a la Mujer por Tipo de Delito en el Juzgado de Garantía de Iquique para el Periodo 2013-2019"/>
        <s v="Sentencias Dictadas por Delitos Vinculados a la Mujer por Tipo de Delito en el Juzgado de Garantía de Antofagasta para el Periodo 2013-2019"/>
        <s v="Sentencias Dictadas por Delitos Vinculados a la Mujer por Tipo de Delito en el Juzgado de Garantía de Calama para el Periodo 2013-2019"/>
        <s v="Sentencias Dictadas por Delitos Vinculados a la Mujer por Tipo de Delito en el Juzgado de Garantía de Tocopilla para el Periodo 2013-2019"/>
        <s v="Sentencias Dictadas por Delitos Vinculados a la Mujer por Tipo de Delito en el Juzgado de Garantía de Copiapo para el Periodo 2013-2019"/>
        <s v="Sentencias Dictadas por Delitos Vinculados a la Mujer por Tipo de Delito en el Juzgado de Garantía de Diego de Almagro para el Periodo 2013-2019"/>
        <s v="Sentencias Dictadas por Delitos Vinculados a la Mujer por Tipo de Delito en el Juzgado de Garantía de Vallenar para el Periodo 2013-2019"/>
        <s v="Sentencias Dictadas por Delitos Vinculados a la Mujer por Tipo de Delito en el Juzgado de Garantía de Coquimbo para el Periodo 2013-2019"/>
        <s v="Sentencias Dictadas por Delitos Vinculados a la Mujer por Tipo de Delito en el Juzgado de Garantía de Illapel para el Periodo 2013-2019"/>
        <s v="Sentencias Dictadas por Delitos Vinculados a la Mujer por Tipo de Delito en el Juzgado de Garantía de La Serena para el Periodo 2013-2019"/>
        <s v="Sentencias Dictadas por Delitos Vinculados a la Mujer por Tipo de Delito en el Juzgado de Garantía de Ovalle para el Periodo 2013-2019"/>
        <s v="Sentencias Dictadas por Delitos Vinculados a la Mujer por Tipo de Delito en el Juzgado de Garantía de Vicuña para el Periodo 2013-2019"/>
        <s v="Sentencias Dictadas por Delitos Vinculados a la Mujer por Tipo de Delito en el Juzgado de Garantía de Calera para el Periodo 2013-2019"/>
        <s v="Sentencias Dictadas por Delitos Vinculados a la Mujer por Tipo de Delito en el Juzgado de Garantía de La Ligua para el Periodo 2013-2019"/>
        <s v="Sentencias Dictadas por Delitos Vinculados a la Mujer por Tipo de Delito en el Juzgado de Garantía de Limache para el Periodo 2013-2019"/>
        <s v="Sentencias Dictadas por Delitos Vinculados a la Mujer por Tipo de Delito en el Juzgado de Garantía de Los Andes para el Periodo 2013-2019"/>
        <s v="Sentencias Dictadas por Delitos Vinculados a la Mujer por Tipo de Delito en el Juzgado de Garantía de Quillota para el Periodo 2013-2019"/>
        <s v="Sentencias Dictadas por Delitos Vinculados a la Mujer por Tipo de Delito en el Juzgado de Garantía de Quilpue para el Periodo 2013-2019"/>
        <s v="Sentencias Dictadas por Delitos Vinculados a la Mujer por Tipo de Delito en el Juzgado de Garantía de San Felipe para el Periodo 2013-2019"/>
        <s v="Sentencias Dictadas por Delitos Vinculados a la Mujer por Tipo de Delito en el Juzgado de Garantía de Valparaiso para el Periodo 2013-2019"/>
        <s v="Sentencias Dictadas por Delitos Vinculados a la Mujer por Tipo de Delito en el Juzgado de Garantía de Villa Alemana para el Periodo 2013-2019"/>
        <s v="Sentencias Dictadas por Delitos Vinculados a la Mujer por Tipo de Delito en el Juzgado de Garantía de Viña Del Mar para el Periodo 2013-2019"/>
        <s v="Sentencias Dictadas por Delitos Vinculados a la Mujer por Tipo de Delito en el Juzgado de Garantía de Graneros para el Periodo 2013-2019"/>
        <s v="Sentencias Dictadas por Delitos Vinculados a la Mujer por Tipo de Delito en el Juzgado de Garantía de Rancagua para el Periodo 2013-2019"/>
        <s v="Sentencias Dictadas por Delitos Vinculados a la Mujer por Tipo de Delito en el Juzgado de Garantía de Rengo para el Periodo 2013-2019"/>
        <s v="Sentencias Dictadas por Delitos Vinculados a la Mujer por Tipo de Delito en el Juzgado de Garantía de San Fernando para el Periodo 2013-2019"/>
        <s v="Sentencias Dictadas por Delitos Vinculados a la Mujer por Tipo de Delito en el Juzgado de Garantía de San Vicente para el Periodo 2013-2019"/>
        <s v="Sentencias Dictadas por Delitos Vinculados a la Mujer por Tipo de Delito en el Juzgado de Garantía de Santa Cruz para el Periodo 2013-2019"/>
        <s v="Sentencias Dictadas por Delitos Vinculados a la Mujer por Tipo de Delito en el Juzgado de Garantía de Cauquenes para el Periodo 2013-2019"/>
        <s v="Sentencias Dictadas por Delitos Vinculados a la Mujer por Tipo de Delito en el Juzgado de Garantía de Constitucion para el Periodo 2013-2019"/>
        <s v="Sentencias Dictadas por Delitos Vinculados a la Mujer por Tipo de Delito en el Juzgado de Garantía de Curico para el Periodo 2013-2019"/>
        <s v="Sentencias Dictadas por Delitos Vinculados a la Mujer por Tipo de Delito en el Juzgado de Garantía de Linares para el Periodo 2013-2019"/>
        <s v="Sentencias Dictadas por Delitos Vinculados a la Mujer por Tipo de Delito en el Juzgado de Garantía de Molina para el Periodo 2013-2019"/>
        <s v="Sentencias Dictadas por Delitos Vinculados a la Mujer por Tipo de Delito en el Juzgado de Garantía de Parral para el Periodo 2013-2019"/>
        <s v="Sentencias Dictadas por Delitos Vinculados a la Mujer por Tipo de Delito en el Juzgado de Garantía de San Javier para el Periodo 2013-2019"/>
        <s v="Sentencias Dictadas por Delitos Vinculados a la Mujer por Tipo de Delito en el Juzgado de Garantía de Talca para el Periodo 2013-2019"/>
        <s v="Sentencias Dictadas por Delitos Vinculados a la Mujer por Tipo de Delito en el Juzgado de Garantía de Arauco para el Periodo 2013-2019"/>
        <s v="Sentencias Dictadas por Delitos Vinculados a la Mujer por Tipo de Delito en el Juzgado de Garantía de Cañete para el Periodo 2013-2019"/>
        <s v="Sentencias Dictadas por Delitos Vinculados a la Mujer por Tipo de Delito en el Juzgado de Garantía de Chiguayante para el Periodo 2013-2019"/>
        <s v="Sentencias Dictadas por Delitos Vinculados a la Mujer por Tipo de Delito en el Juzgado de Garantía de Concepcion para el Periodo 2013-2019"/>
        <s v="Sentencias Dictadas por Delitos Vinculados a la Mujer por Tipo de Delito en el Juzgado de Garantía de Coronel para el Periodo 2013-2019"/>
        <s v="Sentencias Dictadas por Delitos Vinculados a la Mujer por Tipo de Delito en el Juzgado de Garantía de Los Angeles para el Periodo 2013-2019"/>
        <s v="Sentencias Dictadas por Delitos Vinculados a la Mujer por Tipo de Delito en el Juzgado de Garantía de Talcahuano para el Periodo 2013-2019"/>
        <s v="Sentencias Dictadas por Delitos Vinculados a la Mujer por Tipo de Delito en el Juzgado de Garantía de Tome para el Periodo 2013-2019"/>
        <s v="Sentencias Dictadas por Delitos Vinculados a la Mujer por Tipo de Delito en el Juzgado de Garantía de Angol para el Periodo 2013-2019"/>
        <s v="Sentencias Dictadas por Delitos Vinculados a la Mujer por Tipo de Delito en el Juzgado de Garantía de Lautaro para el Periodo 2013-2019"/>
        <s v="Sentencias Dictadas por Delitos Vinculados a la Mujer por Tipo de Delito en el Juzgado de Garantía de Loncoche para el Periodo 2013-2019"/>
        <s v="Sentencias Dictadas por Delitos Vinculados a la Mujer por Tipo de Delito en el Juzgado de Garantía de Nueva Imperial para el Periodo 2013-2019"/>
        <s v="Sentencias Dictadas por Delitos Vinculados a la Mujer por Tipo de Delito en el Juzgado de Garantía de Pitrufquen para el Periodo 2013-2019"/>
        <s v="Sentencias Dictadas por Delitos Vinculados a la Mujer por Tipo de Delito en el Juzgado de Garantía de Temuco para el Periodo 2013-2019"/>
        <s v="Sentencias Dictadas por Delitos Vinculados a la Mujer por Tipo de Delito en el Juzgado de Garantía de Victoria para el Periodo 2013-2019"/>
        <s v="Sentencias Dictadas por Delitos Vinculados a la Mujer por Tipo de Delito en el Juzgado de Garantía de Villarrica para el Periodo 2013-2019"/>
        <s v="Sentencias Dictadas por Delitos Vinculados a la Mujer por Tipo de Delito en el Juzgado de Garantía de Ancud para el Periodo 2013-2019"/>
        <s v="Sentencias Dictadas por Delitos Vinculados a la Mujer por Tipo de Delito en el Juzgado de Garantía de Castro para el Periodo 2013-2019"/>
        <s v="Sentencias Dictadas por Delitos Vinculados a la Mujer por Tipo de Delito en el Juzgado de Garantía de Osorno para el Periodo 2013-2019"/>
        <s v="Sentencias Dictadas por Delitos Vinculados a la Mujer por Tipo de Delito en el Juzgado de Garantía de Puerto Montt para el Periodo 2013-2019"/>
        <s v="Sentencias Dictadas por Delitos Vinculados a la Mujer por Tipo de Delito en el Juzgado de Garantía de Puerto Varas para el Periodo 2013-2019"/>
        <s v="Sentencias Dictadas por Delitos Vinculados a la Mujer por Tipo de Delito en el Juzgado de Garantía de Rio Negro para el Periodo 2013-2019"/>
        <s v="Sentencias Dictadas por Delitos Vinculados a la Mujer por Tipo de Delito en el Juzgado de Garantía de Coyhaique para el Periodo 2013-2019"/>
        <s v="Sentencias Dictadas por Delitos Vinculados a la Mujer por Tipo de Delito en el Juzgado de Garantía de Punta Arenas para el Periodo 2013-2019"/>
        <s v="Sentencias Dictadas por Delitos Vinculados a la Mujer por Tipo de Delito en el Juzgado de Garantía de Santiago para el Periodo 2013-2019"/>
        <s v="Sentencias Dictadas por Delitos Vinculados a la Mujer por Tipo de Delito en el Juzgado de Garantía de Los Lagos para el Periodo 2013-2019"/>
        <s v="Sentencias Dictadas por Delitos Vinculados a la Mujer por Tipo de Delito en el Juzgado de Garantía de Mariquina para el Periodo 2013-2019"/>
        <s v="Sentencias Dictadas por Delitos Vinculados a la Mujer por Tipo de Delito en el Juzgado de Garantía de Valdivia para el Periodo 2013-2019"/>
        <s v="Sentencias Dictadas por Delitos Vinculados a la Mujer por Tipo de Delito en el Juzgado de Garantía de Arica para el Periodo 2013-2019"/>
        <s v="Sentencias Dictadas por Delitos Vinculados a la Mujer por Tipo de Delito en el Juzgado de Garantía de Chillan para el Periodo 2013-2019"/>
        <s v="Sentencias Dictadas por Delitos Vinculados a la Mujer por Tipo de Delito en el Juzgado de Garantía de San Carlos para el Periodo 2013-2019"/>
        <s v="Sentencias Dictadas por Delitos Vinculados a la Mujer por Tipo de Delito en el Juzgado de Garantía de Yungay para el Periodo 2013-2019"/>
        <s v="Sentencias Dictadas por Delitos Vinculados a la Mujer por Delito en el Juzgado de Garantía de Iquique para el Periodo 2013-2019"/>
        <s v="Sentencias Dictadas por Delitos Vinculados a la Mujer por Delito en el Juzgado de Garantía de Antofagasta para el Periodo 2013-2019"/>
        <s v="Sentencias Dictadas por Delitos Vinculados a la Mujer por Delito en el Juzgado de Garantía de Calama para el Periodo 2013-2019"/>
        <s v="Sentencias Dictadas por Delitos Vinculados a la Mujer por Delito en el Juzgado de Garantía de Tocopilla para el Periodo 2013-2019"/>
        <s v="Sentencias Dictadas por Delitos Vinculados a la Mujer por Delito en el Juzgado de Garantía de Copiapo para el Periodo 2013-2019"/>
        <s v="Sentencias Dictadas por Delitos Vinculados a la Mujer por Delito en el Juzgado de Garantía de Diego de Almagro para el Periodo 2013-2019"/>
        <s v="Sentencias Dictadas por Delitos Vinculados a la Mujer por Delito en el Juzgado de Garantía de Vallenar para el Periodo 2013-2019"/>
        <s v="Sentencias Dictadas por Delitos Vinculados a la Mujer por Delito en el Juzgado de Garantía de Coquimbo para el Periodo 2013-2019"/>
        <s v="Sentencias Dictadas por Delitos Vinculados a la Mujer por Delito en el Juzgado de Garantía de Illapel para el Periodo 2013-2019"/>
        <s v="Sentencias Dictadas por Delitos Vinculados a la Mujer por Delito en el Juzgado de Garantía de La Serena para el Periodo 2013-2019"/>
        <s v="Sentencias Dictadas por Delitos Vinculados a la Mujer por Delito en el Juzgado de Garantía de Ovalle para el Periodo 2013-2019"/>
        <s v="Sentencias Dictadas por Delitos Vinculados a la Mujer por Delito en el Juzgado de Garantía de Vicuña para el Periodo 2013-2019"/>
        <s v="Sentencias Dictadas por Delitos Vinculados a la Mujer por Delito en el Juzgado de Garantía de Calera para el Periodo 2013-2019"/>
        <s v="Sentencias Dictadas por Delitos Vinculados a la Mujer por Delito en el Juzgado de Garantía de La Ligua para el Periodo 2013-2019"/>
        <s v="Sentencias Dictadas por Delitos Vinculados a la Mujer por Delito en el Juzgado de Garantía de Limache para el Periodo 2013-2019"/>
        <s v="Sentencias Dictadas por Delitos Vinculados a la Mujer por Delito en el Juzgado de Garantía de Los Andes para el Periodo 2013-2019"/>
        <s v="Sentencias Dictadas por Delitos Vinculados a la Mujer por Delito en el Juzgado de Garantía de Quillota para el Periodo 2013-2019"/>
        <s v="Sentencias Dictadas por Delitos Vinculados a la Mujer por Delito en el Juzgado de Garantía de Quilpue para el Periodo 2013-2019"/>
        <s v="Sentencias Dictadas por Delitos Vinculados a la Mujer por Delito en el Juzgado de Garantía de San Felipe para el Periodo 2013-2019"/>
        <s v="Sentencias Dictadas por Delitos Vinculados a la Mujer por Delito en el Juzgado de Garantía de Valparaiso para el Periodo 2013-2019"/>
        <s v="Sentencias Dictadas por Delitos Vinculados a la Mujer por Delito en el Juzgado de Garantía de Villa Alemana para el Periodo 2013-2019"/>
        <s v="Sentencias Dictadas por Delitos Vinculados a la Mujer por Delito en el Juzgado de Garantía de Viña Del Mar para el Periodo 2013-2019"/>
        <s v="Sentencias Dictadas por Delitos Vinculados a la Mujer por Delito en el Juzgado de Garantía de Graneros para el Periodo 2013-2019"/>
        <s v="Sentencias Dictadas por Delitos Vinculados a la Mujer por Delito en el Juzgado de Garantía de Rancagua para el Periodo 2013-2019"/>
        <s v="Sentencias Dictadas por Delitos Vinculados a la Mujer por Delito en el Juzgado de Garantía de Rengo para el Periodo 2013-2019"/>
        <s v="Sentencias Dictadas por Delitos Vinculados a la Mujer por Delito en el Juzgado de Garantía de San Fernando para el Periodo 2013-2019"/>
        <s v="Sentencias Dictadas por Delitos Vinculados a la Mujer por Delito en el Juzgado de Garantía de San Vicente para el Periodo 2013-2019"/>
        <s v="Sentencias Dictadas por Delitos Vinculados a la Mujer por Delito en el Juzgado de Garantía de Santa Cruz para el Periodo 2013-2019"/>
        <s v="Sentencias Dictadas por Delitos Vinculados a la Mujer por Delito en el Juzgado de Garantía de Cauquenes para el Periodo 2013-2019"/>
        <s v="Sentencias Dictadas por Delitos Vinculados a la Mujer por Delito en el Juzgado de Garantía de Constitucion para el Periodo 2013-2019"/>
        <s v="Sentencias Dictadas por Delitos Vinculados a la Mujer por Delito en el Juzgado de Garantía de Curico para el Periodo 2013-2019"/>
        <s v="Sentencias Dictadas por Delitos Vinculados a la Mujer por Delito en el Juzgado de Garantía de Linares para el Periodo 2013-2019"/>
        <s v="Sentencias Dictadas por Delitos Vinculados a la Mujer por Delito en el Juzgado de Garantía de Molina para el Periodo 2013-2019"/>
        <s v="Sentencias Dictadas por Delitos Vinculados a la Mujer por Delito en el Juzgado de Garantía de Parral para el Periodo 2013-2019"/>
        <s v="Sentencias Dictadas por Delitos Vinculados a la Mujer por Delito en el Juzgado de Garantía de San Javier para el Periodo 2013-2019"/>
        <s v="Sentencias Dictadas por Delitos Vinculados a la Mujer por Delito en el Juzgado de Garantía de Talca para el Periodo 2013-2019"/>
        <s v="Sentencias Dictadas por Delitos Vinculados a la Mujer por Delito en el Juzgado de Garantía de Arauco para el Periodo 2013-2019"/>
        <s v="Sentencias Dictadas por Delitos Vinculados a la Mujer por Delito en el Juzgado de Garantía de Cañete para el Periodo 2013-2019"/>
        <s v="Sentencias Dictadas por Delitos Vinculados a la Mujer por Delito en el Juzgado de Garantía de Chiguayante para el Periodo 2013-2019"/>
        <s v="Sentencias Dictadas por Delitos Vinculados a la Mujer por Delito en el Juzgado de Garantía de Concepcion para el Periodo 2013-2019"/>
        <s v="Sentencias Dictadas por Delitos Vinculados a la Mujer por Delito en el Juzgado de Garantía de Coronel para el Periodo 2013-2019"/>
        <s v="Sentencias Dictadas por Delitos Vinculados a la Mujer por Delito en el Juzgado de Garantía de Los Angeles para el Periodo 2013-2019"/>
        <s v="Sentencias Dictadas por Delitos Vinculados a la Mujer por Delito en el Juzgado de Garantía de Talcahuano para el Periodo 2013-2019"/>
        <s v="Sentencias Dictadas por Delitos Vinculados a la Mujer por Delito en el Juzgado de Garantía de Tome para el Periodo 2013-2019"/>
        <s v="Sentencias Dictadas por Delitos Vinculados a la Mujer por Delito en el Juzgado de Garantía de Angol para el Periodo 2013-2019"/>
        <s v="Sentencias Dictadas por Delitos Vinculados a la Mujer por Delito en el Juzgado de Garantía de Lautaro para el Periodo 2013-2019"/>
        <s v="Sentencias Dictadas por Delitos Vinculados a la Mujer por Delito en el Juzgado de Garantía de Loncoche para el Periodo 2013-2019"/>
        <s v="Sentencias Dictadas por Delitos Vinculados a la Mujer por Delito en el Juzgado de Garantía de Nueva Imperial para el Periodo 2013-2019"/>
        <s v="Sentencias Dictadas por Delitos Vinculados a la Mujer por Delito en el Juzgado de Garantía de Pitrufquen para el Periodo 2013-2019"/>
        <s v="Sentencias Dictadas por Delitos Vinculados a la Mujer por Delito en el Juzgado de Garantía de Temuco para el Periodo 2013-2019"/>
        <s v="Sentencias Dictadas por Delitos Vinculados a la Mujer por Delito en el Juzgado de Garantía de Victoria para el Periodo 2013-2019"/>
        <s v="Sentencias Dictadas por Delitos Vinculados a la Mujer por Delito en el Juzgado de Garantía de Villarrica para el Periodo 2013-2019"/>
        <s v="Sentencias Dictadas por Delitos Vinculados a la Mujer por Delito en el Juzgado de Garantía de Ancud para el Periodo 2013-2019"/>
        <s v="Sentencias Dictadas por Delitos Vinculados a la Mujer por Delito en el Juzgado de Garantía de Castro para el Periodo 2013-2019"/>
        <s v="Sentencias Dictadas por Delitos Vinculados a la Mujer por Delito en el Juzgado de Garantía de Osorno para el Periodo 2013-2019"/>
        <s v="Sentencias Dictadas por Delitos Vinculados a la Mujer por Delito en el Juzgado de Garantía de Puerto Montt para el Periodo 2013-2019"/>
        <s v="Sentencias Dictadas por Delitos Vinculados a la Mujer por Delito en el Juzgado de Garantía de Puerto Varas para el Periodo 2013-2019"/>
        <s v="Sentencias Dictadas por Delitos Vinculados a la Mujer por Delito en el Juzgado de Garantía de Rio Negro para el Periodo 2013-2019"/>
        <s v="Sentencias Dictadas por Delitos Vinculados a la Mujer por Delito en el Juzgado de Garantía de Coyhaique para el Periodo 2013-2019"/>
        <s v="Sentencias Dictadas por Delitos Vinculados a la Mujer por Delito en el Juzgado de Garantía de Punta Arenas para el Periodo 2013-2019"/>
        <s v="Sentencias Dictadas por Delitos Vinculados a la Mujer por Delito en el Juzgado de Garantía de Santiago para el Periodo 2013-2019"/>
        <s v="Sentencias Dictadas por Delitos Vinculados a la Mujer por Delito en el Juzgado de Garantía de Los Lagos para el Periodo 2013-2019"/>
        <s v="Sentencias Dictadas por Delitos Vinculados a la Mujer por Delito en el Juzgado de Garantía de Mariquina para el Periodo 2013-2019"/>
        <s v="Sentencias Dictadas por Delitos Vinculados a la Mujer por Delito en el Juzgado de Garantía de Valdivia para el Periodo 2013-2019"/>
        <s v="Sentencias Dictadas por Delitos Vinculados a la Mujer por Delito en el Juzgado de Garantía de Arica para el Periodo 2013-2019"/>
        <s v="Sentencias Dictadas por Delitos Vinculados a la Mujer por Delito en el Juzgado de Garantía de Chillan para el Periodo 2013-2019"/>
        <s v="Sentencias Dictadas por Delitos Vinculados a la Mujer por Delito en el Juzgado de Garantía de San Carlos para el Periodo 2013-2019"/>
        <s v="Sentencias Dictadas por Delitos Vinculados a la Mujer por Delito en el Juzgado de Garantía de Yungay para el Periodo 2013-2019"/>
        <s v="Sentencias Dictadas por Delitos Vinculados a la Mujer por región para el delito de Femicidio Intimo, durante el Periodo 2013-2019"/>
        <s v="Sentencias Dictadas por Delitos Vinculados a la Mujer por región para el delito de Secuestro Con Violación, durante el Periodo 2013-2019"/>
        <s v="Sentencias Dictadas por Delitos Vinculados a la Mujer por región para el delito de Secuestro Con Homicidio, Violación O Lesiones, durante el Periodo 2013-2019"/>
        <s v="Sentencias Dictadas por Delitos Vinculados a la Mujer por región para el delito de Tortura Con Violación, Abuso Sexual Agravado/Otros, durante el Periodo 2013-2019"/>
        <s v="Sentencias Dictadas por Delitos Vinculados a la Mujer por región para el delito de Maltrato Habitual (Violencia Intrafamiliar), durante el Periodo 2013-2019"/>
        <s v="Sentencias Dictadas por Delitos Vinculados a la Mujer por región para el delito de Aborto Cometido Por Facultativo Por Causales No Reguladas, durante el Periodo 2013-2019"/>
        <s v="Sentencias Dictadas por Delitos Vinculados a la Mujer por región para el delito de Aborto Consentido Causales No Reguladas, durante el Periodo 2013-2019"/>
        <s v="Sentencias Dictadas por Delitos Vinculados a la Mujer por región para el delito de Aborto Sin Consentimiento, durante el Periodo 2013-2019"/>
        <s v="Sentencias Dictadas por Delitos Vinculados a la Mujer por Juzgado de Garantía para el delito de Femicidio Intimo, durante el Periodo 2013-2019"/>
        <s v="Sentencias Dictadas por Delitos Vinculados a la Mujer por Juzgado de Garantía para el delito de Secuestro Con Violación, durante el Periodo 2013-2019"/>
        <s v="Sentencias Dictadas por Delitos Vinculados a la Mujer por Juzgado de Garantía para el delito de Secuestro Con Homicidio, Violación O Lesiones, durante el Periodo 2013-2019"/>
        <s v="Sentencias Dictadas por Delitos Vinculados a la Mujer por Juzgado de Garantía para el delito de Tortura Con Violación, Abuso Sexual Agravado/Otros, durante el Periodo 2013-2019"/>
        <s v="Sentencias Dictadas por Delitos Vinculados a la Mujer por Juzgado de Garantía para el delito de Maltrato Habitual (Violencia Intrafamiliar), durante el Periodo 2013-2019"/>
        <s v="Sentencias Dictadas por Delitos Vinculados a la Mujer por Juzgado de Garantía para el delito de Aborto Cometido Por Facultativo Por Causales No Reguladas, durante el Periodo 2013-2019"/>
        <s v="Sentencias Dictadas por Delitos Vinculados a la Mujer por Juzgado de Garantía para el delito de Aborto Consentido Causales No Reguladas, durante el Periodo 2013-2019"/>
        <s v="Sentencias Dictadas por Delitos Vinculados a la Mujer por Juzgado de Garantía para el delito de Aborto Sin Consentimiento, durante el Periodo 2013-2019"/>
        <s v="Variación Trimestral de Sentencias Dictadas (%) en la Región de Tarapacá por Tipo de Delito, durante el Periodo 2013-2019"/>
        <s v="Variación Trimestral de Sentencias Dictadas (%) en la Región de Antofagasta por Tipo de Delito, durante el Periodo 2013-2019"/>
        <s v="Variación Trimestral de Sentencias Dictadas (%) en la Región de Atacama por Tipo de Delito, durante el Periodo 2013-2019"/>
        <s v="Variación Trimestral de Sentencias Dictadas (%) en la Región de Coquimbo por Tipo de Delito, durante el Periodo 2013-2019"/>
        <s v="Variación Trimestral de Sentencias Dictadas (%) en la Región de Valparaíso por Tipo de Delito, durante el Periodo 2013-2019"/>
        <s v="Variación Trimestral de Sentencias Dictadas (%) en la Región de O'Higgins por Tipo de Delito, durante el Periodo 2013-2019"/>
        <s v="Variación Trimestral de Sentencias Dictadas (%) en la Región de Maule por Tipo de Delito, durante el Periodo 2013-2019"/>
        <s v="Variación Trimestral de Sentencias Dictadas (%) en la Región del Biobío por Tipo de Delito, durante el Periodo 2013-2019"/>
        <s v="Variación Trimestral de Sentencias Dictadas (%) en la Región de La Araucanía por Tipo de Delito, durante el Periodo 2013-2019"/>
        <s v="Variación Trimestral de Sentencias Dictadas (%) en la Región de Los Lagos por Tipo de Delito, durante el Periodo 2013-2019"/>
        <s v="Variación Trimestral de Sentencias Dictadas (%) en la Región de Aysén por Tipo de Delito, durante el Periodo 2013-2019"/>
        <s v="Variación Trimestral de Sentencias Dictadas (%) en la Región de Magallanes por Tipo de Delito, durante el Periodo 2013-2019"/>
        <s v="Variación Trimestral de Sentencias Dictadas (%) en la Región Metropolitana por Tipo de Delito, durante el Periodo 2013-2019"/>
        <s v="Variación Trimestral de Sentencias Dictadas (%) en la Región de Los Ríos por Tipo de Delito, durante el Periodo 2013-2019"/>
        <s v="Variación Trimestral de Sentencias Dictadas (%) en la Región de Arica y Parinacota por Tipo de Delito, durante el Periodo 2013-2019"/>
        <s v="Variación Trimestral de Sentencias Dictadas (%) en la Región de Ñuble por Tipo de Delito, durante el Periodo 2013-2019"/>
        <s v="Variación Trimestral de Sentencias Dictadas (%) en la Región de Tarapacá por Delito, durante el Periodo 2013-2019"/>
        <s v="Variación Trimestral de Sentencias Dictadas (%) en la Región de Antofagasta por Delito, durante el Periodo 2013-2019"/>
        <s v="Variación Trimestral de Sentencias Dictadas (%) en la Región de Atacama por Delito, durante el Periodo 2013-2019"/>
        <s v="Variación Trimestral de Sentencias Dictadas (%) en la Región de Coquimbo por Delito, durante el Periodo 2013-2019"/>
        <s v="Variación Trimestral de Sentencias Dictadas (%) en la Región de Valparaíso por Delito, durante el Periodo 2013-2019"/>
        <s v="Variación Trimestral de Sentencias Dictadas (%) en la Región de O'Higgins por Delito, durante el Periodo 2013-2019"/>
        <s v="Variación Trimestral de Sentencias Dictadas (%) en la Región de Maule por Delito, durante el Periodo 2013-2019"/>
        <s v="Variación Trimestral de Sentencias Dictadas (%) en la Región del Biobío por Delito, durante el Periodo 2013-2019"/>
        <s v="Variación Trimestral de Sentencias Dictadas (%) en la Región de La Araucanía por Delito, durante el Periodo 2013-2019"/>
        <s v="Variación Trimestral de Sentencias Dictadas (%) en la Región de Los Lagos por Delito, durante el Periodo 2013-2019"/>
        <s v="Variación Trimestral de Sentencias Dictadas (%) en la Región de Aysén por Delito, durante el Periodo 2013-2019"/>
        <s v="Variación Trimestral de Sentencias Dictadas (%) en la Región de Magallanes por Delito, durante el Periodo 2013-2019"/>
        <s v="Variación Trimestral de Sentencias Dictadas (%) en la Región Metropolitana por Delito, durante el Periodo 2013-2019"/>
        <s v="Variación Trimestral de Sentencias Dictadas (%) en la Región de Los Ríos por Delito, durante el Periodo 2013-2019"/>
        <s v="Variación Trimestral de Sentencias Dictadas (%) en la Región de Arica y Parinacota por Delito, durante el Periodo 2013-2019"/>
        <s v="Variación Trimestral de Sentencias Dictadas (%) en la Región de Ñuble por Delito, durante el Periodo 2013-2019"/>
        <s v="Variación Trimestral de Sentencias Dictadas (%) por Delitos Vinculados a la Mujer en la Región de Tarapacá, por Juzgado de Garantía, durante el Periodo 2013-2019"/>
        <s v="Variación Trimestral de Sentencias Dictadas (%) por Delitos Vinculados a la Mujer en la Región de Antofagasta, por Juzgado de Garantía, durante el Periodo 2013-2019"/>
        <s v="Variación Trimestral de Sentencias Dictadas (%) por Delitos Vinculados a la Mujer en la Región de Atacama, por Juzgado de Garantía, durante el Periodo 2013-2019"/>
        <s v="Variación Trimestral de Sentencias Dictadas (%) por Delitos Vinculados a la Mujer en la Región de Coquimbo, por Juzgado de Garantía, durante el Periodo 2013-2019"/>
        <s v="Variación Trimestral de Sentencias Dictadas (%) por Delitos Vinculados a la Mujer en la Región de Valparaíso, por Juzgado de Garantía, durante el Periodo 2013-2019"/>
        <s v="Variación Trimestral de Sentencias Dictadas (%) por Delitos Vinculados a la Mujer en la Región de O'Higgins, por Juzgado de Garantía, durante el Periodo 2013-2019"/>
        <s v="Variación Trimestral de Sentencias Dictadas (%) por Delitos Vinculados a la Mujer en la Región de Maule, por Juzgado de Garantía, durante el Periodo 2013-2019"/>
        <s v="Variación Trimestral de Sentencias Dictadas (%) por Delitos Vinculados a la Mujer en la Región del Biobío, por Juzgado de Garantía, durante el Periodo 2013-2019"/>
        <s v="Variación Trimestral de Sentencias Dictadas (%) por Delitos Vinculados a la Mujer en la Región de La Araucanía, por Juzgado de Garantía, durante el Periodo 2013-2019"/>
        <s v="Variación Trimestral de Sentencias Dictadas (%) por Delitos Vinculados a la Mujer en la Región de Los Lagos, por Juzgado de Garantía, durante el Periodo 2013-2019"/>
        <s v="Variación Trimestral de Sentencias Dictadas (%) por Delitos Vinculados a la Mujer en la Región de Aysén, por Juzgado de Garantía, durante el Periodo 2013-2019"/>
        <s v="Variación Trimestral de Sentencias Dictadas (%) por Delitos Vinculados a la Mujer en la Región de Magallanes, por Juzgado de Garantía, durante el Periodo 2013-2019"/>
        <s v="Variación Trimestral de Sentencias Dictadas (%) por Delitos Vinculados a la Mujer en la Región Metropolitana, por Juzgado de Garantía, durante el Periodo 2013-2019"/>
        <s v="Variación Trimestral de Sentencias Dictadas (%) por Delitos Vinculados a la Mujer en la Región de Los Ríos, por Juzgado de Garantía, durante el Periodo 2013-2019"/>
        <s v="Variación Trimestral de Sentencias Dictadas (%) por Delitos Vinculados a la Mujer en la Región de Arica y Parinacota, por Juzgado de Garantía, durante el Periodo 2013-2019"/>
        <s v="Variación Trimestral de Sentencias Dictadas (%) por Delitos Vinculados a la Mujer en la Región de Ñuble, por Juzgado de Garantía, durante el Periodo 2013-2019"/>
        <s v="Variación Trimestral de Sentencias Dictadas (%) para el Delito de Femicidio Intimo por región, durante el Periodo 2013-2019"/>
        <s v="Variación Trimestral de Sentencias Dictadas (%) para el Delito de Secuestro Con Violación por región, durante el Periodo 2013-2019"/>
        <s v="Variación Trimestral de Sentencias Dictadas (%) para el Delito de Secuestro Con Homicidio, Violación O Lesiones por región, durante el Periodo 2013-2019"/>
        <s v="Variación Trimestral de Sentencias Dictadas (%) para el Delito de Tortura Con Violación, Abuso Sexual Agravado/Otros por región, durante el Periodo 2013-2019"/>
        <s v="Variación Trimestral de Sentencias Dictadas (%) para el Delito de Maltrato Habitual (Violencia Intrafamiliar) por región, durante el Periodo 2013-2019"/>
        <s v="Variación Trimestral de Sentencias Dictadas (%) para el Delito de Aborto Cometido Por Facultativo Por Causales No Reguladas por región, durante el Periodo 2013-2019"/>
        <s v="Variación Trimestral de Sentencias Dictadas (%) para el Delito de Aborto Consentido Causales No Reguladas por región, durante el Periodo 2013-2019"/>
        <s v="Variación Trimestral de Sentencias Dictadas (%) para el Delito de Aborto Sin Consentimiento por región, durante el Periodo 2013-2019"/>
        <s v="Variación Trimestral de Sentencias Dictadas (%) para el Delito de Maltrato Habitual (Violencia Intrafamiliar) por Juzgado de Garantía, durante el Periodo 2013-2019"/>
        <s v="Sentencias Dictadas por Delitos Vinculados a la Mujer por Juzgado de Garantía en la tipología de Delitos Violentos, para el Periodo 2013-2019"/>
        <s v="Sentencias Dictadas por Delitos Vinculados a la Mujer por Juzgado de Garantía en la tipología de Delitos Contra el Estado Civil y la Familia, para el Periodo 2013-2019"/>
        <s v="Sentencias Dictadas por Delitos Vinculados a la Mujer por Juzgado de Garantía en la tipología de Delitos Contra la Vida, Integridad o Dignidad Personal, para el Periodo 2013-2019"/>
        <s v="Sentencias Dictadas por Delitos Vinculados a la Mujer por Delito en la tipología de Delitos Violentos, para el Periodo 2013-2019"/>
        <s v="Sentencias Dictadas por Delitos Vinculados a la Mujer por Delito en la tipología de Delitos Contra el Estado Civil y la Familia, para el Periodo 2013-2019"/>
        <s v="Sentencias Dictadas por Delitos Vinculados a la Mujer por Delito en la tipología de Delitos Contra la Vida, Integridad o Dignidad Personal, para el Periodo 2013-2019"/>
        <s v="Mapa de Sentencias Dictadas Acumuladas por región, durante el Periodo 2013-2019"/>
        <s v="Mapa de Sentencias Dictadas por región, durante el Año 2019"/>
        <s v="Evolución del Ingreso Promedio Mensual por Etnia en la comuna de Recoleta" u="1"/>
        <s v="Evolución del Ingreso Promedio Mensual por Etnia en la comuna de Valdivia" u="1"/>
        <s v="Variación del Ingreso Promedio Mensual por Etnia en la comuna de Cauquenes" u="1"/>
        <s v="Ingreso Promedio Mensual de Mujeres y Hombres en el año 2017 en la comuna de Nacimiento" u="1"/>
        <s v="Diferencial de Ingreso Promedio Mensual de Hombres según Alfabetismo en la comuna de Yungay" u="1"/>
        <s v="Diferencial de Ingreso Promedio Mensual de Mujeres según Alfabetismo en la comuna de Yungay" u="1"/>
        <s v="Evolución del Ingreso Promedio Mensual por Etnia en la comuna de El Tabo" u="1"/>
        <s v="Evolución del Ingreso Promedio Mensual por Alfabetismo en la comuna de La Unión" u="1"/>
        <s v="Ingreso Promedio Mensual al año 2017 por Etnia en la comuna de Putre" u="1"/>
        <s v="Variación del Ingreso Promedio Mensual por Etnia en la comuna de Empedrado" u="1"/>
        <s v="Evolución del Ingreso Promedio Mensual por Persona en la comuna de Los Vilos" u="1"/>
        <s v="Evolución del Ingreso Promedio Mensual por Persona para Mujeres y Hombres en la comuna de Yumbel" u="1"/>
        <s v="Evolución del Ingreso Promedio Mensual por Persona en la comuna de Panguipulli" u="1"/>
        <s v="Ingreso Promedio Mensual de Mujeres y Hombres en el año 2017 en la comuna de Talcahuano" u="1"/>
        <s v="Ingreso Promedio Mensual al año 2017 por Etnia en la comuna de Hualaihué" u="1"/>
        <s v="Diferencial de Ingreso Promedio Mensual de Hombres según Alfabetismo en la comuna de Cañete" u="1"/>
        <s v="Diferencial de Ingreso Promedio Mensual de Mujeres según Alfabetismo en la comuna de Cañete" u="1"/>
        <s v="Ingreso Promedio Mensual de Mujeres y Hombres en el año 2017 en la comuna de Chile Chico" u="1"/>
        <s v="Diferencial de Ingreso Promedio Mensual de Hombres según Alfabetismo en la comuna de Papudo" u="1"/>
        <s v="Diferencial de Ingreso Promedio Mensual de Mujeres según Alfabetismo en la comuna de Papudo" u="1"/>
        <s v="Evolución del Ingreso Promedio Mensual por Alfabetismo en la comuna de Puqueldón" u="1"/>
        <s v="Evolución del Ingreso Promedio Mensual por Persona en la comuna de Lago Ranco" u="1"/>
        <s v="Ingreso Promedio Mensual al año 2017 por Etnia en la comuna de Ninhue" u="1"/>
        <s v="Evolución del Ingreso Promedio Mensual por Etnia en la comuna de Renca" u="1"/>
        <s v="Ingreso Promedio Mensual al año 2017 por Etnia en la comuna de Perquenco" u="1"/>
        <s v="Variación del Ingreso Promedio Mensual por Etnia en la comuna de Paine" u="1"/>
        <s v="Evolución del Ingreso Promedio Mensual por Alfabetismo en la Región de Arica y Parinacota" u="1"/>
        <s v="Variación porcentual del Ingreso Promedio Mensual por Persona en la comuna de San Joaquín" u="1"/>
        <s v="Variación porcentual del Ingreso Promedio Mensual por Persona en la comuna de Villa Alemana" u="1"/>
        <s v="Evolución del Ingreso Promedio Mensual por Persona para Mujeres y Hombres en la comuna de San Miguel" u="1"/>
        <s v="Variación del Ingreso Promedio Mensual por Etnia en la comuna de Quintero" u="1"/>
        <s v="Evolución del Ingreso Promedio Mensual por Etnia en la comuna de Cerro Navia" u="1"/>
        <s v="Variación del Ingreso Promedio Mensual por Etnia en la comuna de Carahue" u="1"/>
        <s v="Variación porcentual del Ingreso Promedio Mensual por Persona en la comuna de San Pedro de Atacama" u="1"/>
        <s v="Evolución del Ingreso Promedio Mensual por Persona en la comuna de Tiltil" u="1"/>
        <s v="Evolución del Ingreso Promedio Mensual por Persona en la comuna de Pudahuel" u="1"/>
        <s v="Comparativo de Ingreso Promedio Mensual entre personas con y sin alfabetización en la comuna de Rinconada" u="1"/>
        <s v="Ingreso Promedio Mensual al año 2017 por Etnia en la comuna de La Cisterna" u="1"/>
        <s v="Ingreso Promedio Mensual de Mujeres y Hombres en el año 2017 en la comuna de Yungay" u="1"/>
        <s v="Ingreso Promedio Mensual de Mujeres y Hombres en el año 2017 en la comuna de Hualpén" u="1"/>
        <s v="Diferencial de Ingreso Promedio Mensual de Hombres según Alfabetismo en la comuna de Punitaqui" u="1"/>
        <s v="Diferencial de Ingreso Promedio Mensual de Mujeres según Alfabetismo en la comuna de Punitaqui" u="1"/>
        <s v="Variación del Ingreso Promedio Mensual por Etnia en la comuna de Quilpué" u="1"/>
        <s v="Ingreso Promedio Mensual de Mujeres y Hombres en el año 2017 en la comuna de Cañete" u="1"/>
        <s v="Evolución del Ingreso Promedio Mensual por Persona para Mujeres y Hombres en la comuna de La Unión" u="1"/>
        <s v="Evolución del Ingreso Promedio Mensual por Etnia en la comuna de San Fabián" u="1"/>
        <s v="Evolución del Ingreso Promedio Mensual por Persona en la comuna de Cochrane" u="1"/>
        <s v="Ingreso Promedio Mensual al año 2017 por Etnia en la comuna de Maipú" u="1"/>
        <s v="Evolución del Ingreso Promedio Mensual por Persona en la comuna de Lota" u="1"/>
        <s v="Evolución del Ingreso Promedio Mensual por Alfabetismo en la comuna de Estación Central" u="1"/>
        <s v="Evolución del Ingreso Promedio Mensual por Etnia en la comuna de Linares" u="1"/>
        <s v="Evolución del Ingreso Promedio Mensual por Alfabetismo en la comuna de Colchane" u="1"/>
        <s v="Variación porcentual del Ingreso Promedio Mensual por Persona en la comuna de El Tabo" u="1"/>
        <s v="Evolución del Ingreso Promedio Mensual por Persona para Mujeres y Hombres en la comuna de Puqueldón" u="1"/>
        <s v="Comparativo de Ingreso Promedio Mensual entre personas con y sin alfabetización en la comuna de Pirque" u="1"/>
        <s v="Diferencial de Ingreso Promedio Mensual de Hombres según Alfabetismo en la comuna de Florida" u="1"/>
        <s v="Diferencial de Ingreso Promedio Mensual de Mujeres según Alfabetismo en la comuna de Florida" u="1"/>
        <s v="Comparativo de Ingreso Promedio Mensual entre personas con y sin alfabetización en la comuna de Laja" u="1"/>
        <s v="Diferencial de Ingreso Promedio Mensual de Hombres según Alfabetismo en la comuna de Linares" u="1"/>
        <s v="Diferencial de Ingreso Promedio Mensual de Mujeres según Alfabetismo en la comuna de Linares" u="1"/>
        <s v="Variación porcentual del Ingreso Promedio Mensual por Persona en la comuna de La Reina" u="1"/>
        <s v="Ingreso Promedio Mensual de Mujeres y Hombres en el año 2017 en la comuna de Pedro Aguirre Cerda" u="1"/>
        <s v="Comparativo de Ingreso Promedio Mensual entre personas con y sin alfabetización en la comuna de Corral" u="1"/>
        <s v="Evolución del Ingreso Promedio Mensual por Etnia en la comuna de Olivar" u="1"/>
        <s v="Evolución del Ingreso Promedio Mensual por Persona en la comuna de Río Negro" u="1"/>
        <s v="Variación porcentual del Ingreso Promedio Mensual por Persona en la comuna de Quinta Normal" u="1"/>
        <s v="Evolución del Ingreso Promedio Mensual por Persona para Mujeres y Hombres en la Región de Arica y Parinacota" u="1"/>
        <s v="Evolución del Ingreso Promedio Mensual por Persona en la comuna de Los Alamos" u="1"/>
        <s v="Variación del Ingreso Promedio Mensual por Etnia en la comuna de Llaillay" u="1"/>
        <s v="Evolución del Ingreso Promedio Mensual por Etnia en la comuna de San Miguel" u="1"/>
        <s v="Comparativo de Ingreso Promedio Mensual entre personas con y sin alfabetización en la comuna de Cabo de Hornos" u="1"/>
        <s v="Evolución del Ingreso Promedio Mensual por Alfabetismo en la comuna de Caldera" u="1"/>
        <s v="Comparativo de Ingreso Promedio Mensual entre personas con y sin alfabetización en la comuna de Cholchol" u="1"/>
        <s v="Evolución del Ingreso Promedio Mensual por Alfabetismo en la comuna de Cerrillos" u="1"/>
        <s v="Variación del Ingreso Promedio Mensual por Etnia en la comuna de La Pintana" u="1"/>
        <s v="Diferencial de Ingreso Promedio Mensual de Hombres según Alfabetismo en la comuna de Caldera" u="1"/>
        <s v="Diferencial de Ingreso Promedio Mensual de Hombres según Alfabetismo en la comuna de Mulchén" u="1"/>
        <s v="Diferencial de Ingreso Promedio Mensual de Mujeres según Alfabetismo en la comuna de Caldera" u="1"/>
        <s v="Diferencial de Ingreso Promedio Mensual de Mujeres según Alfabetismo en la comuna de Mulchén" u="1"/>
        <s v="Evolución del Ingreso Promedio Mensual por Etnia en la comuna de Gorbea" u="1"/>
        <s v="Variación del Ingreso Promedio Mensual por Etnia en la comuna de Pica" u="1"/>
        <s v="Evolución del Ingreso Promedio Mensual por Persona para Mujeres y Hombres en la comuna de Estación Central" u="1"/>
        <s v="Ingreso Promedio Mensual al año 2017 por Etnia en la comuna de Gorbea" u="1"/>
        <s v="Evolución del Ingreso Promedio Mensual por Etnia en la comuna de Quillota" u="1"/>
        <s v="Ingreso Promedio Mensual de Mujeres y Hombres en el año 2017 en la comuna de Juan Fernández" u="1"/>
        <s v="Comparativo de Ingreso Promedio Mensual entre personas con y sin alfabetización en la Región de Arica y Parinacota" u="1"/>
        <s v="Evolución del Ingreso Promedio Mensual por Persona para Mujeres y Hombres en la comuna de Colchane" u="1"/>
        <s v="Comparativo de Ingreso Promedio Mensual entre personas con y sin alfabetización en la comuna de Taltal" u="1"/>
        <s v="Evolución del Ingreso Promedio Mensual por Persona en la comuna de Chépica" u="1"/>
        <s v="Comparativo de Ingreso Promedio Mensual entre personas con y sin alfabetización en la comuna de Arauco" u="1"/>
        <s v="Ingreso Promedio Mensual al año 2017 por Etnia en la comuna de Villarrica" u="1"/>
        <s v="Ingreso Promedio Mensual al año 2017 por Etnia en la comuna de Quinchao" u="1"/>
        <s v="Ingreso Promedio Mensual de Mujeres y Hombres en el año 2017 en la comuna de Maipú" u="1"/>
        <s v="Diferencial de Ingreso Promedio Mensual de Hombres según Alfabetismo en la comuna de Cochrane" u="1"/>
        <s v="Diferencial de Ingreso Promedio Mensual de Mujeres según Alfabetismo en la comuna de Cochrane" u="1"/>
        <s v="Diferencial de Ingreso Promedio Mensual de Hombres según Alfabetismo en la comuna de San Clemente" u="1"/>
        <s v="Diferencial de Ingreso Promedio Mensual de Mujeres según Alfabetismo en la comuna de San Clemente" u="1"/>
        <s v="Ingreso Promedio Mensual al año 2017 por Etnia en la comuna de Rengo" u="1"/>
        <s v="Ingreso Promedio Mensual de Mujeres y Hombres en el año 2017 en la comuna de Guaitecas" u="1"/>
        <s v="Variación del Ingreso Promedio Mensual por Etnia en la comuna de Purranque" u="1"/>
        <s v="Evolución del Ingreso Promedio Mensual por Alfabetismo en la comuna de Natales" u="1"/>
        <s v="Evolución del Ingreso Promedio Mensual por Alfabetismo en la comuna de Paredones" u="1"/>
        <s v="Ingreso Promedio Mensual al año 2017 por Etnia en la Región de Arica y Parinacota" u="1"/>
        <s v="Ingreso Promedio Mensual de Mujeres y Hombres en el año 2017 en la comuna de Copiapó" u="1"/>
        <s v="Variación del Ingreso Promedio Mensual por Etnia en la comuna de Ovalle" u="1"/>
        <s v="Variación porcentual del Ingreso Promedio Mensual por Persona en la comuna de Queilén" u="1"/>
        <s v="Ingreso Promedio Mensual de Mujeres y Hombres en el año 2017 en la comuna de Llanquihue" u="1"/>
        <s v="Evolución del Ingreso Promedio Mensual por Alfabetismo en la comuna de Arica" u="1"/>
        <s v="Variación del Ingreso Promedio Mensual por Etnia en la comuna de Alto del Carmen" u="1"/>
        <s v="Variación porcentual del Ingreso Promedio Mensual por Persona en la comuna de Malloa" u="1"/>
        <s v="Ingreso Promedio Mensual al año 2017 por Etnia en la comuna de Guaitecas" u="1"/>
        <s v="Evolución del Ingreso Promedio Mensual por Alfabetismo en la comuna de Pica" u="1"/>
        <s v="Evolución del Ingreso Promedio Mensual por Alfabetismo en la comuna de Chonchi" u="1"/>
        <s v="Ingreso Promedio Mensual de Mujeres y Hombres en el año 2017 en la comuna de Palena" u="1"/>
        <s v="Evolución del Ingreso Promedio Mensual por Persona para Mujeres y Hombres en la comuna de Caldera" u="1"/>
        <s v="Ingreso Promedio Mensual al año 2017 por Etnia en la comuna de Purén" u="1"/>
        <s v="Ingreso Promedio Mensual de Mujeres y Hombres en el año 2017 en la comuna de Tomé" u="1"/>
        <s v="Evolución del Ingreso Promedio Mensual por Persona para Mujeres y Hombres en la comuna de Cerrillos" u="1"/>
        <s v="Variación del Ingreso Promedio Mensual por Etnia en la comuna de Teno" u="1"/>
        <s v="Variación del Ingreso Promedio Mensual por Etnia en la comuna de Mostazal" u="1"/>
        <s v="Evolución del Ingreso Promedio Mensual por Alfabetismo en la Región del Biobío" u="1"/>
        <s v="Ingreso Promedio Mensual de Mujeres y Hombres en el año 2017 en la comuna de Sagrada Familia" u="1"/>
        <s v="Comparativo de Ingreso Promedio Mensual entre personas con y sin alfabetización en la comuna de Putre" u="1"/>
        <s v="Diferencial de Ingreso Promedio Mensual de Hombres según Alfabetismo en la comuna de Tierra Amarilla" u="1"/>
        <s v="Diferencial de Ingreso Promedio Mensual de Mujeres según Alfabetismo en la comuna de Tierra Amarilla" u="1"/>
        <s v="Evolución del Ingreso Promedio Mensual por Etnia en la comuna de Huechuraba" u="1"/>
        <s v="Diferencial de Ingreso Promedio Mensual de Hombres según Alfabetismo en la comuna de Padre las Casas" u="1"/>
        <s v="Diferencial de Ingreso Promedio Mensual de Mujeres según Alfabetismo en la comuna de Padre las Casas" u="1"/>
        <s v="Ingreso Promedio Mensual de Mujeres y Hombres en el año 2017 en la comuna de Lolol" u="1"/>
        <s v="Diferencial de Ingreso Promedio Mensual de Hombres según Alfabetismo en la comuna de Licantén" u="1"/>
        <s v="Diferencial de Ingreso Promedio Mensual de Mujeres según Alfabetismo en la comuna de Licantén" u="1"/>
        <s v="Ingreso Promedio Mensual al año 2017 por Etnia en la comuna de Renca" u="1"/>
        <s v="Evolución del Ingreso Promedio Mensual por Persona para Mujeres y Hombres en la comuna de Natales" u="1"/>
        <s v="Comparativo de Ingreso Promedio Mensual entre personas con y sin alfabetización en la comuna de Quilleco" u="1"/>
        <s v="Evolución del Ingreso Promedio Mensual por Persona para Mujeres y Hombres en la comuna de Paredones" u="1"/>
        <s v="Diferencial de Ingreso Promedio Mensual de Hombres según Alfabetismo en la comuna de Alhué" u="1"/>
        <s v="Diferencial de Ingreso Promedio Mensual de Mujeres según Alfabetismo en la comuna de Alhué" u="1"/>
        <s v="Evolución del Ingreso Promedio Mensual por Etnia en la comuna de Chiguayante" u="1"/>
        <s v="Variación porcentual del Ingreso Promedio Mensual por Persona en la comuna de Maule" u="1"/>
        <s v="Variación porcentual del Ingreso Promedio Mensual por Persona en la Región de Maule" u="1"/>
        <s v="Variación del Ingreso Promedio Mensual por Etnia en la comuna de Chillán" u="1"/>
        <s v="Evolución del Ingreso Promedio Mensual por Persona para Mujeres y Hombres en la comuna de Arica" u="1"/>
        <s v="Evolución del Ingreso Promedio Mensual por Etnia en la comuna de San Gregorio" u="1"/>
        <s v="Ingreso Promedio Mensual de Mujeres y Hombres en el año 2017 en la comuna de Chillán" u="1"/>
        <s v="Ingreso Promedio Mensual de Mujeres y Hombres en el año 2017 en la comuna de Illapel" u="1"/>
        <s v="Evolución del Ingreso Promedio Mensual por Persona para Mujeres y Hombres en la comuna de Pica" u="1"/>
        <s v="Evolución del Ingreso Promedio Mensual por Persona para Mujeres y Hombres en la comuna de Chonchi" u="1"/>
        <s v="Comparativo de Ingreso Promedio Mensual entre personas con y sin alfabetización en la comuna de María Elena" u="1"/>
        <s v="Variación del Ingreso Promedio Mensual por Etnia en la comuna de Tiltil" u="1"/>
        <s v="Comparativo de Ingreso Promedio Mensual entre personas con y sin alfabetización en la comuna de Puchuncaví" u="1"/>
        <s v="Ingreso Promedio Mensual de Mujeres y Hombres en el año 2017 en la comuna de Timaukel" u="1"/>
        <s v="Ingreso Promedio Mensual al año 2017 por Etnia en la comuna de Chillán" u="1"/>
        <s v="Evolución del Ingreso Promedio Mensual por Persona para Mujeres y Hombres en la Región del Biobío" u="1"/>
        <s v="Comparativo de Ingreso Promedio Mensual entre personas con y sin alfabetización en la comuna de Malloa" u="1"/>
        <s v="Ingreso Promedio Mensual al año 2017 por Etnia en la comuna de Coelemu" u="1"/>
        <s v="Variación del Ingreso Promedio Mensual por Etnia en la comuna de Putaendo" u="1"/>
        <s v="Evolución del Ingreso Promedio Mensual por Persona en la comuna de Juan Fernández" u="1"/>
        <s v="Ingreso Promedio Mensual de Mujeres y Hombres en el año 2017 en la comuna de Tortel" u="1"/>
        <s v="Ingreso Promedio Mensual de Mujeres y Hombres en el año 2017 en la comuna de Providencia" u="1"/>
        <s v="Evolución del Ingreso Promedio Mensual por Etnia en la comuna de Longaví" u="1"/>
        <s v="Ingreso Promedio Mensual de Mujeres y Hombres en el año 2017 en la comuna de Curepto" u="1"/>
        <s v="Diferencial de Ingreso Promedio Mensual de Hombres según Alfabetismo en la comuna de Mejillones" u="1"/>
        <s v="Diferencial de Ingreso Promedio Mensual de Mujeres según Alfabetismo en la comuna de Mejillones" u="1"/>
        <s v="Ingreso Promedio Mensual al año 2017 por Etnia en la comuna de Lumaco" u="1"/>
        <s v="Variación del Ingreso Promedio Mensual por Etnia en la comuna de Río Verde" u="1"/>
        <s v="Variación del Ingreso Promedio Mensual por Etnia en la comuna de O'Higgins" u="1"/>
        <s v="Variación del Ingreso Promedio Mensual por Etnia en la Región de O'Higgins" u="1"/>
        <s v="Evolución del Ingreso Promedio Mensual por Persona en la comuna de Empedrado" u="1"/>
        <s v="Evolución del Ingreso Promedio Mensual por Alfabetismo en la comuna de Litueche" u="1"/>
        <s v="Evolución del Ingreso Promedio Mensual por Alfabetismo en la comuna de Cartagena" u="1"/>
        <s v="Diferencial de Ingreso Promedio Mensual de Hombres según Alfabetismo en la comuna de Las Cabras" u="1"/>
        <s v="Diferencial de Ingreso Promedio Mensual de Mujeres según Alfabetismo en la comuna de Las Cabras" u="1"/>
        <s v="Comparativo de Ingreso Promedio Mensual entre personas con y sin alfabetización en la comuna de Maullín" u="1"/>
        <s v="Evolución del Ingreso Promedio Mensual por Persona en la comuna de Vitacura" u="1"/>
        <s v="Ingreso Promedio Mensual de Mujeres y Hombres en el año 2017 en la comuna de Parral" u="1"/>
        <s v="Comparativo de Ingreso Promedio Mensual entre personas con y sin alfabetización en la comuna de Puyehue" u="1"/>
        <s v="Diferencial de Ingreso Promedio Mensual de Hombres según Alfabetismo en la comuna de María Elena" u="1"/>
        <s v="Diferencial de Ingreso Promedio Mensual de Mujeres según Alfabetismo en la comuna de María Elena" u="1"/>
        <s v="Ingreso Promedio Mensual al año 2017 por Etnia en la Región de La Araucanía" u="1"/>
        <s v="Evolución del Ingreso Promedio Mensual por Etnia en la comuna de María Pinto" u="1"/>
        <s v="Evolución del Ingreso Promedio Mensual por Persona en la comuna de Antofagasta" u="1"/>
        <s v="Evolución del Ingreso Promedio Mensual por Persona en la comuna de Chanco" u="1"/>
        <s v="Evolución del Ingreso Promedio Mensual por Alfabetismo en la comuna de El Monte" u="1"/>
        <s v="Comparativo de Ingreso Promedio Mensual entre personas con y sin alfabetización en la comuna de Quilaco" u="1"/>
        <s v="Ingreso Promedio Mensual al año 2017 por Etnia en la comuna de Linares" u="1"/>
        <s v="Evolución del Ingreso Promedio Mensual por Persona en la comuna de La Unión" u="1"/>
        <s v="Ingreso Promedio Mensual al año 2017 por Etnia en la comuna de Alto Hospicio" u="1"/>
        <s v="Evolución del Ingreso Promedio Mensual por Alfabetismo en la comuna de Alto Hospicio" u="1"/>
        <s v="Ingreso Promedio Mensual de Mujeres y Hombres en el año 2017 en la comuna de Los Andes" u="1"/>
        <s v="Variación porcentual del Ingreso Promedio Mensual por Persona en la comuna de Los Andes" u="1"/>
        <s v="Ingreso Promedio Mensual al año 2017 por Etnia en la comuna de Tucapel" u="1"/>
        <s v="Evolución del Ingreso Promedio Mensual por Etnia en la comuna de Camarones" u="1"/>
        <s v="Ingreso Promedio Mensual al año 2017 por Etnia en la comuna de Placilla" u="1"/>
        <s v="Evolución del Ingreso Promedio Mensual por Alfabetismo en la comuna de Victoria" u="1"/>
        <s v="Ingreso Promedio Mensual de Mujeres y Hombres en el año 2017 en la comuna de Renaico" u="1"/>
        <s v="Ingreso Promedio Mensual al año 2017 por Etnia en la comuna de Rauco" u="1"/>
        <s v="Evolución del Ingreso Promedio Mensual por Persona en la comuna de Torres del Paine" u="1"/>
        <s v="Ingreso Promedio Mensual de Mujeres y Hombres en el año 2017 en la comuna de Quilpué" u="1"/>
        <s v="Comparativo de Ingreso Promedio Mensual entre personas con y sin alfabetización en la comuna de Vicuña" u="1"/>
        <s v="Variación del Ingreso Promedio Mensual por Etnia en la comuna de Romeral" u="1"/>
        <s v="Variación del Ingreso Promedio Mensual por Etnia en la comuna de Bulnes" u="1"/>
        <s v="Evolución del Ingreso Promedio Mensual por Alfabetismo en la comuna de Tortel" u="1"/>
        <s v="Ingreso Promedio Mensual al año 2017 por Etnia en la comuna de Quemchi" u="1"/>
        <s v="Evolución del Ingreso Promedio Mensual por Alfabetismo en la comuna de Valdivia" u="1"/>
        <s v="Ingreso Promedio Mensual de Mujeres y Hombres en el año 2017 en la comuna de Dalcahue" u="1"/>
        <s v="Variación porcentual del Ingreso Promedio Mensual por Persona en la comuna de Peñalolén" u="1"/>
        <s v="Comparativo de Ingreso Promedio Mensual entre personas con y sin alfabetización en la comuna de El Monte" u="1"/>
        <s v="Evolución del Ingreso Promedio Mensual por Persona en la comuna de Talcahuano" u="1"/>
        <s v="Ingreso Promedio Mensual al año 2017 por Etnia en la comuna de Quellón" u="1"/>
        <s v="Ingreso Promedio Mensual al año 2017 por Etnia en la comuna de Paillaco" u="1"/>
        <s v="Evolución del Ingreso Promedio Mensual por Persona para Mujeres y Hombres en la comuna de Litueche" u="1"/>
        <s v="Evolución del Ingreso Promedio Mensual por Persona para Mujeres y Hombres en la comuna de Cartagena" u="1"/>
        <s v="Evolución del Ingreso Promedio Mensual por Alfabetismo en la comuna de Chillán Viejo" u="1"/>
        <s v="Diferencial de Ingreso Promedio Mensual de Hombres según Alfabetismo en la comuna de Coltauco" u="1"/>
        <s v="Diferencial de Ingreso Promedio Mensual de Mujeres según Alfabetismo en la comuna de Coltauco" u="1"/>
        <s v="Variación del Ingreso Promedio Mensual por Etnia en la comuna de Laja" u="1"/>
        <s v="Ingreso Promedio Mensual al año 2017 por Etnia en la comuna de Camarones" u="1"/>
        <s v="Comparativo de Ingreso Promedio Mensual entre personas con y sin alfabetización en la comuna de El Carmen" u="1"/>
        <s v="Ingreso Promedio Mensual de Mujeres y Hombres en el año 2017 en la comuna de San Rafael" u="1"/>
        <s v="Evolución del Ingreso Promedio Mensual por Persona para Mujeres y Hombres en la comuna de El Monte" u="1"/>
        <s v="Evolución del Ingreso Promedio Mensual por Persona en la comuna de Mulchén" u="1"/>
        <s v="Evolución del Ingreso Promedio Mensual por Alfabetismo en la comuna de Recoleta" u="1"/>
        <s v="Comparativo de Ingreso Promedio Mensual entre personas con y sin alfabetización en la comuna de Colina" u="1"/>
        <s v="Evolución del Ingreso Promedio Mensual por Persona para Mujeres y Hombres en la comuna de Alto Hospicio" u="1"/>
        <s v="Variación del Ingreso Promedio Mensual por Etnia en la comuna de Illapel" u="1"/>
        <s v="Diferencial de Ingreso Promedio Mensual de Hombres según Alfabetismo en la comuna de Maipú" u="1"/>
        <s v="Diferencial de Ingreso Promedio Mensual de Mujeres según Alfabetismo en la comuna de Maipú" u="1"/>
        <s v="Evolución del Ingreso Promedio Mensual por Alfabetismo en la comuna de Constitución" u="1"/>
        <s v="Diferencial de Ingreso Promedio Mensual de Hombres según Alfabetismo en la comuna de Chonchi" u="1"/>
        <s v="Diferencial de Ingreso Promedio Mensual de Mujeres según Alfabetismo en la comuna de Chonchi" u="1"/>
        <s v="Evolución del Ingreso Promedio Mensual por Persona para Mujeres y Hombres en la comuna de Victoria" u="1"/>
        <s v="Ingreso Promedio Mensual al año 2017 por Etnia en la comuna de Taltal" u="1"/>
        <s v="Evolución del Ingreso Promedio Mensual por Etnia en la comuna de San Felipe" u="1"/>
        <s v="Variación porcentual del Ingreso Promedio Mensual por Persona en la comuna de Caldera" u="1"/>
        <s v="Ingreso Promedio Mensual al año 2017 por Etnia en la comuna de Pinto" u="1"/>
        <s v="Ingreso Promedio Mensual de Mujeres y Hombres en el año 2017 en la comuna de Maule" u="1"/>
        <s v="Ingreso Promedio Mensual de Mujeres y Hombres en el año 2017 en la Región de Maule" u="1"/>
        <s v="Evolución del Ingreso Promedio Mensual por Persona para Mujeres y Hombres en la comuna de Tortel" u="1"/>
        <s v="Evolución del Ingreso Promedio Mensual por Etnia en la comuna de Yungay" u="1"/>
        <s v="Evolución del Ingreso Promedio Mensual por Persona en la comuna de Cabildo" u="1"/>
        <s v="Comparativo de Ingreso Promedio Mensual entre personas con y sin alfabetización en la comuna de Canela" u="1"/>
        <s v="Comparativo de Ingreso Promedio Mensual entre personas con y sin alfabetización en la comuna de Temuco" u="1"/>
        <s v="Evolución del Ingreso Promedio Mensual por Alfabetismo en la comuna de Pelluhue" u="1"/>
        <s v="Variación porcentual del Ingreso Promedio Mensual por Persona en la comuna de Monte Patria" u="1"/>
        <s v="Evolución del Ingreso Promedio Mensual por Persona para Mujeres y Hombres en la comuna de Valdivia" u="1"/>
        <s v="Comparativo de Ingreso Promedio Mensual entre personas con y sin alfabetización en la comuna de Tirúa" u="1"/>
        <s v="Variación del Ingreso Promedio Mensual por Etnia en la comuna de Curacaví" u="1"/>
        <s v="Variación del Ingreso Promedio Mensual por Etnia en la comuna de Ñuñoa" u="1"/>
        <s v="Diferencial de Ingreso Promedio Mensual de Hombres según Alfabetismo en la comuna de Toltén" u="1"/>
        <s v="Diferencial de Ingreso Promedio Mensual de Mujeres según Alfabetismo en la comuna de Toltén" u="1"/>
        <s v="Variación del Ingreso Promedio Mensual por Etnia en la comuna de Antuco" u="1"/>
        <s v="Ingreso Promedio Mensual al año 2017 por Etnia en la comuna de Punitaqui" u="1"/>
        <s v="Evolución del Ingreso Promedio Mensual por Persona en la comuna de Quinchao" u="1"/>
        <s v="Diferencial de Ingreso Promedio Mensual de Hombres según Alfabetismo en la comuna de Chillán Viejo" u="1"/>
        <s v="Diferencial de Ingreso Promedio Mensual de Mujeres según Alfabetismo en la comuna de Chillán Viejo" u="1"/>
        <s v="Evolución del Ingreso Promedio Mensual por Alfabetismo en la comuna de Arauco" u="1"/>
        <s v="Ingreso Promedio Mensual al año 2017 por Etnia en la comuna de Los Alamos" u="1"/>
        <s v="Variación del Ingreso Promedio Mensual por Etnia en la comuna de Pumanque" u="1"/>
        <s v="Evolución del Ingreso Promedio Mensual por Persona para Mujeres y Hombres en la comuna de Chillán Viejo" u="1"/>
        <s v="Diferencial de Ingreso Promedio Mensual de Hombres según Alfabetismo en la comuna de Copiapó" u="1"/>
        <s v="Diferencial de Ingreso Promedio Mensual de Mujeres según Alfabetismo en la comuna de Copiapó" u="1"/>
        <s v="Diferencial de Ingreso Promedio Mensual de Hombres según Alfabetismo en la comuna de Longaví" u="1"/>
        <s v="Diferencial de Ingreso Promedio Mensual de Mujeres según Alfabetismo en la comuna de Longaví" u="1"/>
        <s v="Comparativo de Ingreso Promedio Mensual entre personas con y sin alfabetización en la comuna de Rengo" u="1"/>
        <s v="Evolución del Ingreso Promedio Mensual por Alfabetismo en la comuna de Cochrane" u="1"/>
        <s v="Comparativo de Ingreso Promedio Mensual entre personas con y sin alfabetización en la comuna de Placilla" u="1"/>
        <s v="Evolución del Ingreso Promedio Mensual por Persona para Mujeres y Hombres en la comuna de Recoleta" u="1"/>
        <s v="Variación del Ingreso Promedio Mensual por Etnia en la comuna de Buin" u="1"/>
        <s v="Comparativo de Ingreso Promedio Mensual entre personas con y sin alfabetización en la comuna de Padre las Casas" u="1"/>
        <s v="Evolución del Ingreso Promedio Mensual por Alfabetismo en la comuna de Cisnes" u="1"/>
        <s v="Variación porcentual del Ingreso Promedio Mensual por Persona en la comuna de Codegua" u="1"/>
        <s v="Variación porcentual del Ingreso Promedio Mensual por Persona en la comuna de Quilaco" u="1"/>
        <s v="Evolución del Ingreso Promedio Mensual por Persona para Mujeres y Hombres en la comuna de Constitución" u="1"/>
        <s v="Variación porcentual del Ingreso Promedio Mensual por Persona en la comuna de Nacimiento" u="1"/>
        <s v="Ingreso Promedio Mensual al año 2017 por Etnia en la comuna de Colbún" u="1"/>
        <s v="Evolución del Ingreso Promedio Mensual por Etnia en la comuna de Pelluhue" u="1"/>
        <s v="Evolución del Ingreso Promedio Mensual por Persona en la comuna de Putaendo" u="1"/>
        <s v="Evolución del Ingreso Promedio Mensual por Alfabetismo en la comuna de Queilén" u="1"/>
        <s v="Evolución del Ingreso Promedio Mensual por Persona en la comuna de Coihueco" u="1"/>
        <s v="Comparativo de Ingreso Promedio Mensual entre personas con y sin alfabetización en la comuna de Lebu" u="1"/>
        <s v="Ingreso Promedio Mensual de Mujeres y Hombres en el año 2017 en la comuna de Rauco" u="1"/>
        <s v="Comparativo de Ingreso Promedio Mensual entre personas con y sin alfabetización en la comuna de Río Verde" u="1"/>
        <s v="Variación del Ingreso Promedio Mensual por Etnia en la comuna de Cartagena" u="1"/>
        <s v="Variación del Ingreso Promedio Mensual por Etnia en la comuna de Frutillar" u="1"/>
        <s v="Evolución del Ingreso Promedio Mensual por Alfabetismo en la comuna de Pitrufquén" u="1"/>
        <s v="Ingreso Promedio Mensual de Mujeres y Hombres en el año 2017 en la comuna de Macul" u="1"/>
        <s v="Ingreso Promedio Mensual de Mujeres y Hombres en el año 2017 en la comuna de Purén" u="1"/>
        <s v="Ingreso Promedio Mensual de Mujeres y Hombres en el año 2017 en la comuna de Pencahue" u="1"/>
        <s v="Evolución del Ingreso Promedio Mensual por Persona para Mujeres y Hombres en la comuna de Pelluhue" u="1"/>
        <s v="Diferencial de Ingreso Promedio Mensual de Hombres según Alfabetismo en la comuna de Calama" u="1"/>
        <s v="Diferencial de Ingreso Promedio Mensual de Mujeres según Alfabetismo en la comuna de Calama" u="1"/>
        <s v="Evolución del Ingreso Promedio Mensual por Persona en la comuna de Corral" u="1"/>
        <s v="Diferencial de Ingreso Promedio Mensual de Hombres según Alfabetismo en la comuna de Palena" u="1"/>
        <s v="Diferencial de Ingreso Promedio Mensual de Mujeres según Alfabetismo en la comuna de Palena" u="1"/>
        <s v="Comparativo de Ingreso Promedio Mensual entre personas con y sin alfabetización en la comuna de Pelarco" u="1"/>
        <s v="Variación del Ingreso Promedio Mensual por Etnia en la comuna de San Carlos" u="1"/>
        <s v="Ingreso Promedio Mensual al año 2017 por Etnia en la comuna de Laguna Blanca" u="1"/>
        <s v="Evolución del Ingreso Promedio Mensual por Persona para Mujeres y Hombres en la comuna de Arauco" u="1"/>
        <s v="Evolución del Ingreso Promedio Mensual por Persona en la comuna de Ñuñoa" u="1"/>
        <s v="Evolución del Ingreso Promedio Mensual por Alfabetismo en la comuna de Tirúa" u="1"/>
        <s v="Diferencial de Ingreso Promedio Mensual de Hombres según Alfabetismo en la comuna de Quillón" u="1"/>
        <s v="Diferencial de Ingreso Promedio Mensual de Mujeres según Alfabetismo en la comuna de Quillón" u="1"/>
        <s v="Ingreso Promedio Mensual al año 2017 por Etnia en la comuna de Algarrobo" u="1"/>
        <s v="Evolución del Ingreso Promedio Mensual por Etnia en la comuna de Nueva Imperial" u="1"/>
        <s v="Diferencial de Ingreso Promedio Mensual de Hombres según Alfabetismo en la comuna de Navidad" u="1"/>
        <s v="Diferencial de Ingreso Promedio Mensual de Mujeres según Alfabetismo en la comuna de Navidad" u="1"/>
        <s v="Comparativo de Ingreso Promedio Mensual entre personas con y sin alfabetización en la comuna de Conchalí" u="1"/>
        <s v="Ingreso Promedio Mensual al año 2017 por Etnia en la comuna de Cunco" u="1"/>
        <s v="Variación del Ingreso Promedio Mensual por Etnia en la comuna de Tocopilla" u="1"/>
        <s v="Variación porcentual del Ingreso Promedio Mensual por Persona en la comuna de La Florida" u="1"/>
        <s v="Variación porcentual del Ingreso Promedio Mensual por Persona en la comuna de Juan Fernández" u="1"/>
        <s v="Evolución del Ingreso Promedio Mensual por Persona para Mujeres y Hombres en la comuna de Cochrane" u="1"/>
        <s v="Diferencial de Ingreso Promedio Mensual de Hombres según Alfabetismo en la comuna de Castro" u="1"/>
        <s v="Diferencial de Ingreso Promedio Mensual de Mujeres según Alfabetismo en la comuna de Castro" u="1"/>
        <s v="Ingreso Promedio Mensual de Mujeres y Hombres en el año 2017 en la comuna de Melipilla" u="1"/>
        <s v="Evolución del Ingreso Promedio Mensual por Persona para Mujeres y Hombres en la comuna de Cisnes" u="1"/>
        <s v="Comparativo de Ingreso Promedio Mensual entre personas con y sin alfabetización en la comuna de Puerto Montt" u="1"/>
        <s v="Evolución del Ingreso Promedio Mensual por Persona en la comuna de Hualqui" u="1"/>
        <s v="Diferencial de Ingreso Promedio Mensual de Hombres según Alfabetismo en la comuna de Tomé" u="1"/>
        <s v="Diferencial de Ingreso Promedio Mensual de Mujeres según Alfabetismo en la comuna de Tomé" u="1"/>
        <s v="Comparativo de Ingreso Promedio Mensual entre personas con y sin alfabetización en la comuna de Pemuco" u="1"/>
        <s v="Diferencial de Ingreso Promedio Mensual de Hombres según Alfabetismo en la comuna de Codegua" u="1"/>
        <s v="Diferencial de Ingreso Promedio Mensual de Mujeres según Alfabetismo en la comuna de Codegua" u="1"/>
        <s v="Evolución del Ingreso Promedio Mensual por Alfabetismo en la comuna de San Pedro" u="1"/>
        <s v="Evolución del Ingreso Promedio Mensual por Persona para Mujeres y Hombres en la comuna de Queilén" u="1"/>
        <s v="Evolución del Ingreso Promedio Mensual por Etnia en la comuna de Lautaro" u="1"/>
        <s v="Evolución del Ingreso Promedio Mensual por Persona en la comuna de Arauco" u="1"/>
        <s v="Variación del Ingreso Promedio Mensual por Etnia en la comuna de Pencahue" u="1"/>
        <s v="Ingreso Promedio Mensual de Mujeres y Hombres en el año 2017 en la comuna de Galvarino" u="1"/>
        <s v="Diferencial de Ingreso Promedio Mensual de Hombres según Alfabetismo en la comuna de Iquique" u="1"/>
        <s v="Diferencial de Ingreso Promedio Mensual de Mujeres según Alfabetismo en la comuna de Iquique" u="1"/>
        <s v="Variación porcentual del Ingreso Promedio Mensual por Persona  a Escala Nacional" u="1"/>
        <s v="Variación porcentual del Ingreso Promedio Mensual por Persona en la comuna de Tirúa" u="1"/>
        <s v="Evolución del Ingreso Promedio Mensual por Persona para Mujeres y Hombres en la comuna de Pitrufquén" u="1"/>
        <s v="Evolución del Ingreso Promedio Mensual por Alfabetismo en la comuna de Puente Alto" u="1"/>
        <s v="Comparativo de Ingreso Promedio Mensual entre personas con y sin alfabetización en la comuna de Los Lagos" u="1"/>
        <s v="Comparativo de Ingreso Promedio Mensual entre personas con y sin alfabetización en la Región de Los Lagos" u="1"/>
        <s v="Variación del Ingreso Promedio Mensual por Etnia en la comuna de Futaleufú" u="1"/>
        <s v="Variación porcentual del Ingreso Promedio Mensual por Persona en la comuna de Porvenir" u="1"/>
        <s v="Variación porcentual del Ingreso Promedio Mensual por Persona en la comuna de Río Ibáñez" u="1"/>
        <s v="Evolución del Ingreso Promedio Mensual por Persona para Mujeres y Hombres en la comuna de Tirúa" u="1"/>
        <s v="Diferencial de Ingreso Promedio Mensual de Hombres según Alfabetismo en la comuna de Cartagena" u="1"/>
        <s v="Diferencial de Ingreso Promedio Mensual de Mujeres según Alfabetismo en la comuna de Cartagena" u="1"/>
        <s v="Ingreso Promedio Mensual al año 2017 por Etnia en la comuna de Lebu" u="1"/>
        <s v="Evolución del Ingreso Promedio Mensual por Persona en la comuna de Peumo" u="1"/>
        <s v="Diferencial de Ingreso Promedio Mensual de Hombres según Alfabetismo en la comuna de Curacautín" u="1"/>
        <s v="Diferencial de Ingreso Promedio Mensual de Mujeres según Alfabetismo en la comuna de Curacautín" u="1"/>
        <s v="Ingreso Promedio Mensual al año 2017 por Etnia en la comuna de Penco" u="1"/>
        <s v="Variación porcentual del Ingreso Promedio Mensual por Persona en la comuna de Pichilemu" u="1"/>
        <s v="Variación del Ingreso Promedio Mensual por Etnia en la comuna de Machalí" u="1"/>
        <s v="Evolución del Ingreso Promedio Mensual por Etnia en la comuna de Andacollo" u="1"/>
        <s v="Ingreso Promedio Mensual al año 2017 por Etnia en la comuna de Concón" u="1"/>
        <s v="Variación del Ingreso Promedio Mensual por Etnia en la comuna de Pucón" u="1"/>
        <s v="Comparativo de Ingreso Promedio Mensual entre personas con y sin alfabetización en la comuna de Torres del Paine" u="1"/>
        <s v="Evolución del Ingreso Promedio Mensual por Alfabetismo en la comuna de Santo Domingo" u="1"/>
        <s v="Evolución del Ingreso Promedio Mensual por Persona para Mujeres y Hombres en la comuna de San Pedro" u="1"/>
        <s v="Ingreso Promedio Mensual al año 2017 por Etnia en la comuna de Recoleta" u="1"/>
        <s v="Evolución del Ingreso Promedio Mensual por Etnia en la comuna de Sagrada Familia" u="1"/>
        <s v="Comparativo de Ingreso Promedio Mensual entre personas con y sin alfabetización en la Región de Ñuble" u="1"/>
        <s v="Comparativo de Ingreso Promedio Mensual entre personas con y sin alfabetización en la comuna de Puente Alto" u="1"/>
        <s v="Evolución del Ingreso Promedio Mensual por Alfabetismo en la comuna de Chillán" u="1"/>
        <s v="Ingreso Promedio Mensual de Mujeres y Hombres en el año 2017 en la comuna de Río Ibáñez" u="1"/>
        <s v="Ingreso Promedio Mensual de Mujeres y Hombres en el año 2017 en la comuna de Cauquenes" u="1"/>
        <s v="Evolución del Ingreso Promedio Mensual por Persona para Mujeres y Hombres en la comuna de Puente Alto" u="1"/>
        <s v="Ingreso Promedio Mensual al año 2017 por Etnia en la comuna de La Pintana" u="1"/>
        <s v="Comparativo de Ingreso Promedio Mensual entre personas con y sin alfabetización en la comuna de Ollagüe" u="1"/>
        <s v="Ingreso Promedio Mensual al año 2017 por Etnia en la comuna de Pudahuel" u="1"/>
        <s v="Variación del Ingreso Promedio Mensual por Etnia en la comuna de Cabrero" u="1"/>
        <s v="Evolución del Ingreso Promedio Mensual por Etnia en la comuna de Yumbel" u="1"/>
        <s v="Ingreso Promedio Mensual al año 2017 por Etnia en la comuna de Quinta Normal" u="1"/>
        <s v="Evolución del Ingreso Promedio Mensual por Alfabetismo en la comuna de Coelemu" u="1"/>
        <s v="Evolución del Ingreso Promedio Mensual por Alfabetismo en la comuna de Romeral" u="1"/>
        <s v="Ingreso Promedio Mensual de Mujeres y Hombres en el año 2017 en la comuna de Cobquecura" u="1"/>
        <s v="Evolución del Ingreso Promedio Mensual por Alfabetismo en la comuna de El Bosque" u="1"/>
        <s v="Diferencial de Ingreso Promedio Mensual de Hombres según Alfabetismo en la comuna de Lolol" u="1"/>
        <s v="Diferencial de Ingreso Promedio Mensual de Mujeres según Alfabetismo en la comuna de Lolol" u="1"/>
        <s v="Evolución del Ingreso Promedio Mensual por Etnia en la comuna de Puchuncaví" u="1"/>
        <s v="Evolución del Ingreso Promedio Mensual por Persona en la comuna de Vichuquén" u="1"/>
        <s v="Evolución del Ingreso Promedio Mensual por Alfabetismo en la Región Metropolitana" u="1"/>
        <s v="Evolución del Ingreso Promedio Mensual por Etnia en la comuna de Calle Larga" u="1"/>
        <s v="Evolución del Ingreso Promedio Mensual por Persona para Mujeres y Hombres en la comuna de Santo Domingo" u="1"/>
        <s v="Evolución del Ingreso Promedio Mensual por Alfabetismo en la comuna de Calbuco" u="1"/>
        <s v="Evolución del Ingreso Promedio Mensual por Persona en la comuna de Curaco de Vélez" u="1"/>
        <s v="Comparativo de Ingreso Promedio Mensual entre personas con y sin alfabetización en la comuna de Casablanca" u="1"/>
        <s v="Ingreso Promedio Mensual al año 2017 por Etnia en la comuna de Pumanque" u="1"/>
        <s v="Ingreso Promedio Mensual al año 2017 por Etnia en la comuna de Lonquimay" u="1"/>
        <s v="Evolución del Ingreso Promedio Mensual por Etnia en la comuna de San Juan de La Costa" u="1"/>
        <s v="Evolución del Ingreso Promedio Mensual por Persona para Mujeres y Hombres en la comuna de Chillán" u="1"/>
        <s v="Evolución del Ingreso Promedio Mensual por Etnia en la comuna de Peumo" u="1"/>
        <s v="Ingreso Promedio Mensual al año 2017 por Etnia en la comuna de La Ligua" u="1"/>
        <s v="Variación porcentual del Ingreso Promedio Mensual por Persona en la comuna de Pirque" u="1"/>
        <s v="Variación del Ingreso Promedio Mensual por Etnia en la comuna de Nancagua" u="1"/>
        <s v="Evolución del Ingreso Promedio Mensual por Persona en la comuna de Chañaral" u="1"/>
        <s v="Variación porcentual del Ingreso Promedio Mensual por Persona en la comuna de Tierra Amarilla" u="1"/>
        <s v="Diferencial de Ingreso Promedio Mensual de Hombres según Alfabetismo en la comuna de Paredones" u="1"/>
        <s v="Diferencial de Ingreso Promedio Mensual de Mujeres según Alfabetismo en la comuna de Paredones" u="1"/>
        <s v="Diferencial de Ingreso Promedio Mensual de Hombres según Alfabetismo en la comuna de Pedro Aguirre Cerda" u="1"/>
        <s v="Diferencial de Ingreso Promedio Mensual de Mujeres según Alfabetismo en la comuna de Pedro Aguirre Cerda" u="1"/>
        <s v="Comparativo de Ingreso Promedio Mensual entre personas con y sin alfabetización en la comuna de San Ramón" u="1"/>
        <s v="Ingreso Promedio Mensual de Mujeres y Hombres en el año 2017 en la comuna de San Pablo" u="1"/>
        <s v="Variación porcentual del Ingreso Promedio Mensual por Persona en la comuna de Contulmo" u="1"/>
        <s v="Ingreso Promedio Mensual de Mujeres y Hombres en el año 2017 en la comuna de Puerto Octay" u="1"/>
        <s v="Ingreso Promedio Mensual de Mujeres y Hombres en el año 2017 en la comuna de Ninhue" u="1"/>
        <s v="Evolución del Ingreso Promedio Mensual por Persona para Mujeres y Hombres en la comuna de Coelemu" u="1"/>
        <s v="Evolución del Ingreso Promedio Mensual por Persona para Mujeres y Hombres en la comuna de Romeral" u="1"/>
        <s v="Comparativo de Ingreso Promedio Mensual entre personas con y sin alfabetización en la comuna de Hualqui" u="1"/>
        <s v="Variación porcentual del Ingreso Promedio Mensual por Persona en la comuna de Padre las Casas" u="1"/>
        <s v="Diferencial de Ingreso Promedio Mensual de Hombres según Alfabetismo en la comuna de Talcahuano" u="1"/>
        <s v="Diferencial de Ingreso Promedio Mensual de Mujeres según Alfabetismo en la comuna de Talcahuano" u="1"/>
        <s v="Evolución del Ingreso Promedio Mensual por Persona para Mujeres y Hombres en la comuna de El Bosque" u="1"/>
        <s v="Evolución del Ingreso Promedio Mensual por Alfabetismo en la comuna de Placilla" u="1"/>
        <s v="Ingreso Promedio Mensual al año 2017 por Etnia en la comuna de Chépica" u="1"/>
        <s v="Diferencial de Ingreso Promedio Mensual de Hombres según Alfabetismo en la comuna de Lonquimay" u="1"/>
        <s v="Diferencial de Ingreso Promedio Mensual de Mujeres según Alfabetismo en la comuna de Lonquimay" u="1"/>
        <s v="Evolución del Ingreso Promedio Mensual por Persona para Mujeres y Hombres en la Región Metropolitana" u="1"/>
        <s v="Evolución del Ingreso Promedio Mensual por Persona en la comuna de Tortel" u="1"/>
        <s v="Evolución del Ingreso Promedio Mensual por Alfabetismo en la comuna de Máfil" u="1"/>
        <s v="Evolución del Ingreso Promedio Mensual por Persona para Mujeres y Hombres en la comuna de Calbuco" u="1"/>
        <s v="Ingreso Promedio Mensual de Mujeres y Hombres en el año 2017 en la comuna de Zapallar" u="1"/>
        <s v="Ingreso Promedio Mensual de Mujeres y Hombres en el año 2017 en la comuna de Máfil" u="1"/>
        <s v="Diferencial de Ingreso Promedio Mensual de Hombres según Alfabetismo en la comuna de Chillán" u="1"/>
        <s v="Diferencial de Ingreso Promedio Mensual de Hombres según Alfabetismo en la comuna de Illapel" u="1"/>
        <s v="Diferencial de Ingreso Promedio Mensual de Mujeres según Alfabetismo en la comuna de Chillán" u="1"/>
        <s v="Diferencial de Ingreso Promedio Mensual de Mujeres según Alfabetismo en la comuna de Illapel" u="1"/>
        <s v="Evolución del Ingreso Promedio Mensual por Alfabetismo en la comuna de Perquenco" u="1"/>
        <s v="Ingreso Promedio Mensual al año 2017 por Etnia en la comuna de Mariquina" u="1"/>
        <s v="Diferencial de Ingreso Promedio Mensual de Hombres según Alfabetismo en la comuna de Negrete" u="1"/>
        <s v="Diferencial de Ingreso Promedio Mensual de Mujeres según Alfabetismo en la comuna de Negrete" u="1"/>
        <s v="Variación del Ingreso Promedio Mensual por Etnia en la comuna de Colchane" u="1"/>
        <s v="Variación del Ingreso Promedio Mensual por Etnia en la comuna de Maullín" u="1"/>
        <s v="Evolución del Ingreso Promedio Mensual por Alfabetismo en la comuna de Isla de Pascua" u="1"/>
        <s v="Variación porcentual del Ingreso Promedio Mensual por Persona en la comuna de Isla de Maipo" u="1"/>
        <s v="Evolución del Ingreso Promedio Mensual por Persona en la comuna de Porvenir" u="1"/>
        <s v="Evolución del Ingreso Promedio Mensual por Alfabetismo en la comuna de Marchihue" u="1"/>
        <s v="Variación porcentual del Ingreso Promedio Mensual por Persona en la comuna de Maipú" u="1"/>
        <s v="Evolución del Ingreso Promedio Mensual por Persona en la comuna de Los Andes" u="1"/>
        <s v="Diferencial de Ingreso Promedio Mensual de Hombres según Alfabetismo en la comuna de Llaillay" u="1"/>
        <s v="Diferencial de Ingreso Promedio Mensual de Mujeres según Alfabetismo en la comuna de Llaillay" u="1"/>
        <s v="Ingreso Promedio Mensual al año 2017 por Etnia en la comuna de Paredones" u="1"/>
        <s v="Evolución del Ingreso Promedio Mensual por Alfabetismo en la comuna de Mejillones" u="1"/>
        <s v="Ingreso Promedio Mensual de Mujeres y Hombres en el año 2017 en la comuna de Lo Barnechea" u="1"/>
        <s v="Evolución del Ingreso Promedio Mensual por Persona para Mujeres y Hombres en la comuna de Placilla" u="1"/>
        <s v="Evolución del Ingreso Promedio Mensual por Etnia en la comuna de Paredones" u="1"/>
        <s v="Variación porcentual del Ingreso Promedio Mensual por Persona en la comuna de Puerto Varas" u="1"/>
        <s v="Variación del Ingreso Promedio Mensual por Etnia en la comuna de Renaico" u="1"/>
        <s v="Evolución del Ingreso Promedio Mensual por Alfabetismo en la comuna de Limache" u="1"/>
        <s v="Evolución del Ingreso Promedio Mensual por Persona para la Región de Valparaíso" u="1"/>
        <s v="Evolución del Ingreso Promedio Mensual por Persona para Mujeres y Hombres en la comuna de Máfil" u="1"/>
        <s v="Evolución del Ingreso Promedio Mensual por Etnia en la comuna de La Ligua" u="1"/>
        <s v="Variación del Ingreso Promedio Mensual por Etnia en la comuna de Curaco de Vélez" u="1"/>
        <s v="Diferencial de Ingreso Promedio Mensual de Hombres según Alfabetismo en la comuna de Timaukel" u="1"/>
        <s v="Diferencial de Ingreso Promedio Mensual de Mujeres según Alfabetismo en la comuna de Timaukel" u="1"/>
        <s v="Evolución del Ingreso Promedio Mensual por Etnia en la comuna de San Antonio" u="1"/>
        <s v="Ingreso Promedio Mensual de Mujeres y Hombres en el año 2017 en la comuna de Porvenir" u="1"/>
        <s v="Evolución del Ingreso Promedio Mensual por Etnia en la comuna de Mulchén" u="1"/>
        <s v="Ingreso Promedio Mensual de Mujeres y Hombres en el año 2017 en la comuna de Fresia" u="1"/>
        <s v="Comparativo de Ingreso Promedio Mensual entre personas con y sin alfabetización en la comuna de Renca" u="1"/>
        <s v="Variación del Ingreso Promedio Mensual por Etnia en la comuna de Quinta de Tilcoco" u="1"/>
        <s v="Ingreso Promedio Mensual de Mujeres y Hombres en el año 2017 en la comuna de Antofagasta" u="1"/>
        <s v="Ingreso Promedio Mensual de Mujeres y Hombres en el año 2017 en la Región de Antofagasta" u="1"/>
        <s v="Diferencial de Ingreso Promedio Mensual de Hombres según Alfabetismo en la comuna de Futrono" u="1"/>
        <s v="Diferencial de Ingreso Promedio Mensual de Mujeres según Alfabetismo en la comuna de Futrono" u="1"/>
        <s v="Evolución del Ingreso Promedio Mensual por Persona para Mujeres y Hombres en la comuna de Perquenco" u="1"/>
        <s v="Variación del Ingreso Promedio Mensual por Etnia en la comuna de Lanco" u="1"/>
        <s v="Variación del Ingreso Promedio Mensual por Etnia en la comuna de La Cruz" u="1"/>
        <s v="Variación del Ingreso Promedio Mensual por Etnia en la comuna de San Vicente" u="1"/>
        <s v="Evolución del Ingreso Promedio Mensual por Etnia en la comuna de Curacautín" u="1"/>
        <s v="Variación porcentual del Ingreso Promedio Mensual por Persona en la comuna de Villarrica" u="1"/>
        <s v="Ingreso Promedio Mensual de Mujeres y Hombres en el año 2017 en la comuna de Osorno" u="1"/>
        <s v="Diferencial de Ingreso Promedio Mensual de Hombres según Alfabetismo en la comuna de Contulmo" u="1"/>
        <s v="Diferencial de Ingreso Promedio Mensual de Mujeres según Alfabetismo en la comuna de Contulmo" u="1"/>
        <s v="Variación porcentual del Ingreso Promedio Mensual por Persona en la comuna de Purén" u="1"/>
        <s v="Evolución del Ingreso Promedio Mensual por Etnia en la comuna de Lebu" u="1"/>
        <s v="Diferencial de Ingreso Promedio Mensual de Hombres según Alfabetismo en la comuna de Valparaíso" u="1"/>
        <s v="Diferencial de Ingreso Promedio Mensual de Hombres según Alfabetismo en la Región de Valparaíso" u="1"/>
        <s v="Diferencial de Ingreso Promedio Mensual de Mujeres según Alfabetismo en la comuna de Valparaíso" u="1"/>
        <s v="Diferencial de Ingreso Promedio Mensual de Mujeres según Alfabetismo en la Región de Valparaíso" u="1"/>
        <s v="Comparativo de Ingreso Promedio Mensual entre personas con y sin alfabetización en la comuna de Limache" u="1"/>
        <s v="Evolución del Ingreso Promedio Mensual por Persona para Mujeres y Hombres en la comuna de Isla de Pascua" u="1"/>
        <s v="Evolución del Ingreso Promedio Mensual por Etnia en la comuna de Talca" u="1"/>
        <s v="Evolución del Ingreso Promedio Mensual por Persona para Mujeres y Hombres en la comuna de Marchihue" u="1"/>
        <s v="Ingreso Promedio Mensual al año 2017 por Etnia en la comuna de Mulchén" u="1"/>
        <s v="Evolución del Ingreso Promedio Mensual por Persona en la comuna de San Javier" u="1"/>
        <s v="Evolución del Ingreso Promedio Mensual por Persona para Mujeres y Hombres en la comuna de Mejillones" u="1"/>
        <s v="Evolución del Ingreso Promedio Mensual por Etnia en la comuna de Yerbas Buenas" u="1"/>
        <s v="Evolución del Ingreso Promedio Mensual por Alfabetismo en la comuna de Curarrehue" u="1"/>
        <s v="Ingreso Promedio Mensual de Mujeres y Hombres en el año 2017 en la comuna de San Pedro de Atacama" u="1"/>
        <s v="Evolución del Ingreso Promedio Mensual por Persona para Mujeres y Hombres en la comuna de Limache" u="1"/>
        <s v="Comparativo de Ingreso Promedio Mensual entre personas con y sin alfabetización en la comuna de Puerto Varas" u="1"/>
        <s v="Comparativo de Ingreso Promedio Mensual entre personas con y sin alfabetización en la comuna de Padre Hurtado" u="1"/>
        <s v="Evolución del Ingreso Promedio Mensual por Etnia en la comuna de Los Alamos" u="1"/>
        <s v="Ingreso Promedio Mensual de Mujeres y Hombres en el año 2017 en la comuna de Empedrado" u="1"/>
        <s v="Ingreso Promedio Mensual de Mujeres y Hombres en el año 2017 en la comuna de San Fabián" u="1"/>
        <s v="Evolución del Ingreso Promedio Mensual por Alfabetismo en la comuna de Santa Juana" u="1"/>
        <s v="Ingreso Promedio Mensual de Mujeres y Hombres en el año 2017 en la comuna de Lago Ranco" u="1"/>
        <s v="Evolución del Ingreso Promedio Mensual por Persona en la comuna de Paillaco" u="1"/>
        <s v="Ingreso Promedio Mensual de Mujeres y Hombres en el año 2017 en la Región de La Araucanía" u="1"/>
        <s v="Evolución del Ingreso Promedio Mensual por Alfabetismo en la comuna de Olivar" u="1"/>
        <s v="Diferencial de Ingreso Promedio Mensual de Hombres según Alfabetismo en la comuna de Chiguayante" u="1"/>
        <s v="Diferencial de Ingreso Promedio Mensual de Mujeres según Alfabetismo en la comuna de Chiguayante" u="1"/>
        <s v="Evolución del Ingreso Promedio Mensual por Etnia en la comuna de Coronel" u="1"/>
        <s v="Evolución del Ingreso Promedio Mensual por Etnia en la Región de Arica y Parinacota" u="1"/>
        <s v="Diferencial de Ingreso Promedio Mensual de Hombres según Alfabetismo en la comuna de Tortel" u="1"/>
        <s v="Diferencial de Ingreso Promedio Mensual de Mujeres según Alfabetismo en la comuna de Tortel" u="1"/>
        <s v="Ingreso Promedio Mensual al año 2017 por Etnia en la comuna de Los Lagos" u="1"/>
        <s v="Ingreso Promedio Mensual al año 2017 por Etnia en la Región de Los Lagos" u="1"/>
        <s v="Evolución del Ingreso Promedio Mensual por Alfabetismo en la comuna de San Antonio" u="1"/>
        <s v="Comparativo de Ingreso Promedio Mensual entre personas con y sin alfabetización en la Región del Biobío" u="1"/>
        <s v="Variación del Ingreso Promedio Mensual por Etnia en la comuna de Castro" u="1"/>
        <s v="Evolución del Ingreso Promedio Mensual por Persona en la comuna de Hualpén" u="1"/>
        <s v="Variación porcentual del Ingreso Promedio Mensual por Persona en la comuna de Lumaco" u="1"/>
        <s v="Diferencial de Ingreso Promedio Mensual de Hombres según Alfabetismo en la comuna de Curepto" u="1"/>
        <s v="Diferencial de Ingreso Promedio Mensual de Mujeres según Alfabetismo en la comuna de Curepto" u="1"/>
        <s v="Ingreso Promedio Mensual al año 2017 por Etnia en la comuna de Corral" u="1"/>
        <s v="Ingreso Promedio Mensual al año 2017 por Etnia en la comuna de Ñuñoa" u="1"/>
        <s v="Evolución del Ingreso Promedio Mensual por Etnia en la comuna de Litueche" u="1"/>
        <s v="Evolución del Ingreso Promedio Mensual por Alfabetismo en la comuna de La Pintana" u="1"/>
        <s v="Variación del Ingreso Promedio Mensual por Etnia en la comuna de Retiro" u="1"/>
        <s v="Comparativo de Ingreso Promedio Mensual entre personas con y sin alfabetización en la comuna de Hualaihué" u="1"/>
        <s v="Ingreso Promedio Mensual al año 2017 por Etnia en la Región de Atacama" u="1"/>
        <s v="Diferencial de Ingreso Promedio Mensual de Hombres según Alfabetismo en la comuna de Panquehue" u="1"/>
        <s v="Diferencial de Ingreso Promedio Mensual de Mujeres según Alfabetismo en la comuna de Panquehue" u="1"/>
        <s v="Comparativo de Ingreso Promedio Mensual entre personas con y sin alfabetización en la comuna de Curicó" u="1"/>
        <s v="Ingreso Promedio Mensual de Mujeres y Hombres en el año 2017 en la comuna de San Ignacio" u="1"/>
        <s v="Variación del Ingreso Promedio Mensual por Etnia en la comuna de Ancud" u="1"/>
        <s v="Ingreso Promedio Mensual al año 2017 por Etnia en la comuna de San Ramón" u="1"/>
        <s v="Diferencial de Ingreso Promedio Mensual de Hombres según Alfabetismo en la comuna de El Quisco" u="1"/>
        <s v="Diferencial de Ingreso Promedio Mensual de Mujeres según Alfabetismo en la comuna de El Quisco" u="1"/>
        <s v="Evolución del Ingreso Promedio Mensual por Persona para Mujeres y Hombres en la comuna de Curarrehue" u="1"/>
        <s v="Ingreso Promedio Mensual al año 2017 por Etnia en la comuna de Arauco" u="1"/>
        <s v="Evolución del Ingreso Promedio Mensual por Persona en la comuna de Pencahue" u="1"/>
        <s v="Evolución del Ingreso Promedio Mensual por Etnia en la comuna de Sierra Gorda" u="1"/>
        <s v="Ingreso Promedio Mensual de Mujeres y Hombres en el año 2017 en la comuna de Melipeuco" u="1"/>
        <s v="Comparativo de Ingreso Promedio Mensual entre personas con y sin alfabetización en la comuna de Pelluhue" u="1"/>
        <s v="Evolución del Ingreso Promedio Mensual por Persona en la comuna de Andacollo" u="1"/>
        <s v="Ingreso Promedio Mensual al año 2017 por Etnia en la comuna de Treguaco" u="1"/>
        <s v="Evolución del Ingreso Promedio Mensual por Etnia en la comuna de Iquique" u="1"/>
        <s v="Evolución del Ingreso Promedio Mensual por Alfabetismo en la comuna de Illapel" u="1"/>
        <s v="Evolución del Ingreso Promedio Mensual por Etnia en la comuna de Estación Central" u="1"/>
        <s v="Ingreso Promedio Mensual de Mujeres y Hombres en el año 2017 en la comuna de Camarones" u="1"/>
        <s v="Ingreso Promedio Mensual al año 2017 por Etnia en la comuna de Loncoche" u="1"/>
        <s v="Variación porcentual del Ingreso Promedio Mensual por Persona en la comuna de Quellón" u="1"/>
        <s v="Evolución del Ingreso Promedio Mensual por Persona para Mujeres y Hombres en la comuna de Santa Juana" u="1"/>
        <s v="Variación del Ingreso Promedio Mensual por Etnia en la comuna de Codegua" u="1"/>
        <s v="Evolución del Ingreso Promedio Mensual por Alfabetismo en la comuna de La Reina" u="1"/>
        <s v="Comparativo de Ingreso Promedio Mensual entre personas con y sin alfabetización en la comuna de Concepción" u="1"/>
        <s v="Ingreso Promedio Mensual al año 2017 por Etnia en la comuna de Peumo" u="1"/>
        <s v="Evolución del Ingreso Promedio Mensual por Persona para Mujeres y Hombres en la comuna de Olivar" u="1"/>
        <s v="Evolución del Ingreso Promedio Mensual por Alfabetismo en la Región de Ñuble" u="1"/>
        <s v="Variación porcentual del Ingreso Promedio Mensual por Persona en la comuna de Camarones" u="1"/>
        <s v="Diferencial de Ingreso Promedio Mensual de Hombres según Alfabetismo en la comuna de Hualaihué" u="1"/>
        <s v="Diferencial de Ingreso Promedio Mensual de Mujeres según Alfabetismo en la comuna de Hualaihué" u="1"/>
        <s v="Diferencial de Ingreso Promedio Mensual de Hombres según Alfabetismo en la comuna de San Javier" u="1"/>
        <s v="Diferencial de Ingreso Promedio Mensual de Mujeres según Alfabetismo en la comuna de San Javier" u="1"/>
        <s v="Diferencial de Ingreso Promedio Mensual de Hombres según Alfabetismo en la comuna de Puerto Varas" u="1"/>
        <s v="Diferencial de Ingreso Promedio Mensual de Mujeres según Alfabetismo en la comuna de Puerto Varas" u="1"/>
        <s v="Comparativo de Ingreso Promedio Mensual entre personas con y sin alfabetización en la comuna de Coronel" u="1"/>
        <s v="Comparativo de Ingreso Promedio Mensual entre personas con y sin alfabetización en la comuna de Natales" u="1"/>
        <s v="Ingreso Promedio Mensual de Mujeres y Hombres en el año 2017 en la comuna de Lo Espejo" u="1"/>
        <s v="Evolución del Ingreso Promedio Mensual por Persona para Mujeres y Hombres en la comuna de San Antonio" u="1"/>
        <s v="Evolución del Ingreso Promedio Mensual por Alfabetismo en la comuna de Las Cabras" u="1"/>
        <s v="Evolución del Ingreso Promedio Mensual por Persona en la comuna de Quinta Normal" u="1"/>
        <s v="Variación porcentual del Ingreso Promedio Mensual por Persona en la comuna de Pinto" u="1"/>
        <s v="Ingreso Promedio Mensual al año 2017 por Etnia en la comuna de Chañaral" u="1"/>
        <s v="Evolución del Ingreso Promedio Mensual por Etnia en la Región de Tarapacá" u="1"/>
        <s v="Variación del Ingreso Promedio Mensual por Etnia en la comuna de Quilleco" u="1"/>
        <s v="Ingreso Promedio Mensual de Mujeres y Hombres en el año 2017 en la comuna de Quinta Normal" u="1"/>
        <s v="Evolución del Ingreso Promedio Mensual por Persona para Mujeres y Hombres en la comuna de La Pintana" u="1"/>
        <s v="Evolución del Ingreso Promedio Mensual por Etnia en la comuna de Cunco" u="1"/>
        <s v="Evolución del Ingreso Promedio Mensual por Alfabetismo en la comuna de Viña del Mar" u="1"/>
        <s v="Ingreso Promedio Mensual de Mujeres y Hombres en el año 2017 en la comuna de Ránquil" u="1"/>
        <s v="Variación porcentual del Ingreso Promedio Mensual por Persona en la comuna de Los Alamos" u="1"/>
        <s v="Evolución del Ingreso Promedio Mensual por Alfabetismo en la comuna de Hualaihué" u="1"/>
        <s v="Evolución del Ingreso Promedio Mensual por Etnia en la comuna de Cobquecura" u="1"/>
        <s v="Evolución del Ingreso Promedio Mensual por Alfabetismo en la comuna de Codegua" u="1"/>
        <s v="Evolución del Ingreso Promedio Mensual por Alfabetismo en la comuna de Santiago" u="1"/>
        <s v="Ingreso Promedio Mensual al año 2017 por Etnia en la comuna de Colchane" u="1"/>
        <s v="Ingreso Promedio Mensual de Mujeres y Hombres en el año 2017 en la comuna de María Pinto" u="1"/>
        <s v="Evolución del Ingreso Promedio Mensual por Persona en la comuna de Santa Juana" u="1"/>
        <s v="Evolución del Ingreso Promedio Mensual por Persona para Mujeres y Hombres en la comuna de Illapel" u="1"/>
        <s v="Diferencial de Ingreso Promedio Mensual de Hombres según Alfabetismo en la comuna de San Gregorio" u="1"/>
        <s v="Diferencial de Ingreso Promedio Mensual de Mujeres según Alfabetismo en la comuna de San Gregorio" u="1"/>
        <s v="Variación porcentual del Ingreso Promedio Mensual por Persona en la comuna de Cunco" u="1"/>
        <s v="Diferencial de Ingreso Promedio Mensual de Hombres según Alfabetismo en la comuna de Parral" u="1"/>
        <s v="Diferencial de Ingreso Promedio Mensual de Mujeres según Alfabetismo en la comuna de Parral" u="1"/>
        <s v="Evolución del Ingreso Promedio Mensual por Persona para Mujeres y Hombres en la comuna de La Reina" u="1"/>
        <s v="Evolución del Ingreso Promedio Mensual por Persona en la comuna de Palmilla" u="1"/>
        <s v="Ingreso Promedio Mensual de Mujeres y Hombres en el año 2017 en la comuna de Pozo Almonte" u="1"/>
        <s v="Diferencial de Ingreso Promedio Mensual de Hombres según Alfabetismo en la comuna de Gorbea" u="1"/>
        <s v="Diferencial de Ingreso Promedio Mensual de Mujeres según Alfabetismo en la comuna de Gorbea" u="1"/>
        <s v="Variación porcentual del Ingreso Promedio Mensual por Persona en la comuna de Diego de Almagro" u="1"/>
        <s v="Evolución del Ingreso Promedio Mensual por Persona para Mujeres y Hombres en la Región de Ñuble" u="1"/>
        <s v="Evolución del Ingreso Promedio Mensual por Etnia en la comuna de Tierra Amarilla" u="1"/>
        <s v="Ingreso Promedio Mensual de Mujeres y Hombres en el año 2017 en la comuna de Andacollo" u="1"/>
        <s v="Ingreso Promedio Mensual al año 2017 por Etnia en la comuna de Tortel" u="1"/>
        <s v="Evolución del Ingreso Promedio Mensual por Alfabetismo en la comuna de Quellón" u="1"/>
        <s v="Evolución del Ingreso Promedio Mensual por Persona para Mujeres y Hombres en la comuna de Las Cabras" u="1"/>
        <s v="Evolución del Ingreso Promedio Mensual por Alfabetismo en la comuna de Curacautín" u="1"/>
        <s v="Ingreso Promedio Mensual de Mujeres y Hombres en el año 2017 en la comuna de Loncoche" u="1"/>
        <s v="Evolución del Ingreso Promedio Mensual por Persona en la comuna de Guaitecas" u="1"/>
        <s v="Evolución del Ingreso Promedio Mensual por Persona en la comuna de Lo Barnechea" u="1"/>
        <s v="Ingreso Promedio Mensual al año 2017 por Etnia en la comuna de Diego de Almagro" u="1"/>
        <s v="Comparativo de Ingreso Promedio Mensual entre personas con y sin alfabetización en la comuna de Nacimiento" u="1"/>
        <s v="Evolución del Ingreso Promedio Mensual por Etnia en la comuna de Pirque" u="1"/>
        <s v="Ingreso Promedio Mensual al año 2017 por Etnia en la comuna de San Esteban" u="1"/>
        <s v="Variación porcentual del Ingreso Promedio Mensual por Persona en la comuna de Lebu" u="1"/>
        <s v="Variación del Ingreso Promedio Mensual por Etnia en la comuna de Curanilahue" u="1"/>
        <s v="Evolución del Ingreso Promedio Mensual por Etnia en la comuna de Padre Hurtado" u="1"/>
        <s v="Evolución del Ingreso Promedio Mensual por Persona para Mujeres y Hombres en la comuna de Viña del Mar" u="1"/>
        <s v="Variación porcentual del Ingreso Promedio Mensual por Persona en la comuna de Concón" u="1"/>
        <s v="Evolución del Ingreso Promedio Mensual por Persona para Mujeres y Hombres en la comuna de Hualaihué" u="1"/>
        <s v="Evolución del Ingreso Promedio Mensual por Persona para Mujeres y Hombres en la comuna de Codegua" u="1"/>
        <s v="Comparativo de Ingreso Promedio Mensual entre personas con y sin alfabetización en la comuna de Talcahuano" u="1"/>
        <s v="Evolución del Ingreso Promedio Mensual por Persona para Mujeres y Hombres en la comuna de Santiago" u="1"/>
        <s v="Comparativo de Ingreso Promedio Mensual entre personas con y sin alfabetización en la comuna de Chile Chico" u="1"/>
        <s v="Evolución del Ingreso Promedio Mensual por Persona en la comuna de Arica" u="1"/>
        <s v="Variación porcentual del Ingreso Promedio Mensual por Persona en la comuna de Recoleta" u="1"/>
        <s v="Evolución del Ingreso Promedio Mensual por Etnia en la comuna de Coquimbo" u="1"/>
        <s v="Evolución del Ingreso Promedio Mensual por Etnia en la Región de Coquimbo" u="1"/>
        <s v="Diferencial de Ingreso Promedio Mensual de Hombres según Alfabetismo en la comuna de Calera" u="1"/>
        <s v="Diferencial de Ingreso Promedio Mensual de Mujeres según Alfabetismo en la comuna de Calera" u="1"/>
        <s v="Diferencial de Ingreso Promedio Mensual de Hombres según Alfabetismo en la comuna de Requínoa" u="1"/>
        <s v="Diferencial de Ingreso Promedio Mensual de Mujeres según Alfabetismo en la comuna de Requínoa" u="1"/>
        <s v="Diferencial de Ingreso Promedio Mensual de Hombres según Alfabetismo en la comuna de Los Lagos" u="1"/>
        <s v="Diferencial de Ingreso Promedio Mensual de Hombres según Alfabetismo en la Región de Los Lagos" u="1"/>
        <s v="Diferencial de Ingreso Promedio Mensual de Mujeres según Alfabetismo en la comuna de Los Lagos" u="1"/>
        <s v="Diferencial de Ingreso Promedio Mensual de Mujeres según Alfabetismo en la Región de Los Lagos" u="1"/>
        <s v="Evolución del Ingreso Promedio Mensual por Alfabetismo en la comuna de Freirina" u="1"/>
        <s v="Diferencial de Ingreso Promedio Mensual de Hombres según Alfabetismo en la comuna de Coihueco" u="1"/>
        <s v="Diferencial de Ingreso Promedio Mensual de Mujeres según Alfabetismo en la comuna de Coihueco" u="1"/>
        <s v="Evolución del Ingreso Promedio Mensual por Etnia en la comuna de Pitrufquén" u="1"/>
        <s v="Evolución del Ingreso Promedio Mensual por Persona en la comuna de Calera de Tango" u="1"/>
        <s v="Variación porcentual del Ingreso Promedio Mensual por Persona en la comuna de Pudahuel" u="1"/>
        <s v="Variación porcentual del Ingreso Promedio Mensual por Persona en la comuna de La Pintana" u="1"/>
        <s v="Evolución del Ingreso Promedio Mensual por Etnia en la comuna de Llanquihue" u="1"/>
        <s v="Ingreso Promedio Mensual al año 2017 por Etnia en la comuna de Curanilahue" u="1"/>
        <s v="Evolución del Ingreso Promedio Mensual por Alfabetismo en la comuna de Quilicura" u="1"/>
        <s v="Ingreso Promedio Mensual al año 2017 por Etnia en la comuna de Andacollo" u="1"/>
        <s v="Evolución del Ingreso Promedio Mensual por Persona en la comuna de Navidad" u="1"/>
        <s v="Ingreso Promedio Mensual de Mujeres y Hombres en el año 2017 en la comuna de Diego de Almagro" u="1"/>
        <s v="Evolución del Ingreso Promedio Mensual por Persona para Mujeres y Hombres en la comuna de Quellón" u="1"/>
        <s v="Evolución del Ingreso Promedio Mensual por Persona para Mujeres y Hombres en la comuna de Curacautín" u="1"/>
        <s v="Evolución del Ingreso Promedio Mensual por Alfabetismo en la comuna de Calama" u="1"/>
        <s v="Variación porcentual del Ingreso Promedio Mensual por Persona en la comuna de Lonquimay" u="1"/>
        <s v="Variación porcentual del Ingreso Promedio Mensual por Persona en la comuna de La Ligua" u="1"/>
        <s v="Diferencial de Ingreso Promedio Mensual de Hombres según Alfabetismo en la comuna de Quintero" u="1"/>
        <s v="Diferencial de Ingreso Promedio Mensual de Mujeres según Alfabetismo en la comuna de Quintero" u="1"/>
        <s v="Evolución del Ingreso Promedio Mensual por Etnia en la comuna de Guaitecas" u="1"/>
        <s v="Diferencial de Ingreso Promedio Mensual de Hombres según Alfabetismo en la comuna de Los Vilos" u="1"/>
        <s v="Diferencial de Ingreso Promedio Mensual de Mujeres según Alfabetismo en la comuna de Los Vilos" u="1"/>
        <s v="Comparativo de Ingreso Promedio Mensual entre personas con y sin alfabetización en la comuna de Yungay" u="1"/>
        <s v="Comparativo de Ingreso Promedio Mensual entre personas con y sin alfabetización en la comuna de Hualpén" u="1"/>
        <s v="Variación del Ingreso Promedio Mensual por Etnia en la comuna de Curicó" u="1"/>
        <s v="Evolución del Ingreso Promedio Mensual por Etnia en la comuna de Lo Espejo" u="1"/>
        <s v="Comparativo de Ingreso Promedio Mensual entre personas con y sin alfabetización en la comuna de Cañete" u="1"/>
        <s v="Evolución del Ingreso Promedio Mensual por Persona en la comuna de Tomé" u="1"/>
        <s v="Variación porcentual del Ingreso Promedio Mensual por Persona en la comuna de Chépica" u="1"/>
        <s v="Diferencial de Ingreso Promedio Mensual de Hombres según Alfabetismo en la comuna de Renaico" u="1"/>
        <s v="Diferencial de Ingreso Promedio Mensual de Mujeres según Alfabetismo en la comuna de Renaico" u="1"/>
        <s v="Diferencial de Ingreso Promedio Mensual de Hombres según Alfabetismo en la comuna de Casablanca" u="1"/>
        <s v="Diferencial de Ingreso Promedio Mensual de Mujeres según Alfabetismo en la comuna de Casablanca" u="1"/>
        <s v="Diferencial de Ingreso Promedio Mensual de Hombres según Alfabetismo en la comuna de Cabrero" u="1"/>
        <s v="Diferencial de Ingreso Promedio Mensual de Mujeres según Alfabetismo en la comuna de Cabrero" u="1"/>
        <s v="Diferencial de Ingreso Promedio Mensual de Hombres según Alfabetismo en la comuna de Quillota" u="1"/>
        <s v="Diferencial de Ingreso Promedio Mensual de Mujeres según Alfabetismo en la comuna de Quillota" u="1"/>
        <s v="Evolución del Ingreso Promedio Mensual por Persona en la comuna de Quillón" u="1"/>
        <s v="Evolución del Ingreso Promedio Mensual por Etnia en la comuna de Río Ibáñez" u="1"/>
        <s v="Evolución del Ingreso Promedio Mensual por Persona para Mujeres y Hombres en la comuna de Freirina" u="1"/>
        <s v="Evolución del Ingreso Promedio Mensual por Etnia en la comuna de Mariquina" u="1"/>
        <s v="Evolución del Ingreso Promedio Mensual por Persona en la comuna de Hualañé" u="1"/>
        <s v="Evolución del Ingreso Promedio Mensual por Alfabetismo en la comuna de Florida" u="1"/>
        <s v="Variación porcentual del Ingreso Promedio Mensual por Persona en la comuna de Mariquina" u="1"/>
        <s v="Ingreso Promedio Mensual de Mujeres y Hombres en el año 2017 en la comuna de San Nicolás" u="1"/>
        <s v="Comparativo de Ingreso Promedio Mensual entre personas con y sin alfabetización en la comuna de Pedro Aguirre Cerda" u="1"/>
        <s v="Evolución del Ingreso Promedio Mensual por Etnia en la comuna de San Esteban" u="1"/>
        <s v="Diferencial de Ingreso Promedio Mensual de Hombres según Alfabetismo en la comuna de Quilpué" u="1"/>
        <s v="Diferencial de Ingreso Promedio Mensual de Mujeres según Alfabetismo en la comuna de Quilpué" u="1"/>
        <s v="Evolución del Ingreso Promedio Mensual por Persona para Mujeres y Hombres en la comuna de Quilicura" u="1"/>
        <s v="Variación porcentual del Ingreso Promedio Mensual por Persona en la comuna de Paredones" u="1"/>
        <s v="Evolución del Ingreso Promedio Mensual por Alfabetismo en la comuna de Requínoa" u="1"/>
        <s v="Ingreso Promedio Mensual de Mujeres y Hombres en el año 2017 en la comuna de Angol" u="1"/>
        <s v="Evolución del Ingreso Promedio Mensual por Persona para Mujeres y Hombres en la comuna de Calama" u="1"/>
        <s v="Evolución del Ingreso Promedio Mensual por Alfabetismo en la comuna de Pelarco" u="1"/>
        <s v="Evolución del Ingreso Promedio Mensual por Etnia en la comuna de Santiago" u="1"/>
        <s v="Evolución del Ingreso Promedio Mensual por Persona en la comuna de Yumbel" u="1"/>
        <s v="Evolución del Ingreso Promedio Mensual por Etnia en la comuna de Viña del Mar" u="1"/>
        <s v="Evolución del Ingreso Promedio Mensual por Etnia en la comuna de San Javier" u="1"/>
        <s v="Evolución del Ingreso Promedio Mensual por Persona en la comuna de San Rafael" u="1"/>
        <s v="Diferencial de Ingreso Promedio Mensual de Hombres según Alfabetismo en la comuna de La Cruz" u="1"/>
        <s v="Diferencial de Ingreso Promedio Mensual de Mujeres según Alfabetismo en la comuna de La Cruz" u="1"/>
        <s v="Variación porcentual del Ingreso Promedio Mensual por Persona en la comuna de Mulchén" u="1"/>
        <s v="Diferencial de Ingreso Promedio Mensual de Hombres según Alfabetismo en la comuna de Independencia" u="1"/>
        <s v="Diferencial de Ingreso Promedio Mensual de Mujeres según Alfabetismo en la comuna de Independencia" u="1"/>
        <s v="Ingreso Promedio Mensual al año 2017 por Etnia en la comuna de Puchuncaví" u="1"/>
        <s v="Diferencial de Ingreso Promedio Mensual de Hombres según Alfabetismo en la comuna de Coquimbo" u="1"/>
        <s v="Diferencial de Ingreso Promedio Mensual de Hombres según Alfabetismo en la Región de Coquimbo" u="1"/>
        <s v="Diferencial de Ingreso Promedio Mensual de Mujeres según Alfabetismo en la comuna de Coquimbo" u="1"/>
        <s v="Diferencial de Ingreso Promedio Mensual de Mujeres según Alfabetismo en la Región de Coquimbo" u="1"/>
        <s v="Comparativo de Ingreso Promedio Mensual entre personas con y sin alfabetización en la comuna de Juan Fernández" u="1"/>
        <s v="Evolución del Ingreso Promedio Mensual por Etnia en la comuna de Hijuelas" u="1"/>
        <s v="Ingreso Promedio Mensual de Mujeres y Hombres en el año 2017 en la comuna de Valparaíso" u="1"/>
        <s v="Ingreso Promedio Mensual de Mujeres y Hombres en el año 2017 en la Región de Valparaíso" u="1"/>
        <s v="Evolución del Ingreso Promedio Mensual por Persona en la comuna de Macul" u="1"/>
        <s v="Ingreso Promedio Mensual al año 2017 por Etnia en la comuna de Navidad" u="1"/>
        <s v="Evolución del Ingreso Promedio Mensual por Alfabetismo en la comuna de Pozo Almonte" u="1"/>
        <s v="Variación porcentual del Ingreso Promedio Mensual por Persona en la comuna de Los Lagos" u="1"/>
        <s v="Variación porcentual del Ingreso Promedio Mensual por Persona en la Región de Los Lagos" u="1"/>
        <s v="Ingreso Promedio Mensual de Mujeres y Hombres en el año 2017 en la comuna de Teno" u="1"/>
        <s v="Variación porcentual del Ingreso Promedio Mensual por Persona en la comuna de Ñuñoa" u="1"/>
        <s v="Variación porcentual del Ingreso Promedio Mensual por Persona en la comuna de Corral" u="1"/>
        <s v="Variación del Ingreso Promedio Mensual por Etnia en la comuna de La Unión" u="1"/>
        <s v="Variación porcentual del Ingreso Promedio Mensual por Persona en la comuna de General Lagos" u="1"/>
        <s v="Diferencial de Ingreso Promedio Mensual de Hombres según Alfabetismo en la comuna de Dalcahue" u="1"/>
        <s v="Diferencial de Ingreso Promedio Mensual de Mujeres según Alfabetismo en la comuna de Dalcahue" u="1"/>
        <s v="Evolución del Ingreso Promedio Mensual por Persona para Mujeres y Hombres en la comuna de Florida" u="1"/>
        <s v="Comparativo de Ingreso Promedio Mensual entre personas con y sin alfabetización en la comuna de Maipú" u="1"/>
        <s v="Ingreso Promedio Mensual al año 2017 por Etnia en la comuna de Tomé" u="1"/>
        <s v="Variación del Ingreso Promedio Mensual por Etnia en la comuna de Cañete" u="1"/>
        <s v="Diferencial de Ingreso Promedio Mensual de Hombres según Alfabetismo en la comuna de San Juan de La Costa" u="1"/>
        <s v="Diferencial de Ingreso Promedio Mensual de Mujeres según Alfabetismo en la comuna de San Juan de La Costa" u="1"/>
        <s v="Evolución del Ingreso Promedio Mensual por Persona en la comuna de Mariquina" u="1"/>
        <s v="Evolución del Ingreso Promedio Mensual por Persona en la comuna de Tocopilla" u="1"/>
        <s v="Comparativo de Ingreso Promedio Mensual entre personas con y sin alfabetización en la comuna de Guaitecas" u="1"/>
        <s v="Evolución del Ingreso Promedio Mensual por Etnia en la comuna de Puente Alto" u="1"/>
        <s v="Diferencial de Ingreso Promedio Mensual de Hombres según Alfabetismo en la comuna de Puchuncaví" u="1"/>
        <s v="Diferencial de Ingreso Promedio Mensual de Mujeres según Alfabetismo en la comuna de Puchuncaví" u="1"/>
        <s v="Variación del Ingreso Promedio Mensual por Etnia en la comuna de Coinco" u="1"/>
        <s v="Evolución del Ingreso Promedio Mensual por Persona en la comuna de Retiro" u="1"/>
        <s v="Ingreso Promedio Mensual al año 2017 por Etnia en la comuna de Quillón" u="1"/>
        <s v="Variación porcentual del Ingreso Promedio Mensual por Persona en la comuna de Loncoche" u="1"/>
        <s v="Evolución del Ingreso Promedio Mensual por Persona para Mujeres y Hombres en la comuna de Requínoa" u="1"/>
        <s v="Comparativo de Ingreso Promedio Mensual entre personas con y sin alfabetización en la comuna de Copiapó" u="1"/>
        <s v="Ingreso Promedio Mensual al año 2017 por Etnia en la comuna de Hualañé" u="1"/>
        <s v="Variación del Ingreso Promedio Mensual por Etnia en la comuna de Penco" u="1"/>
        <s v="Ingreso Promedio Mensual al año 2017 por Etnia en la comuna de Tocopilla" u="1"/>
        <s v="Evolución del Ingreso Promedio Mensual por Alfabetismo en la comuna de Vilcún" u="1"/>
        <s v="Evolución del Ingreso Promedio Mensual por Persona para Mujeres y Hombres en la comuna de Pelarco" u="1"/>
        <s v="Comparativo de Ingreso Promedio Mensual entre personas con y sin alfabetización en la comuna de Llanquihue" u="1"/>
        <s v="Comparativo de Ingreso Promedio Mensual entre personas con y sin alfabetización en la comuna de Palena" u="1"/>
        <s v="Variación del Ingreso Promedio Mensual por Etnia en la comuna de Pudahuel" u="1"/>
        <s v="Variación porcentual del Ingreso Promedio Mensual por Persona en la comuna de Chañaral" u="1"/>
        <s v="Comparativo de Ingreso Promedio Mensual entre personas con y sin alfabetización en la comuna de Tomé" u="1"/>
        <s v="Ingreso Promedio Mensual de Mujeres y Hombres en el año 2017 en la comuna de Cunco" u="1"/>
        <s v="Ingreso Promedio Mensual de Mujeres y Hombres en el año 2017 en la comuna de Lautaro" u="1"/>
        <s v="Ingreso Promedio Mensual de Mujeres y Hombres en el año 2017 en la Región de Tarapacá" u="1"/>
        <s v="Diferencial de Ingreso Promedio Mensual de Hombres según Alfabetismo en la comuna de Huechuraba" u="1"/>
        <s v="Diferencial de Ingreso Promedio Mensual de Mujeres según Alfabetismo en la comuna de Huechuraba" u="1"/>
        <s v="Diferencial de Ingreso Promedio Mensual de Hombres según Alfabetismo en la comuna de Villa Alegre" u="1"/>
        <s v="Diferencial de Ingreso Promedio Mensual de Mujeres según Alfabetismo en la comuna de Villa Alegre" u="1"/>
        <s v="Ingreso Promedio Mensual al año 2017 por Etnia en la comuna de Macul" u="1"/>
        <s v="Evolución del Ingreso Promedio Mensual por Etnia en la comuna de Tirúa" u="1"/>
        <s v="Variación porcentual del Ingreso Promedio Mensual por Persona en la comuna de Colchane" u="1"/>
        <s v="Ingreso Promedio Mensual al año 2017 por Etnia en la comuna de Padre Hurtado" u="1"/>
        <s v="Ingreso Promedio Mensual de Mujeres y Hombres en el año 2017 en la comuna de Los Vilos" u="1"/>
        <s v="Variación porcentual del Ingreso Promedio Mensual por Persona en la comuna de Tortel" u="1"/>
        <s v="Ingreso Promedio Mensual de Mujeres y Hombres en el año 2017 en la comuna de Primavera" u="1"/>
        <s v="Comparativo de Ingreso Promedio Mensual entre personas con y sin alfabetización en la comuna de Sagrada Familia" u="1"/>
        <s v="Ingreso Promedio Mensual al año 2017 por Etnia en la comuna de Retiro" u="1"/>
        <s v="Ingreso Promedio Mensual al año 2017 por Etnia en la comuna de Salamanca" u="1"/>
        <s v="Evolución del Ingreso Promedio Mensual por Persona para Mujeres y Hombres en la comuna de Pozo Almonte" u="1"/>
        <s v="Evolución del Ingreso Promedio Mensual por Persona en la comuna de Olmué" u="1"/>
        <s v="Diferencial de Ingreso Promedio Mensual de Hombres según Alfabetismo en la comuna de Ñuñoa" u="1"/>
        <s v="Diferencial de Ingreso Promedio Mensual de Mujeres según Alfabetismo en la comuna de Ñuñoa" u="1"/>
        <s v="Diferencial de Ingreso Promedio Mensual de Hombres según Alfabetismo en la comuna de Coihaique" u="1"/>
        <s v="Diferencial de Ingreso Promedio Mensual de Mujeres según Alfabetismo en la comuna de Coihaique" u="1"/>
        <s v="Comparativo de Ingreso Promedio Mensual entre personas con y sin alfabetización en la comuna de Lolol" u="1"/>
        <s v="Variación del Ingreso Promedio Mensual por Etnia en la comuna de Calera de Tango" u="1"/>
        <s v="Variación porcentual del Ingreso Promedio Mensual por Persona en la comuna de San Esteban" u="1"/>
        <s v="Diferencial de Ingreso Promedio Mensual de Hombres según Alfabetismo en la comuna de Colchane" u="1"/>
        <s v="Diferencial de Ingreso Promedio Mensual de Mujeres según Alfabetismo en la comuna de Colchane" u="1"/>
        <s v="Diferencial de Ingreso Promedio Mensual de Hombres según Alfabetismo en la comuna de Río Verde" u="1"/>
        <s v="Diferencial de Ingreso Promedio Mensual de Mujeres según Alfabetismo en la comuna de Río Verde" u="1"/>
        <s v="Variación porcentual del Ingreso Promedio Mensual por Persona en la comuna de Curaco de Vélez" u="1"/>
        <s v="Diferencial de Ingreso Promedio Mensual de Hombres según Alfabetismo en la comuna de Doñihue" u="1"/>
        <s v="Diferencial de Ingreso Promedio Mensual de Mujeres según Alfabetismo en la comuna de Doñihue" u="1"/>
        <s v="Evolución del Ingreso Promedio Mensual por Alfabetismo en la comuna de Coihueco" u="1"/>
        <s v="Evolución del Ingreso Promedio Mensual por Persona para Mujeres y Hombres en la comuna de Vilcún" u="1"/>
        <s v="Variación del Ingreso Promedio Mensual por Etnia en la comuna de Placilla" u="1"/>
        <s v="Evolución del Ingreso Promedio Mensual por Persona en la comuna de Castro" u="1"/>
        <s v="Variación porcentual del Ingreso Promedio Mensual por Persona en la comuna de Andacollo" u="1"/>
        <s v="Diferencial de Ingreso Promedio Mensual de Hombres según Alfabetismo en la comuna de El Bosque" u="1"/>
        <s v="Diferencial de Ingreso Promedio Mensual de Mujeres según Alfabetismo en la comuna de El Bosque" u="1"/>
        <s v="Comparativo de Ingreso Promedio Mensual entre personas con y sin alfabetización en la comuna de Chillán" u="1"/>
        <s v="Comparativo de Ingreso Promedio Mensual entre personas con y sin alfabetización en la comuna de Illapel" u="1"/>
        <s v="Diferencial de Ingreso Promedio Mensual de Hombres según Alfabetismo en la comuna de Laguna Blanca" u="1"/>
        <s v="Diferencial de Ingreso Promedio Mensual de Mujeres según Alfabetismo en la comuna de Laguna Blanca" u="1"/>
        <s v="Diferencial de Ingreso Promedio Mensual de Hombres según Alfabetismo en la comuna de San Fabián" u="1"/>
        <s v="Diferencial de Ingreso Promedio Mensual de Mujeres según Alfabetismo en la comuna de San Fabián" u="1"/>
        <s v="Evolución del Ingreso Promedio Mensual por Etnia en la comuna de Cochamó" u="1"/>
        <s v="Ingreso Promedio Mensual al año 2017 por Etnia en la comuna de Monte Patria" u="1"/>
        <s v="Variación del Ingreso Promedio Mensual por Etnia en la comuna de Isla de Maipo" u="1"/>
        <s v="Comparativo de Ingreso Promedio Mensual entre personas con y sin alfabetización en la comuna de Timaukel" u="1"/>
        <s v="Ingreso Promedio Mensual de Mujeres y Hombres en el año 2017 en la comuna de Lota" u="1"/>
        <s v="Comparativo de Ingreso Promedio Mensual entre personas con y sin alfabetización en la comuna de Tortel" u="1"/>
        <s v="Comparativo de Ingreso Promedio Mensual entre personas con y sin alfabetización en la comuna de Providencia" u="1"/>
        <s v="Ingreso Promedio Mensual de Mujeres y Hombres en el año 2017 en la comuna de Santa Bárbara" u="1"/>
        <s v="Ingreso Promedio Mensual al año 2017 por Etnia en la comuna de Nogales" u="1"/>
        <s v="Comparativo de Ingreso Promedio Mensual entre personas con y sin alfabetización en la comuna de Curepto" u="1"/>
        <s v="Evolución del Ingreso Promedio Mensual por Etnia en la comuna de Paillaco" u="1"/>
        <s v="Evolución del Ingreso Promedio Mensual por Persona en la comuna de Placilla" u="1"/>
        <s v="Ingreso Promedio Mensual de Mujeres y Hombres en el año 2017 en la comuna de Marchihue" u="1"/>
        <s v="Evolución del Ingreso Promedio Mensual por Alfabetismo en la comuna de Punitaqui" u="1"/>
        <s v="Evolución del Ingreso Promedio Mensual por Etnia en la Región de Los Ríos" u="1"/>
        <s v="Evolución del Ingreso Promedio Mensual por Alfabetismo en la comuna de Pirque" u="1"/>
        <s v="Diferencial de Ingreso Promedio Mensual de Hombres según Alfabetismo en la comuna de Cisnes" u="1"/>
        <s v="Diferencial de Ingreso Promedio Mensual de Mujeres según Alfabetismo en la comuna de Cisnes" u="1"/>
        <s v="Variación porcentual del Ingreso Promedio Mensual por Persona en la comuna de Pedro Aguirre Cerda" u="1"/>
        <s v="Evolución del Ingreso Promedio Mensual por Etnia en la Región de Magallanes" u="1"/>
        <s v="Evolución del Ingreso Promedio Mensual por Persona para Mujeres y Hombres en la comuna de Coihueco" u="1"/>
        <s v="Evolución del Ingreso Promedio Mensual por Persona en la comuna de Nogales" u="1"/>
        <s v="Variación del Ingreso Promedio Mensual por Etnia en la comuna de San Nicolás" u="1"/>
        <s v="Diferencial de Ingreso Promedio Mensual de Hombres según Alfabetismo en la comuna de Algarrobo" u="1"/>
        <s v="Diferencial de Ingreso Promedio Mensual de Mujeres según Alfabetismo en la comuna de Algarrobo" u="1"/>
        <s v="Comparativo de Ingreso Promedio Mensual entre personas con y sin alfabetización en la comuna de Parral" u="1"/>
        <s v="Evolución del Ingreso Promedio Mensual por Alfabetismo en la comuna de Porvenir" u="1"/>
        <s v="Variación porcentual del Ingreso Promedio Mensual por Persona en la comuna de Quillón" u="1"/>
        <s v="Variación del Ingreso Promedio Mensual por Etnia en la comuna de Lago Ranco" u="1"/>
        <s v="Evolución del Ingreso Promedio Mensual por Persona en la comuna de Marchihue" u="1"/>
        <s v="Ingreso Promedio Mensual de Mujeres y Hombres en el año 2017 en la comuna de Ancud" u="1"/>
        <s v="Ingreso Promedio Mensual al año 2017 por Etnia en la Región de Magallanes" u="1"/>
        <s v="Variación porcentual del Ingreso Promedio Mensual por Persona en la comuna de Macul" u="1"/>
        <s v="Ingreso Promedio Mensual de Mujeres y Hombres en el año 2017 en la comuna de Puqueldón" u="1"/>
        <s v="Evolución del Ingreso Promedio Mensual por Etnia en la comuna de Paiguano" u="1"/>
        <s v="Evolución del Ingreso Promedio Mensual por Etnia en la comuna de Padre las Casas" u="1"/>
        <s v="Ingreso Promedio Mensual de Mujeres y Hombres en el año 2017 en la comuna de Las Cabras" u="1"/>
        <s v="Comparativo de Ingreso Promedio Mensual entre personas con y sin alfabetización en la comuna de Los Andes" u="1"/>
        <s v="Ingreso Promedio Mensual de Mujeres y Hombres en el año 2017 en la comuna de Curacaví" u="1"/>
        <s v="Ingreso Promedio Mensual de Mujeres y Hombres en el año 2017 en la comuna de Perquenco" u="1"/>
        <s v="Variación del Ingreso Promedio Mensual por Etnia en la Región Metropolitana" u="1"/>
        <s v="Variación porcentual del Ingreso Promedio Mensual por Persona en la comuna de Salamanca" u="1"/>
        <s v="Comparativo de Ingreso Promedio Mensual entre personas con y sin alfabetización en la comuna de Renaico" u="1"/>
        <s v="Comparativo de Ingreso Promedio Mensual entre personas con y sin alfabetización en la comuna de Quilpué" u="1"/>
        <s v="Evolución del Ingreso Promedio Mensual por Etnia en la comuna de Calbuco" u="1"/>
        <s v="Evolución del Ingreso Promedio Mensual por Etnia en la comuna de Torres del Paine" u="1"/>
        <s v="Evolución del Ingreso Promedio Mensual por Alfabetismo en la comuna de Pedro Aguirre Cerda" u="1"/>
        <s v="Diferencial de Ingreso Promedio Mensual de Hombres según Alfabetismo en la comuna de San Joaquín" u="1"/>
        <s v="Diferencial de Ingreso Promedio Mensual de Mujeres según Alfabetismo en la comuna de San Joaquín" u="1"/>
        <s v="Ingreso Promedio Mensual al año 2017 por Etnia en la comuna de Angol" u="1"/>
        <s v="Evolución del Ingreso Promedio Mensual por Etnia en la comuna de El Quisco" u="1"/>
        <s v="Evolución del Ingreso Promedio Mensual por Alfabetismo a Escala Nacional" u="1"/>
        <s v="Evolución del Ingreso Promedio Mensual por Persona para Mujeres y Hombres en la comuna de Punitaqui" u="1"/>
        <s v="Ingreso Promedio Mensual al año 2017 por Etnia en la comuna de Estación Central" u="1"/>
        <s v="Variación del Ingreso Promedio Mensual por Etnia en la comuna de Licantén" u="1"/>
        <s v="Evolución del Ingreso Promedio Mensual por Etnia en la comuna de Valparaíso" u="1"/>
        <s v="Evolución del Ingreso Promedio Mensual por Etnia en la Región de Valparaíso" u="1"/>
        <s v="Evolución del Ingreso Promedio Mensual por Alfabetismo en la comuna de Algarrobo" u="1"/>
        <s v="Evolución del Ingreso Promedio Mensual por Persona para Mujeres y Hombres en la comuna de Pirque" u="1"/>
        <s v="Comparativo de Ingreso Promedio Mensual entre personas con y sin alfabetización en la comuna de Dalcahue" u="1"/>
        <s v="Variación del Ingreso Promedio Mensual por Etnia en la Región de La Araucanía" u="1"/>
        <s v="Ingreso Promedio Mensual al año 2017 por Etnia en la comuna de Quinta de Tilcoco" u="1"/>
        <s v="Evolución del Ingreso Promedio Mensual por Persona para Mujeres y Hombres en la comuna de Porvenir" u="1"/>
        <s v="Variación del Ingreso Promedio Mensual por Etnia en la comuna de Macul" u="1"/>
        <s v="Evolución del Ingreso Promedio Mensual por Etnia en la comuna de Coihaique" u="1"/>
        <s v="Ingreso Promedio Mensual de Mujeres y Hombres en el año 2017 en la comuna de Teodoro Schmidt" u="1"/>
        <s v="Evolución del Ingreso Promedio Mensual por Alfabetismo en la comuna de Quemchi" u="1"/>
        <s v="Comparativo de Ingreso Promedio Mensual entre personas con y sin alfabetización en la comuna de San Rafael" u="1"/>
        <s v="Evolución del Ingreso Promedio Mensual por Persona para la Región de Los Ríos" u="1"/>
        <s v="Variación del Ingreso Promedio Mensual por Etnia en la comuna de Pozo Almonte" u="1"/>
        <s v="Ingreso Promedio Mensual de Mujeres y Hombres en el año 2017 en la comuna de Cartagena" u="1"/>
        <s v="Ingreso Promedio Mensual al año 2017 por Etnia en la comuna de Puerto Montt" u="1"/>
        <s v="Evolución del Ingreso Promedio Mensual por Persona en la comuna de Los Muermos" u="1"/>
        <s v="Ingreso Promedio Mensual de Mujeres y Hombres en el año 2017 en la comuna de Calbuco" u="1"/>
        <s v="Diferencial de Ingreso Promedio Mensual de Hombres según Alfabetismo en la comuna de Maule" u="1"/>
        <s v="Diferencial de Ingreso Promedio Mensual de Hombres según Alfabetismo en la Región de Maule" u="1"/>
        <s v="Diferencial de Ingreso Promedio Mensual de Mujeres según Alfabetismo en la comuna de Maule" u="1"/>
        <s v="Diferencial de Ingreso Promedio Mensual de Mujeres según Alfabetismo en la Región de Maule" u="1"/>
        <s v="Ingreso Promedio Mensual de Mujeres y Hombres en el año 2017 en la comuna de Yerbas Buenas" u="1"/>
        <s v="Diferencial de Ingreso Promedio Mensual de Hombres según Alfabetismo en la comuna de Tiltil" u="1"/>
        <s v="Diferencial de Ingreso Promedio Mensual de Mujeres según Alfabetismo en la comuna de Tiltil" u="1"/>
        <s v="Evolución del Ingreso Promedio Mensual por Persona para Mujeres y Hombres en la comuna de Pedro Aguirre Cerda" u="1"/>
        <s v="Ingreso Promedio Mensual al año 2017 por Etnia en la comuna de Freirina" u="1"/>
        <s v="Comparativo de Ingreso Promedio Mensual entre personas con y sin alfabetización en la comuna de Maule" u="1"/>
        <s v="Comparativo de Ingreso Promedio Mensual entre personas con y sin alfabetización en la Región de Maule" u="1"/>
        <s v="Variación del Ingreso Promedio Mensual por Etnia en la comuna de Tucapel" u="1"/>
        <s v="Evolución del Ingreso Promedio Mensual por Persona para Mujeres y Hombres a Escala Nacional" u="1"/>
        <s v="Variación del Ingreso Promedio Mensual por Etnia en la comuna de Los Andes" u="1"/>
        <s v="Evolución del Ingreso Promedio Mensual por Persona en la comuna de Portezuelo" u="1"/>
        <s v="Evolución del Ingreso Promedio Mensual por Persona para Mujeres y Hombres en la comuna de Algarrobo" u="1"/>
        <s v="Evolución del Ingreso Promedio Mensual por Alfabetismo en la comuna de Castro" u="1"/>
        <s v="Evolución del Ingreso Promedio Mensual por Alfabetismo en la comuna de Alto Biobío" u="1"/>
        <s v="Ingreso Promedio Mensual al año 2017 por Etnia en la comuna de Curacautín" u="1"/>
        <s v="Ingreso Promedio Mensual al año 2017 por Etnia en la comuna de Los Sauces" u="1"/>
        <s v="Ingreso Promedio Mensual de Mujeres y Hombres en el año 2017 en la comuna de Huechuraba" u="1"/>
        <s v="Evolución del Ingreso Promedio Mensual por Persona para Mujeres y Hombres en la comuna de Quemchi" u="1"/>
        <s v="Ingreso Promedio Mensual al año 2017 por Etnia en la comuna de Mostazal" u="1"/>
        <s v="Evolución del Ingreso Promedio Mensual por Persona en la comuna de Angol" u="1"/>
        <s v="Evolución del Ingreso Promedio Mensual por Persona en la comuna de Providencia" u="1"/>
        <s v="Evolución del Ingreso Promedio Mensual por Persona en la comuna de Quinta de Tilcoco" u="1"/>
        <s v="Variación porcentual del Ingreso Promedio Mensual por Persona en la comuna de Curacautín" u="1"/>
        <s v="Variación porcentual del Ingreso Promedio Mensual por Persona en la comuna de Los Sauces" u="1"/>
        <s v="Diferencial de Ingreso Promedio Mensual de Hombres según Alfabetismo en la comuna de Huasco" u="1"/>
        <s v="Diferencial de Ingreso Promedio Mensual de Mujeres según Alfabetismo en la comuna de Huasco" u="1"/>
        <s v="Evolución del Ingreso Promedio Mensual por Persona en la comuna de Natales" u="1"/>
        <s v="Evolución del Ingreso Promedio Mensual por Persona en la comuna de Pica" u="1"/>
        <s v="Evolución del Ingreso Promedio Mensual por Etnia en la comuna de Villarrica" u="1"/>
        <s v="Ingreso Promedio Mensual al año 2017 por Etnia en la comuna de Puyehue" u="1"/>
        <s v="Ingreso Promedio Mensual al año 2017 por Etnia en la comuna de Villa Alegre" u="1"/>
        <s v="Evolución del Ingreso Promedio Mensual por Etnia en la comuna de Puerto Montt" u="1"/>
        <s v="Evolución del Ingreso Promedio Mensual por Etnia en la comuna de Queilén" u="1"/>
        <s v="Evolución del Ingreso Promedio Mensual por Etnia en la comuna de Monte Patria" u="1"/>
        <s v="Variación del Ingreso Promedio Mensual por Etnia en la comuna de Providencia" u="1"/>
        <s v="Evolución del Ingreso Promedio Mensual por Alfabetismo en la Región de La Araucanía" u="1"/>
        <s v="Variación del Ingreso Promedio Mensual por Etnia en la comuna de Lolol" u="1"/>
        <s v="Evolución del Ingreso Promedio Mensual por Persona en la comuna de El Bosque" u="1"/>
        <s v="Comparativo de Ingreso Promedio Mensual entre personas con y sin alfabetización en la comuna de Rauco" u="1"/>
        <s v="Variación del Ingreso Promedio Mensual por Etnia en la comuna de Santa Juana" u="1"/>
        <s v="Variación porcentual del Ingreso Promedio Mensual por Persona en la comuna de Cabrero" u="1"/>
        <s v="Diferencial de Ingreso Promedio Mensual de Hombres según Alfabetismo en la comuna de Concón" u="1"/>
        <s v="Diferencial de Ingreso Promedio Mensual de Mujeres según Alfabetismo en la comuna de Concón" u="1"/>
        <s v="Diferencial de Ingreso Promedio Mensual de Hombres según Alfabetismo en la comuna de Nueva Imperial" u="1"/>
        <s v="Diferencial de Ingreso Promedio Mensual de Mujeres según Alfabetismo en la comuna de Nueva Imperial" u="1"/>
        <s v="Comparativo de Ingreso Promedio Mensual entre personas con y sin alfabetización en la comuna de Macul" u="1"/>
        <s v="Comparativo de Ingreso Promedio Mensual entre personas con y sin alfabetización en la comuna de Purén" u="1"/>
        <s v="Evolución del Ingreso Promedio Mensual por Etnia en la comuna de Porvenir" u="1"/>
        <s v="Evolución del Ingreso Promedio Mensual por Persona en la comuna de Teodoro Schmidt" u="1"/>
        <s v="Comparativo de Ingreso Promedio Mensual entre personas con y sin alfabetización en la comuna de Pencahue" u="1"/>
        <s v="Evolución del Ingreso Promedio Mensual por Persona en la comuna de Catemu" u="1"/>
        <s v="Variación del Ingreso Promedio Mensual por Etnia en la comuna de Rancagua" u="1"/>
        <s v="Variación porcentual del Ingreso Promedio Mensual por Persona en la comuna de San Juan de La Costa" u="1"/>
        <s v="Variación del Ingreso Promedio Mensual por Etnia en la comuna de Quirihue" u="1"/>
        <s v="Evolución del Ingreso Promedio Mensual por Persona para Mujeres y Hombres en la comuna de Castro" u="1"/>
        <s v="Evolución del Ingreso Promedio Mensual por Alfabetismo en la comuna de Lonquimay" u="1"/>
        <s v="Evolución del Ingreso Promedio Mensual por Etnia en la comuna de Pelarco" u="1"/>
        <s v="Evolución del Ingreso Promedio Mensual por Etnia en la comuna de Lonquimay" u="1"/>
        <s v="Evolución del Ingreso Promedio Mensual por Persona para Mujeres y Hombres en la comuna de Alto Biobío" u="1"/>
        <s v="Evolución del Ingreso Promedio Mensual por Persona en la comuna de Pemuco" u="1"/>
        <s v="Variación del Ingreso Promedio Mensual por Etnia en la comuna de Freirina" u="1"/>
        <s v="Evolución del Ingreso Promedio Mensual por Etnia en la comuna de Máfil" u="1"/>
        <s v="Ingreso Promedio Mensual al año 2017 por Etnia en la comuna de Cabrero" u="1"/>
        <s v="Evolución del Ingreso Promedio Mensual por Persona en la comuna de San Ignacio" u="1"/>
        <s v="Ingreso Promedio Mensual de Mujeres y Hombres en el año 2017 en la comuna de Freirina" u="1"/>
        <s v="Evolución del Ingreso Promedio Mensual por Etnia en la comuna de Cerrillos" u="1"/>
        <s v="Variación del Ingreso Promedio Mensual por Etnia en la comuna de Putre" u="1"/>
        <s v="Evolución del Ingreso Promedio Mensual por Etnia en la comuna de Pichidegua" u="1"/>
        <s v="Comparativo de Ingreso Promedio Mensual entre personas con y sin alfabetización en la comuna de Melipilla" u="1"/>
        <s v="Evolución del Ingreso Promedio Mensual por Persona en la comuna de Florida" u="1"/>
        <s v="Variación porcentual del Ingreso Promedio Mensual por Persona en la comuna de Pelarco" u="1"/>
        <s v="Evolución del Ingreso Promedio Mensual por Persona en la comuna de Vilcún" u="1"/>
        <s v="Evolución del Ingreso Promedio Mensual por Etnia en la comuna de Nacimiento" u="1"/>
        <s v="Ingreso Promedio Mensual al año 2017 por Etnia en la comuna de Viña del Mar" u="1"/>
        <s v="Evolución del Ingreso Promedio Mensual por Alfabetismo en la comuna de Talca" u="1"/>
        <s v="Evolución del Ingreso Promedio Mensual por Persona para Mujeres y Hombres en la Región de La Araucanía" u="1"/>
        <s v="Variación del Ingreso Promedio Mensual por Etnia en la Región del Biobío" u="1"/>
        <s v="Comparativo de Ingreso Promedio Mensual entre personas con y sin alfabetización en la comuna de Galvarino" u="1"/>
        <s v="Evolución del Ingreso Promedio Mensual por Etnia en la comuna de Los Muermos" u="1"/>
        <s v="Variación del Ingreso Promedio Mensual por Etnia en la comuna de Lago Verde" u="1"/>
        <s v="Variación del Ingreso Promedio Mensual por Etnia en la comuna de Natales" u="1"/>
        <s v="Variación porcentual del Ingreso Promedio Mensual por Persona en la comuna de Cobquecura" u="1"/>
        <s v="Evolución del Ingreso Promedio Mensual por Etnia en la comuna de San Bernardo" u="1"/>
        <s v="Evolución del Ingreso Promedio Mensual por Alfabetismo en la comuna de San Juan de La Costa" u="1"/>
        <s v="Evolución del Ingreso Promedio Mensual por Persona para Mujeres y Hombres en la comuna de Lonquimay" u="1"/>
        <s v="Evolución del Ingreso Promedio Mensual por Persona en la comuna de Perquenco" u="1"/>
        <s v="Variación porcentual del Ingreso Promedio Mensual por Persona en la comuna de Freire" u="1"/>
        <s v="Evolución del Ingreso Promedio Mensual por Alfabetismo en la comuna de Cabildo" u="1"/>
        <s v="Variación porcentual del Ingreso Promedio Mensual por Persona en la comuna de Victoria" u="1"/>
        <s v="Evolución del Ingreso Promedio Mensual por Etnia en la comuna de San Ramón" u="1"/>
        <s v="Evolución del Ingreso Promedio Mensual por Alfabetismo en la comuna de Cabrero" u="1"/>
        <s v="Ingreso Promedio Mensual de Mujeres y Hombres en el año 2017 en la comuna de La Florida" u="1"/>
        <s v="Evolución del Ingreso Promedio Mensual por Alfabetismo en la comuna de Vichuquén" u="1"/>
        <s v="Diferencial de Ingreso Promedio Mensual de Hombres según Alfabetismo en la comuna de La Unión" u="1"/>
        <s v="Diferencial de Ingreso Promedio Mensual de Mujeres según Alfabetismo en la comuna de La Unión" u="1"/>
        <s v="Ingreso Promedio Mensual al año 2017 por Etnia en la comuna de Licantén" u="1"/>
        <s v="Evolución del Ingreso Promedio Mensual por Etnia en la comuna de El Carmen" u="1"/>
        <s v="Ingreso Promedio Mensual al año 2017 por Etnia en la comuna de Puerto Octay" u="1"/>
        <s v="Evolución del Ingreso Promedio Mensual por Alfabetismo en la comuna de Calera" u="1"/>
        <s v="Evolución del Ingreso Promedio Mensual por Etnia en la comuna de Puyehue" u="1"/>
        <s v="Evolución del Ingreso Promedio Mensual por Alfabetismo en la comuna de Maipú" u="1"/>
        <s v="Evolución del Ingreso Promedio Mensual por Persona para Mujeres y Hombres en la comuna de Talca" u="1"/>
        <s v="Ingreso Promedio Mensual al año 2017 por Etnia en la comuna de Pelarco" u="1"/>
        <s v="Ingreso Promedio Mensual de Mujeres y Hombres en el año 2017 en la comuna de El Quisco" u="1"/>
        <s v="Variación del Ingreso Promedio Mensual por Etnia en la comuna de Negrete" u="1"/>
        <s v="Comparativo de Ingreso Promedio Mensual entre personas con y sin alfabetización en la comuna de Río Ibáñez" u="1"/>
        <s v="Evolución del Ingreso Promedio Mensual por Etnia en la comuna de Aisén" u="1"/>
        <s v="Evolución del Ingreso Promedio Mensual por Persona en la comuna de Temuco" u="1"/>
        <s v="Comparativo de Ingreso Promedio Mensual entre personas con y sin alfabetización en la comuna de Cauquenes" u="1"/>
        <s v="Variación del Ingreso Promedio Mensual por Etnia en la comuna de Combarbalá" u="1"/>
        <s v="Evolución del Ingreso Promedio Mensual por Persona para Mujeres y Hombres en la comuna de San Juan de La Costa" u="1"/>
        <s v="Evolución del Ingreso Promedio Mensual por Alfabetismo en la comuna de Aisén" u="1"/>
        <s v="Evolución del Ingreso Promedio Mensual por Persona en la comuna de San Carlos" u="1"/>
        <s v="Ingreso Promedio Mensual de Mujeres y Hombres en el año 2017 en la comuna de Chanco" u="1"/>
        <s v="Variación porcentual del Ingreso Promedio Mensual por Persona en la comuna de Renaico" u="1"/>
        <s v="Ingreso Promedio Mensual de Mujeres y Hombres en el año 2017 en la comuna de Ercilla" u="1"/>
        <s v="Evolución del Ingreso Promedio Mensual por Alfabetismo en la comuna de Bulnes" u="1"/>
        <s v="Ingreso Promedio Mensual de Mujeres y Hombres en el año 2017 en la comuna de San Gregorio" u="1"/>
        <s v="Variación del Ingreso Promedio Mensual por Etnia en la comuna de Caldera" u="1"/>
        <s v="Evolución del Ingreso Promedio Mensual por Etnia en la Región de Atacama" u="1"/>
        <s v="Evolución del Ingreso Promedio Mensual por Persona para Mujeres y Hombres en la comuna de Cabildo" u="1"/>
        <s v="Comparativo de Ingreso Promedio Mensual entre personas con y sin alfabetización en la comuna de Cobquecura" u="1"/>
        <s v="Ingreso Promedio Mensual al año 2017 por Etnia en la comuna de Independencia" u="1"/>
        <s v="Ingreso Promedio Mensual al año 2017 por Etnia en la comuna de Cobquecura" u="1"/>
        <s v="Variación del Ingreso Promedio Mensual por Etnia en la comuna de Río Negro" u="1"/>
        <s v="Evolución del Ingreso Promedio Mensual por Alfabetismo en la comuna de Llanquihue" u="1"/>
        <s v="Variación porcentual del Ingreso Promedio Mensual por Persona en la comuna de Mejillones" u="1"/>
        <s v="Evolución del Ingreso Promedio Mensual por Persona para Mujeres y Hombres en la comuna de Cabrero" u="1"/>
        <s v="Variación del Ingreso Promedio Mensual por Etnia en la comuna de Contulmo" u="1"/>
        <s v="Diferencial de Ingreso Promedio Mensual de Hombres según Alfabetismo en la comuna de Pencahue" u="1"/>
        <s v="Diferencial de Ingreso Promedio Mensual de Mujeres según Alfabetismo en la comuna de Pencahue" u="1"/>
        <s v="Evolución del Ingreso Promedio Mensual por Persona para la Región de La Araucanía" u="1"/>
        <s v="Diferencial de Ingreso Promedio Mensual de Hombres según Alfabetismo en la comuna de Rauco" u="1"/>
        <s v="Diferencial de Ingreso Promedio Mensual de Mujeres según Alfabetismo en la comuna de Rauco" u="1"/>
        <s v="Evolución del Ingreso Promedio Mensual por Persona para Mujeres y Hombres en la comuna de Vichuquén" u="1"/>
        <s v="Evolución del Ingreso Promedio Mensual por Etnia en la comuna de Arica" u="1"/>
        <s v="Evolución del Ingreso Promedio Mensual por Persona en la comuna de Chile Chico" u="1"/>
        <s v="Diferencial de Ingreso Promedio Mensual de Hombres según Alfabetismo en la comuna de Romeral" u="1"/>
        <s v="Diferencial de Ingreso Promedio Mensual de Mujeres según Alfabetismo en la comuna de Romeral" u="1"/>
        <s v="Evolución del Ingreso Promedio Mensual por Persona para Mujeres y Hombres en la comuna de Calera" u="1"/>
        <s v="Evolución del Ingreso Promedio Mensual por Persona en la comuna de Santa María" u="1"/>
        <s v="Variación del Ingreso Promedio Mensual por Etnia en la comuna de Independencia" u="1"/>
        <s v="Variación porcentual del Ingreso Promedio Mensual por Persona en la Región de Aysén" u="1"/>
        <s v="Evolución del Ingreso Promedio Mensual por Persona para Mujeres y Hombres en la comuna de Maipú" u="1"/>
        <s v="Variación del Ingreso Promedio Mensual por Etnia en la comuna de Limache" u="1"/>
        <s v="Evolución del Ingreso Promedio Mensual por Persona en la comuna de Puyehue" u="1"/>
        <s v="Diferencial de Ingreso Promedio Mensual de Hombres según Alfabetismo en la comuna de Macul" u="1"/>
        <s v="Diferencial de Ingreso Promedio Mensual de Hombres según Alfabetismo en la comuna de Purén" u="1"/>
        <s v="Diferencial de Ingreso Promedio Mensual de Mujeres según Alfabetismo en la comuna de Macul" u="1"/>
        <s v="Diferencial de Ingreso Promedio Mensual de Mujeres según Alfabetismo en la comuna de Purén" u="1"/>
        <s v="Diferencial de Ingreso Promedio Mensual de Hombres según Alfabetismo en la comuna de Villa Alemana" u="1"/>
        <s v="Diferencial de Ingreso Promedio Mensual de Mujeres según Alfabetismo en la comuna de Villa Alemana" u="1"/>
        <s v="Diferencial de Ingreso Promedio Mensual de Hombres según Alfabetismo en la comuna de La Ligua" u="1"/>
        <s v="Diferencial de Ingreso Promedio Mensual de Mujeres según Alfabetismo en la comuna de La Ligua" u="1"/>
        <s v="Evolución del Ingreso Promedio Mensual por Alfabetismo en la comuna de San Clemente" u="1"/>
        <s v="Evolución del Ingreso Promedio Mensual por Alfabetismo en la comuna de Macul" u="1"/>
        <s v="Evolución del Ingreso Promedio Mensual por Alfabetismo en la comuna de Ovalle" u="1"/>
        <s v="Evolución del Ingreso Promedio Mensual por Etnia en la comuna de Conchalí" u="1"/>
        <s v="Evolución del Ingreso Promedio Mensual por Etnia en la comuna de Vitacura" u="1"/>
        <s v="Diferencial de Ingreso Promedio Mensual de Hombres según Alfabetismo en la comuna de Valdivia" u="1"/>
        <s v="Diferencial de Ingreso Promedio Mensual de Mujeres según Alfabetismo en la comuna de Valdivia" u="1"/>
        <s v="Evolución del Ingreso Promedio Mensual por Persona para Mujeres y Hombres en la comuna de Aisén" u="1"/>
        <s v="Ingreso Promedio Mensual al año 2017 por Etnia en la comuna de Freire" u="1"/>
        <s v="Evolución del Ingreso Promedio Mensual por Alfabetismo en la comuna de Isla de Maipo" u="1"/>
        <s v="Evolución del Ingreso Promedio Mensual por Persona en la comuna de San José de Maipo" u="1"/>
        <s v="Comparativo de Ingreso Promedio Mensual entre personas con y sin alfabetización en la comuna de San Pablo" u="1"/>
        <s v="Variación del Ingreso Promedio Mensual por Etnia en la comuna de Ercilla" u="1"/>
        <s v="Ingreso Promedio Mensual de Mujeres y Hombres en el año 2017 en la comuna de Curaco de Vélez" u="1"/>
        <s v="Evolución del Ingreso Promedio Mensual por Persona para Mujeres y Hombres en la comuna de Bulnes" u="1"/>
        <s v="Comparativo de Ingreso Promedio Mensual entre personas con y sin alfabetización en la comuna de Puerto Octay" u="1"/>
        <s v="Ingreso Promedio Mensual al año 2017 por Etnia en la comuna de Victoria" u="1"/>
        <s v="Evolución del Ingreso Promedio Mensual por Etnia en la comuna de Cholchol" u="1"/>
        <s v="Ingreso Promedio Mensual al año 2017 por Etnia en la comuna de Chimbarongo" u="1"/>
        <s v="Ingreso Promedio Mensual de Mujeres y Hombres en el año 2017 en la comuna de Chillán Viejo" u="1"/>
        <s v="Comparativo de Ingreso Promedio Mensual entre personas con y sin alfabetización en la comuna de Ninhue" u="1"/>
        <s v="Variación del Ingreso Promedio Mensual por Etnia en la comuna de San Pablo" u="1"/>
        <s v="Evolución del Ingreso Promedio Mensual por Alfabetismo en la comuna de San Pedro de Atacama" u="1"/>
        <s v="Evolución del Ingreso Promedio Mensual por Persona en la comuna de Talca" u="1"/>
        <s v="Ingreso Promedio Mensual al año 2017 por Etnia en la comuna de San Pedro de la Paz" u="1"/>
        <s v="Evolución del Ingreso Promedio Mensual por Persona en la comuna de Mostazal" u="1"/>
        <s v="Evolución del Ingreso Promedio Mensual por Persona para Mujeres y Hombres en la comuna de Llanquihue" u="1"/>
        <s v="Ingreso Promedio Mensual de Mujeres y Hombres en el año 2017 en la comuna de La Reina" u="1"/>
        <s v="Variación porcentual del Ingreso Promedio Mensual por Persona en la comuna de Negrete" u="1"/>
        <s v="Variación del Ingreso Promedio Mensual por Etnia en la comuna de San Ignacio" u="1"/>
        <s v="Variación del Ingreso Promedio Mensual por Etnia en la comuna de Chanco" u="1"/>
        <s v="Evolución del Ingreso Promedio Mensual por Persona en la comuna de Villa Alegre" u="1"/>
        <s v="Comparativo de Ingreso Promedio Mensual entre personas con y sin alfabetización en la comuna de Zapallar" u="1"/>
        <s v="Evolución del Ingreso Promedio Mensual por Alfabetismo en la comuna de Casablanca" u="1"/>
        <s v="Comparativo de Ingreso Promedio Mensual entre personas con y sin alfabetización en la comuna de Máfil" u="1"/>
        <s v="Evolución del Ingreso Promedio Mensual por Alfabetismo en la comuna de Peñalolén" u="1"/>
        <s v="Evolución del Ingreso Promedio Mensual por Persona para Mujeres y Hombres en la comuna de San Clemente" u="1"/>
        <s v="Evolución del Ingreso Promedio Mensual por Etnia en la comuna de Ránquil" u="1"/>
        <s v="Evolución del Ingreso Promedio Mensual por Persona para Mujeres y Hombres en la comuna de Macul" u="1"/>
        <s v="Evolución del Ingreso Promedio Mensual por Persona para Mujeres y Hombres en la comuna de Ovalle" u="1"/>
        <s v="Diferencial de Ingreso Promedio Mensual de Hombres según Alfabetismo en la comuna de Diego de Almagro" u="1"/>
        <s v="Diferencial de Ingreso Promedio Mensual de Mujeres según Alfabetismo en la comuna de Diego de Almagro" u="1"/>
        <s v="Evolución del Ingreso Promedio Mensual por Etnia en la comuna de Coltauco" u="1"/>
        <s v="Ingreso Promedio Mensual al año 2017 por Etnia en la comuna de Yungay" u="1"/>
        <s v="Variación del Ingreso Promedio Mensual por Etnia en la comuna de Talcahuano" u="1"/>
        <s v="Ingreso Promedio Mensual de Mujeres y Hombres en el año 2017 en la comuna de Linares" u="1"/>
        <s v="Variación porcentual del Ingreso Promedio Mensual por Persona en la comuna de Coinco" u="1"/>
        <s v="Evolución del Ingreso Promedio Mensual por Persona para la Región de Aysén" u="1"/>
        <s v="Evolución del Ingreso Promedio Mensual por Persona para Mujeres y Hombres en la comuna de Isla de Maipo" u="1"/>
        <s v="Diferencial de Ingreso Promedio Mensual de Hombres según Alfabetismo en la comuna de Lago Verde" u="1"/>
        <s v="Diferencial de Ingreso Promedio Mensual de Mujeres según Alfabetismo en la comuna de Lago Verde" u="1"/>
        <s v="Evolución del Ingreso Promedio Mensual por Persona en la comuna de Río Verde" u="1"/>
        <s v="Evolución del Ingreso Promedio Mensual por Persona para Mujeres y Hombres en la comuna de San Pedro de Atacama" u="1"/>
        <s v="Evolución del Ingreso Promedio Mensual por Persona en la comuna de Cabrero" u="1"/>
        <s v="Variación del Ingreso Promedio Mensual por Etnia en la comuna de Concepción" u="1"/>
        <s v="Evolución del Ingreso Promedio Mensual por Alfabetismo en la comuna de Portezuelo" u="1"/>
        <s v="Comparativo de Ingreso Promedio Mensual entre personas con y sin alfabetización en la comuna de Lo Barnechea" u="1"/>
        <s v="Ingreso Promedio Mensual al año 2017 por Etnia en la comuna de Aisén" u="1"/>
        <s v="Evolución del Ingreso Promedio Mensual por Etnia en la comuna de Portezuelo" u="1"/>
        <s v="Evolución del Ingreso Promedio Mensual por Persona en la comuna de Calle Larga" u="1"/>
        <s v="Ingreso Promedio Mensual al año 2017 por Etnia en la comuna de Parral" u="1"/>
        <s v="Variación porcentual del Ingreso Promedio Mensual por Persona en la comuna de Cerrillos" u="1"/>
        <s v="Evolución del Ingreso Promedio Mensual por Etnia en la comuna de Mejillones" u="1"/>
        <s v="Variación del Ingreso Promedio Mensual por Etnia en la comuna de Lo Barnechea" u="1"/>
        <s v="Comparativo de Ingreso Promedio Mensual entre personas con y sin alfabetización en la comuna de Porvenir" u="1"/>
        <s v="Variación del Ingreso Promedio Mensual por Etnia en la comuna de Pinto" u="1"/>
        <s v="Evolución del Ingreso Promedio Mensual por Etnia en la comuna de Pemuco" u="1"/>
        <s v="Evolución del Ingreso Promedio Mensual por Persona en la comuna de Coihaique" u="1"/>
        <s v="Evolución del Ingreso Promedio Mensual por Persona para Mujeres y Hombres en la comuna de Casablanca" u="1"/>
        <s v="Ingreso Promedio Mensual al año 2017 por Etnia en la comuna de Renaico" u="1"/>
        <s v="Evolución del Ingreso Promedio Mensual por Etnia en la comuna de Copiapó" u="1"/>
        <s v="Evolución del Ingreso Promedio Mensual por Alfabetismo en la comuna de Ránquil" u="1"/>
        <s v="Diferencial de Ingreso Promedio Mensual de Hombres según Alfabetismo en la comuna de Cabildo" u="1"/>
        <s v="Diferencial de Ingreso Promedio Mensual de Mujeres según Alfabetismo en la comuna de Cabildo" u="1"/>
        <s v="Evolución del Ingreso Promedio Mensual por Persona para Mujeres y Hombres en la comuna de Peñalolén" u="1"/>
        <s v="Comparativo de Ingreso Promedio Mensual entre personas con y sin alfabetización en la comuna de Fresia" u="1"/>
        <s v="Variación del Ingreso Promedio Mensual por Etnia en la comuna de Los Vilos" u="1"/>
        <s v="Comparativo de Ingreso Promedio Mensual entre personas con y sin alfabetización en la comuna de Antofagasta" u="1"/>
        <s v="Comparativo de Ingreso Promedio Mensual entre personas con y sin alfabetización en la Región de Antofagasta" u="1"/>
        <s v="Variación del Ingreso Promedio Mensual por Etnia en la comuna de Hualaihué" u="1"/>
        <s v="Evolución del Ingreso Promedio Mensual por Alfabetismo en la comuna de Olmué" u="1"/>
        <s v="Ingreso Promedio Mensual de Mujeres y Hombres en el año 2017 en la comuna de Coltauco" u="1"/>
        <s v="Comparativo de Ingreso Promedio Mensual entre personas con y sin alfabetización en la comuna de Osorno" u="1"/>
        <s v="Ingreso Promedio Mensual al año 2017 por Etnia en la comuna de Padre las Casas" u="1"/>
        <s v="Ingreso Promedio Mensual de Mujeres y Hombres en el año 2017 en la comuna de Chonchi" u="1"/>
        <s v="Diferencial de Ingreso Promedio Mensual de Hombres según Alfabetismo en la comuna de Río Claro" u="1"/>
        <s v="Diferencial de Ingreso Promedio Mensual de Mujeres según Alfabetismo en la comuna de Río Claro" u="1"/>
        <s v="Evolución del Ingreso Promedio Mensual por Etnia en la comuna de Quellón" u="1"/>
        <s v="Evolución del Ingreso Promedio Mensual por Persona en la comuna de Recoleta" u="1"/>
        <s v="Ingreso Promedio Mensual al año 2017 por Etnia en la comuna de Mejillones" u="1"/>
        <s v="Evolución del Ingreso Promedio Mensual por Persona en la comuna de Illapel" u="1"/>
        <s v="Evolución del Ingreso Promedio Mensual por Alfabetismo en la comuna de Malloa" u="1"/>
        <s v="Evolución del Ingreso Promedio Mensual por Persona para la Región de Ñuble" u="1"/>
        <s v="Evolución del Ingreso Promedio Mensual por Persona en la comuna de Los Lagos" u="1"/>
        <s v="Evolución del Ingreso Promedio Mensual por Persona para Mujeres y Hombres en la comuna de Portezuelo" u="1"/>
        <s v="Evolución del Ingreso Promedio Mensual por Etnia en la comuna de Florida" u="1"/>
        <s v="Ingreso Promedio Mensual de Mujeres y Hombres en el año 2017 en la comuna de Calama" u="1"/>
        <s v="Comparativo de Ingreso Promedio Mensual entre personas con y sin alfabetización en la comuna de San Pedro de Atacama" u="1"/>
        <s v="Ingreso Promedio Mensual de Mujeres y Hombres en el año 2017 en la comuna de Castro" u="1"/>
        <s v="Evolución del Ingreso Promedio Mensual por Alfabetismo en la comuna de Santa Bárbara" u="1"/>
        <s v="Ingreso Promedio Mensual de Mujeres y Hombres en el año 2017 en la comuna de Navidad" u="1"/>
        <s v="Diferencial de Ingreso Promedio Mensual de Hombres según Alfabetismo en la comuna de Juan Fernández" u="1"/>
        <s v="Diferencial de Ingreso Promedio Mensual de Mujeres según Alfabetismo en la comuna de Juan Fernández" u="1"/>
        <s v="Comparativo de Ingreso Promedio Mensual entre personas con y sin alfabetización en la comuna de Empedrado" u="1"/>
        <s v="Comparativo de Ingreso Promedio Mensual entre personas con y sin alfabetización en la comuna de San Fabián" u="1"/>
        <s v="Variación del Ingreso Promedio Mensual por Etnia en la comuna de Chile Chico" u="1"/>
        <s v="Comparativo de Ingreso Promedio Mensual entre personas con y sin alfabetización en la comuna de Lago Ranco" u="1"/>
        <s v="Evolución del Ingreso Promedio Mensual por Persona en la comuna de San Bernardo" u="1"/>
        <s v="Ingreso Promedio Mensual de Mujeres y Hombres en el año 2017 en la comuna de Codegua" u="1"/>
        <s v="Comparativo de Ingreso Promedio Mensual entre personas con y sin alfabetización en la Región de La Araucanía" u="1"/>
        <s v="Evolución del Ingreso Promedio Mensual por Etnia en la comuna de Chimbarongo" u="1"/>
        <s v="Evolución del Ingreso Promedio Mensual por Alfabetismo en la comuna de Palena" u="1"/>
        <s v="Evolución del Ingreso Promedio Mensual por Persona en la comuna de La Pintana" u="1"/>
        <s v="Evolución del Ingreso Promedio Mensual por Persona en la comuna de Viña del Mar" u="1"/>
        <s v="Variación del Ingreso Promedio Mensual por Etnia en la comuna de San Joaquín" u="1"/>
        <s v="Evolución del Ingreso Promedio Mensual por Etnia en la comuna de Juan Fernández" u="1"/>
        <s v="Evolución del Ingreso Promedio Mensual por Persona en la comuna de San Fernando" u="1"/>
        <s v="Evolución del Ingreso Promedio Mensual por Persona para Mujeres y Hombres en la comuna de Ránquil" u="1"/>
        <s v="Evolución del Ingreso Promedio Mensual por Etnia en la comuna de Vallenar" u="1"/>
        <s v="Ingreso Promedio Mensual al año 2017 por Etnia en la comuna de Isla de Maipo" u="1"/>
        <s v="Variación del Ingreso Promedio Mensual por Etnia a Escala Nacional" u="1"/>
        <s v="Evolución del Ingreso Promedio Mensual por Etnia en la comuna de Calera" u="1"/>
        <s v="Ingreso Promedio Mensual al año 2017 por Etnia en la Región de Aysén" u="1"/>
        <s v="Evolución del Ingreso Promedio Mensual por Alfabetismo en la comuna de Chañaral" u="1"/>
        <s v="Evolución del Ingreso Promedio Mensual por Persona para Mujeres y Hombres en la comuna de Olmué" u="1"/>
        <s v="Variación porcentual del Ingreso Promedio Mensual por Persona en la comuna de Chile Chico" u="1"/>
        <s v="Evolución del Ingreso Promedio Mensual por Alfabetismo en la Región de Magallanes" u="1"/>
        <s v="Cantidad de mujeres atendidas en Establecimientos de Apoyo por procedimiento en la fase de Pre Ingreso" u="1"/>
        <s v="Evolución del Ingreso Promedio Mensual por Persona para Mujeres y Hombres en la comuna de Malloa" u="1"/>
        <s v="Evolución del Ingreso Promedio Mensual por Alfabetismo en la comuna de Longaví" u="1"/>
        <s v="Evolución del Ingreso Promedio Mensual por Persona en la comuna de La Estrella" u="1"/>
        <s v="Diferencial de Ingreso Promedio Mensual de Hombres según Alfabetismo en la comuna de Saavedra" u="1"/>
        <s v="Diferencial de Ingreso Promedio Mensual de Mujeres según Alfabetismo en la comuna de Saavedra" u="1"/>
        <s v="Comparativo de Ingreso Promedio Mensual entre personas con y sin alfabetización en la comuna de San Ignacio" u="1"/>
        <s v="Evolución del Ingreso Promedio Mensual por Etnia en la comuna de Timaukel" u="1"/>
        <s v="Evolución del Ingreso Promedio Mensual por Alfabetismo en la comuna de Purén" u="1"/>
        <s v="Evolución del Ingreso Promedio Mensual por Alfabetismo en la comuna de Valparaíso" u="1"/>
        <s v="Evolución del Ingreso Promedio Mensual por Alfabetismo en la Región de Valparaíso" u="1"/>
        <s v="Variación porcentual del Ingreso Promedio Mensual por Persona en la comuna de Quilicura" u="1"/>
        <s v="Diferencial de Ingreso Promedio Mensual de Hombres según Alfabetismo en la comuna de Marchihue" u="1"/>
        <s v="Diferencial de Ingreso Promedio Mensual de Mujeres según Alfabetismo en la comuna de Marchihue" u="1"/>
        <s v="Comparativo de Ingreso Promedio Mensual entre personas con y sin alfabetización en la comuna de Melipeuco" u="1"/>
        <s v="Evolución del Ingreso Promedio Mensual por Etnia en la comuna de Huara" u="1"/>
        <s v="Evolución del Ingreso Promedio Mensual por Etnia en la comuna de Panquehue" u="1"/>
        <s v="Evolución del Ingreso Promedio Mensual por Alfabetismo en la comuna de Renaico" u="1"/>
        <s v="Evolución del Ingreso Promedio Mensual por Persona para Mujeres y Hombres en la comuna de Santa Bárbara" u="1"/>
        <s v="Comparativo de Ingreso Promedio Mensual entre personas con y sin alfabetización en la comuna de Camarones" u="1"/>
        <s v="Diferencial de Ingreso Promedio Mensual de Hombres según Alfabetismo en la comuna de Treguaco" u="1"/>
        <s v="Diferencial de Ingreso Promedio Mensual de Mujeres según Alfabetismo en la comuna de Treguaco" u="1"/>
        <s v="Evolución del Ingreso Promedio Mensual por Persona para Mujeres y Hombres en la comuna de Palena" u="1"/>
        <s v="Evolución del Ingreso Promedio Mensual por Etnia en la comuna de San Pedro" u="1"/>
        <s v="Variación del Ingreso Promedio Mensual por Etnia en la comuna de Rinconada" u="1"/>
        <s v="Evolución del Ingreso Promedio Mensual por Persona en la comuna de Treguaco" u="1"/>
        <s v="Diferencial de Ingreso Promedio Mensual de Hombres según Alfabetismo en la comuna de Combarbalá" u="1"/>
        <s v="Diferencial de Ingreso Promedio Mensual de Mujeres según Alfabetismo en la comuna de Combarbalá" u="1"/>
        <s v="Comparativo de Ingreso Promedio Mensual entre personas con y sin alfabetización en la comuna de Lo Espejo" u="1"/>
        <s v="Evolución del Ingreso Promedio Mensual por Etnia en la comuna de Quillón" u="1"/>
        <s v="Variación del Ingreso Promedio Mensual por Etnia en la comuna de Pichilemu" u="1"/>
        <s v="Evolución del Ingreso Promedio Mensual por Etnia en la comuna de Fresia" u="1"/>
        <s v="Evolución del Ingreso Promedio Mensual por Persona en la comuna de Pelarco" u="1"/>
        <s v="Ingreso Promedio Mensual de Mujeres y Hombres en el año 2017 en la comuna de San Miguel" u="1"/>
        <s v="Evolución del Ingreso Promedio Mensual por Persona para Mujeres y Hombres en la comuna de Chañaral" u="1"/>
        <s v="Evolución del Ingreso Promedio Mensual por Persona en la comuna de Toltén" u="1"/>
        <s v="Evolución del Ingreso Promedio Mensual por Etnia en la comuna de Malloa" u="1"/>
        <s v="Evolución del Ingreso Promedio Mensual por Persona en la comuna de Lonquimay" u="1"/>
        <s v="Comparativo de Ingreso Promedio Mensual entre personas con y sin alfabetización en la comuna de Quinta Normal" u="1"/>
        <s v="Evolución del Ingreso Promedio Mensual por Persona para Mujeres y Hombres en la Región de Magallanes" u="1"/>
        <s v="Evolución del Ingreso Promedio Mensual por Persona en la comuna de San Miguel" u="1"/>
        <s v="Evolución del Ingreso Promedio Mensual por Alfabetismo en la comuna de Chaitén" u="1"/>
        <s v="Comparativo de Ingreso Promedio Mensual entre personas con y sin alfabetización en la comuna de Ránquil" u="1"/>
        <s v="Variación del Ingreso Promedio Mensual por Etnia en la comuna de Río Claro" u="1"/>
        <s v="Evolución del Ingreso Promedio Mensual por Alfabetismo en la comuna de Curacaví" u="1"/>
        <s v="Variación porcentual del Ingreso Promedio Mensual por Persona en la comuna de Galvarino" u="1"/>
        <s v="Variación porcentual del Ingreso Promedio Mensual por Persona en la comuna de Collipulli" u="1"/>
        <s v="Evolución del Ingreso Promedio Mensual por Persona para Mujeres y Hombres en la comuna de Longaví" u="1"/>
        <s v="Variación del Ingreso Promedio Mensual por Etnia en la comuna de Canela" u="1"/>
        <s v="Ingreso Promedio Mensual al año 2017 por Etnia en la comuna de Bulnes" u="1"/>
        <s v="Variación porcentual del Ingreso Promedio Mensual por Persona en la comuna de Santa Cruz" u="1"/>
        <s v="Variación porcentual del Ingreso Promedio Mensual por Persona en la comuna de Coltauco" u="1"/>
        <s v="Variación porcentual del Ingreso Promedio Mensual por Persona en la comuna de Puerto Octay" u="1"/>
        <s v="Evolución del Ingreso Promedio Mensual por Persona para Mujeres y Hombres en la comuna de Purén" u="1"/>
        <s v="Evolución del Ingreso Promedio Mensual por Persona para Mujeres y Hombres en la comuna de Valparaíso" u="1"/>
        <s v="Evolución del Ingreso Promedio Mensual por Persona para Mujeres y Hombres en la Región de Valparaíso" u="1"/>
        <s v="Comparativo de Ingreso Promedio Mensual entre personas con y sin alfabetización en la comuna de María Pinto" u="1"/>
        <s v="Ingreso Promedio Mensual al año 2017 por Etnia en la comuna de Negrete" u="1"/>
        <s v="Evolución del Ingreso Promedio Mensual por Persona en la comuna de La Ligua" u="1"/>
        <s v="Evolución del Ingreso Promedio Mensual por Alfabetismo en la comuna de Lampa" u="1"/>
        <s v="Evolución del Ingreso Promedio Mensual por Persona para Mujeres y Hombres en la comuna de Renaico" u="1"/>
        <s v="Ingreso Promedio Mensual al año 2017 por Etnia en la comuna de La Higuera" u="1"/>
        <s v="Variación porcentual del Ingreso Promedio Mensual por Persona en la comuna de Empedrado" u="1"/>
        <s v="Diferencial de Ingreso Promedio Mensual de Hombres según Alfabetismo en la comuna de Retiro" u="1"/>
        <s v="Diferencial de Ingreso Promedio Mensual de Mujeres según Alfabetismo en la comuna de Retiro" u="1"/>
        <s v="Variación del Ingreso Promedio Mensual por Etnia en la comuna de Petorca" u="1"/>
        <s v="Variación del Ingreso Promedio Mensual por Etnia en la comuna de Melipilla" u="1"/>
        <s v="Evolución del Ingreso Promedio Mensual por Alfabetismo en la comuna de Catemu" u="1"/>
        <s v="Variación porcentual del Ingreso Promedio Mensual por Persona en la comuna de Sierra Gorda" u="1"/>
        <s v="Evolución del Ingreso Promedio Mensual por Persona en la comuna de Primavera" u="1"/>
        <s v="Ingreso Promedio Mensual de Mujeres y Hombres en el año 2017 en la comuna de Requínoa" u="1"/>
        <s v="Evolución del Ingreso Promedio Mensual por Alfabetismo en la comuna de Coinco" u="1"/>
        <s v="Variación porcentual del Ingreso Promedio Mensual por Persona en la comuna de Huechuraba" u="1"/>
        <s v="Comparativo de Ingreso Promedio Mensual entre personas con y sin alfabetización en la comuna de Pozo Almonte" u="1"/>
        <s v="Comparativo de Ingreso Promedio Mensual entre personas con y sin alfabetización en la comuna de Andacollo" u="1"/>
        <s v="Ingreso Promedio Mensual de Mujeres y Hombres en el año 2017 en la comuna de Cabrero" u="1"/>
        <s v="Comparativo de Ingreso Promedio Mensual entre personas con y sin alfabetización en la comuna de Loncoche" u="1"/>
        <s v="Evolución del Ingreso Promedio Mensual por Alfabetismo en la comuna de Graneros" u="1"/>
        <s v="Variación porcentual del Ingreso Promedio Mensual por Persona en la comuna de Huara" u="1"/>
        <s v="Variación porcentual del Ingreso Promedio Mensual por Persona en la comuna de Olivar" u="1"/>
        <s v="Evolución del Ingreso Promedio Mensual por Persona en la comuna de Ñiquén" u="1"/>
        <s v="Evolución del Ingreso Promedio Mensual por Etnia en la comuna de San Pedro de Atacama" u="1"/>
        <s v="Variación porcentual del Ingreso Promedio Mensual por Persona en la comuna de Saavedra" u="1"/>
        <s v="Evolución del Ingreso Promedio Mensual por Etnia en la comuna de Futrono" u="1"/>
        <s v="Variación del Ingreso Promedio Mensual por Etnia en la comuna de El Bosque" u="1"/>
        <s v="Ingreso Promedio Mensual de Mujeres y Hombres en el año 2017 en la comuna de La Cruz" u="1"/>
        <s v="Ingreso Promedio Mensual de Mujeres y Hombres en el año 2017 en la comuna de San Juan de La Costa" u="1"/>
        <s v="Evolución del Ingreso Promedio Mensual por Etnia en la comuna de Taltal" u="1"/>
        <s v="Ingreso Promedio Mensual de Mujeres y Hombres en el año 2017 en la comuna de Coquimbo" u="1"/>
        <s v="Ingreso Promedio Mensual de Mujeres y Hombres en el año 2017 en la Región de Coquimbo" u="1"/>
        <s v="Diferencial de Ingreso Promedio Mensual de Hombres según Alfabetismo en la comuna de Queilén" u="1"/>
        <s v="Diferencial de Ingreso Promedio Mensual de Mujeres según Alfabetismo en la comuna de Queilén" u="1"/>
        <s v="Diferencial de Ingreso Promedio Mensual de Hombres según Alfabetismo en la comuna de San Vicente" u="1"/>
        <s v="Diferencial de Ingreso Promedio Mensual de Mujeres según Alfabetismo en la comuna de San Vicente" u="1"/>
        <s v="Variación del Ingreso Promedio Mensual por Etnia en la comuna de Santa Bárbara" u="1"/>
        <s v="Evolución del Ingreso Promedio Mensual por Persona para Mujeres y Hombres en la comuna de Chaitén" u="1"/>
        <s v="Variación porcentual del Ingreso Promedio Mensual por Persona en la comuna de Chiguayante" u="1"/>
        <s v="Diferencial de Ingreso Promedio Mensual de Hombres según Alfabetismo en la comuna de Ovalle" u="1"/>
        <s v="Diferencial de Ingreso Promedio Mensual de Mujeres según Alfabetismo en la comuna de Ovalle" u="1"/>
        <s v="Evolución del Ingreso Promedio Mensual por Persona para Mujeres y Hombres en la comuna de Curacaví" u="1"/>
        <s v="Variación porcentual del Ingreso Promedio Mensual por Persona en la comuna de Río Bueno" u="1"/>
        <s v="Variación del Ingreso Promedio Mensual por Etnia en la comuna de Ninhue" u="1"/>
        <s v="Evolución del Ingreso Promedio Mensual por Etnia en la comuna de Chonchi" u="1"/>
        <s v="Evolución del Ingreso Promedio Mensual por Alfabetismo en la Región de Aysén" u="1"/>
        <s v="Variación porcentual del Ingreso Promedio Mensual por Persona en la comuna de Marchihue" u="1"/>
        <s v="Evolución del Ingreso Promedio Mensual por Etnia en la comuna de Palmilla" u="1"/>
        <s v="Evolución del Ingreso Promedio Mensual por Persona en la comuna de Laguna Blanca" u="1"/>
        <s v="Evolución del Ingreso Promedio Mensual por Persona para Mujeres y Hombres en la comuna de Lampa" u="1"/>
        <s v="Variación del Ingreso Promedio Mensual por Etnia en la comuna de Cisnes" u="1"/>
        <s v="Evolución del Ingreso Promedio Mensual por Persona en la comuna de Quillota" u="1"/>
        <s v="Evolución del Ingreso Promedio Mensual por Persona en la comuna de Puerto Montt" u="1"/>
        <s v="Evolución del Ingreso Promedio Mensual por Persona para Mujeres y Hombres en la comuna de Catemu" u="1"/>
        <s v="Ingreso Promedio Mensual de Mujeres y Hombres en el año 2017 en la comuna de Cerrillos" u="1"/>
        <s v="Evolución del Ingreso Promedio Mensual por Persona en la comuna de Osorno" u="1"/>
        <s v="Evolución del Ingreso Promedio Mensual por Alfabetismo en la comuna de Carahue" u="1"/>
        <s v="Evolución del Ingreso Promedio Mensual por Persona para Mujeres y Hombres en la comuna de Coinco" u="1"/>
        <s v="Ingreso Promedio Mensual al año 2017 por Etnia en la comuna de Coinco" u="1"/>
        <s v="Ingreso Promedio Mensual de Mujeres y Hombres en el año 2017 en la comuna de Punitaqui" u="1"/>
        <s v="Variación porcentual del Ingreso Promedio Mensual por Persona en la comuna de Timaukel" u="1"/>
        <s v="Evolución del Ingreso Promedio Mensual por Persona en la comuna de Colina" u="1"/>
        <s v="Variación porcentual del Ingreso Promedio Mensual por Persona en la comuna de Río Negro" u="1"/>
        <s v="Comparativo de Ingreso Promedio Mensual entre personas con y sin alfabetización en la comuna de Diego de Almagro" u="1"/>
        <s v="Ingreso Promedio Mensual al año 2017 por Etnia en la comuna de San Pedro" u="1"/>
        <s v="Evolución del Ingreso Promedio Mensual por Alfabetismo en la comuna de Ercilla" u="1"/>
        <s v="Evolución del Ingreso Promedio Mensual por Persona en la comuna de Algarrobo" u="1"/>
        <s v="Evolución del Ingreso Promedio Mensual por Alfabetismo en la comuna de Machalí" u="1"/>
        <s v="Evolución del Ingreso Promedio Mensual por Alfabetismo en la comuna de Las Condes" u="1"/>
        <s v="Variación porcentual del Ingreso Promedio Mensual por Persona en la comuna de Laja" u="1"/>
        <s v="Evolución del Ingreso Promedio Mensual por Persona para Mujeres y Hombres en la comuna de Graneros" u="1"/>
        <s v="Evolución del Ingreso Promedio Mensual por Etnia en la comuna de Concón" u="1"/>
        <s v="Evolución del Ingreso Promedio Mensual por Etnia en la comuna de Los Angeles" u="1"/>
        <s v="Variación porcentual del Ingreso Promedio Mensual por Persona en la comuna de El Bosque" u="1"/>
        <s v="Evolución del Ingreso Promedio Mensual por Persona en la comuna de Cisnes" u="1"/>
        <s v="Evolución del Ingreso Promedio Mensual por Etnia en la comuna de La Florida" u="1"/>
        <s v="Variación porcentual del Ingreso Promedio Mensual por Persona en la comuna de Romeral" u="1"/>
        <s v="Diferencial de Ingreso Promedio Mensual de Hombres según Alfabetismo en la comuna de Nogales" u="1"/>
        <s v="Diferencial de Ingreso Promedio Mensual de Mujeres según Alfabetismo en la comuna de Nogales" u="1"/>
        <s v="Diferencial de Ingreso Promedio Mensual de Hombres según Alfabetismo en la comuna de La Cisterna" u="1"/>
        <s v="Diferencial de Ingreso Promedio Mensual de Mujeres según Alfabetismo en la comuna de La Cisterna" u="1"/>
        <s v="Evolución del Ingreso Promedio Mensual por Alfabetismo en la comuna de San Felipe" u="1"/>
        <s v="Variación porcentual del Ingreso Promedio Mensual por Persona en la comuna de Buin" u="1"/>
        <s v="Evolución del Ingreso Promedio Mensual por Etnia en la comuna de Osorno" u="1"/>
        <s v="Evolución del Ingreso Promedio Mensual por Etnia en la comuna de Colina" u="1"/>
        <s v="Ingreso Promedio Mensual de Mujeres y Hombres en el año 2017 en la comuna de Concón" u="1"/>
        <s v="Evolución del Ingreso Promedio Mensual por Persona para Mujeres y Hombres en la Región de Aysén" u="1"/>
        <s v="Variación del Ingreso Promedio Mensual por Etnia en la comuna de Treguaco" u="1"/>
        <s v="Evolución del Ingreso Promedio Mensual por Persona en la comuna de San Pedro de la Paz" u="1"/>
        <s v="Ingreso Promedio Mensual al año 2017 por Etnia en la comuna de Santiago" u="1"/>
        <s v="Evolución del Ingreso Promedio Mensual por Etnia en la comuna de Isla de Pascua" u="1"/>
        <s v="Comparativo de Ingreso Promedio Mensual entre personas con y sin alfabetización en la comuna de San Nicolás" u="1"/>
        <s v="Evolución del Ingreso Promedio Mensual por Alfabetismo en la comuna de Puerto Montt" u="1"/>
        <s v="Evolución del Ingreso Promedio Mensual por Persona para Mujeres y Hombres en la comuna de Carahue" u="1"/>
        <s v="Evolución del Ingreso Promedio Mensual por Etnia en la comuna de Ollagüe" u="1"/>
        <s v="Evolución del Ingreso Promedio Mensual por Persona en la comuna de Freire" u="1"/>
        <s v="Ingreso Promedio Mensual al año 2017 por Etnia en la comuna de Cerrillos" u="1"/>
        <s v="Evolución del Ingreso Promedio Mensual por Persona para Mujeres y Hombres en la comuna de Ercilla" u="1"/>
        <s v="Evolución del Ingreso Promedio Mensual por Persona para la Región de O'Higgins" u="1"/>
        <s v="Evolución del Ingreso Promedio Mensual por Persona para Mujeres y Hombres en la comuna de Machalí" u="1"/>
        <s v="Evolución del Ingreso Promedio Mensual por Persona para Mujeres y Hombres en la comuna de Las Condes" u="1"/>
        <s v="Comparativo de Ingreso Promedio Mensual entre personas con y sin alfabetización en la comuna de Angol" u="1"/>
        <s v="Variación del Ingreso Promedio Mensual por Etnia en la comuna de Perquenco" u="1"/>
        <s v="Ingreso Promedio Mensual al año 2017 por Etnia en la comuna de Peralillo" u="1"/>
        <s v="Evolución del Ingreso Promedio Mensual por Etnia en la comuna de Santo Domingo" u="1"/>
        <s v="Ingreso Promedio Mensual de Mujeres y Hombres en el año 2017 en la comuna de Purranque" u="1"/>
        <s v="Evolución del Ingreso Promedio Mensual por Etnia en la comuna de Corral" u="1"/>
        <s v="Diferencial de Ingreso Promedio Mensual de Hombres según Alfabetismo en la comuna de Quirihue" u="1"/>
        <s v="Diferencial de Ingreso Promedio Mensual de Mujeres según Alfabetismo en la comuna de Quirihue" u="1"/>
        <s v="Ingreso Promedio Mensual de Mujeres y Hombres en el año 2017 en la comuna de Romeral" u="1"/>
        <s v="Evolución del Ingreso Promedio Mensual por Alfabetismo en la comuna de Futaleufú" u="1"/>
        <s v="Variación porcentual del Ingreso Promedio Mensual por Persona en la comuna de Pozo Almonte" u="1"/>
        <s v="Evolución del Ingreso Promedio Mensual por Persona para Mujeres y Hombres en la comuna de San Felipe" u="1"/>
        <s v="Variación del Ingreso Promedio Mensual por Etnia en la comuna de Santa María" u="1"/>
        <s v="Evolución del Ingreso Promedio Mensual por Alfabetismo en la comuna de Osorno" u="1"/>
        <s v="Variación porcentual del Ingreso Promedio Mensual por Persona en la comuna de Coihaique" u="1"/>
        <s v="Variación del Ingreso Promedio Mensual por Etnia en la comuna de Parral" u="1"/>
        <s v="Comparativo de Ingreso Promedio Mensual entre personas con y sin alfabetización en la comuna de Valparaíso" u="1"/>
        <s v="Comparativo de Ingreso Promedio Mensual entre personas con y sin alfabetización en la Región de Valparaíso" u="1"/>
        <s v="Variación del Ingreso Promedio Mensual por Etnia en la comuna de Cochrane" u="1"/>
        <s v="Evolución del Ingreso Promedio Mensual por Etnia en la comuna de Puqueldón" u="1"/>
        <s v="Comparativo de Ingreso Promedio Mensual entre personas con y sin alfabetización en la comuna de Teno" u="1"/>
        <s v="Variación del Ingreso Promedio Mensual por Etnia en la comuna de Maipú" u="1"/>
        <s v="Variación del Ingreso Promedio Mensual por Etnia en la comuna de Coelemu" u="1"/>
        <s v="Evolución del Ingreso Promedio Mensual por Alfabetismo en la comuna de Yerbas Buenas" u="1"/>
        <s v="Diferencial de Ingreso Promedio Mensual de Hombres según Alfabetismo en la comuna de Buin" u="1"/>
        <s v="Diferencial de Ingreso Promedio Mensual de Mujeres según Alfabetismo en la comuna de Buin" u="1"/>
        <s v="Ingreso Promedio Mensual de Mujeres y Hombres en el año 2017 en la comuna de Santo Domingo" u="1"/>
        <s v="Evolución del Ingreso Promedio Mensual por Alfabetismo en la comuna de Sierra Gorda" u="1"/>
        <s v="Variación porcentual del Ingreso Promedio Mensual por Persona en la comuna de Independencia" u="1"/>
        <s v="Evolución del Ingreso Promedio Mensual por Persona para Mujeres y Hombres en la comuna de Puerto Montt" u="1"/>
        <s v="Variación del Ingreso Promedio Mensual por Etnia en la comuna de Doñihue" u="1"/>
        <s v="Variación porcentual del Ingreso Promedio Mensual por Persona en la comuna de Doñihue" u="1"/>
        <s v="Ingreso Promedio Mensual de Mujeres y Hombres en el año 2017 en la comuna de Quilicura" u="1"/>
        <s v="Variación porcentual del Ingreso Promedio Mensual por Persona en la comuna de Combarbalá" u="1"/>
        <s v="Diferencial de Ingreso Promedio Mensual de Hombres según Alfabetismo en la comuna de Yumbel" u="1"/>
        <s v="Diferencial de Ingreso Promedio Mensual de Mujeres según Alfabetismo en la comuna de Yumbel" u="1"/>
        <s v="Ingreso Promedio Mensual al año 2017 por Etnia en la comuna de Ovalle" u="1"/>
        <s v="Evolución del Ingreso Promedio Mensual por Alfabetismo en la comuna de Ancud" u="1"/>
        <s v="Ingreso Promedio Mensual de Mujeres y Hombres en el año 2017 en la comuna de Combarbalá" u="1"/>
        <s v="Diferencial de Ingreso Promedio Mensual de Hombres según Alfabetismo en la comuna de Cochamó" u="1"/>
        <s v="Diferencial de Ingreso Promedio Mensual de Mujeres según Alfabetismo en la comuna de Cochamó" u="1"/>
        <s v="Evolución del Ingreso Promedio Mensual por Alfabetismo en la comuna de Putre" u="1"/>
        <s v="Variación del Ingreso Promedio Mensual por Etnia en la comuna de Villa Alegre" u="1"/>
        <s v="Ingreso Promedio Mensual de Mujeres y Hombres en el año 2017 en la comuna de Saavedra" u="1"/>
        <s v="Comparativo de Ingreso Promedio Mensual entre personas con y sin alfabetización en la comuna de Cunco" u="1"/>
        <s v="Comparativo de Ingreso Promedio Mensual entre personas con y sin alfabetización en la comuna de Lautaro" u="1"/>
        <s v="Evolución del Ingreso Promedio Mensual por Etnia en la comuna de Maule" u="1"/>
        <s v="Evolución del Ingreso Promedio Mensual por Etnia en la Región de Maule" u="1"/>
        <s v="Evolución del Ingreso Promedio Mensual por Persona para Mujeres y Hombres en la comuna de Futaleufú" u="1"/>
        <s v="Comparativo de Ingreso Promedio Mensual entre personas con y sin alfabetización en la Región de Tarapacá" u="1"/>
        <s v="Variación del Ingreso Promedio Mensual por Etnia en la comuna de Rauco" u="1"/>
        <s v="Evolución del Ingreso Promedio Mensual por Persona para Mujeres y Hombres en la comuna de Osorno" u="1"/>
        <s v="Diferencial de Ingreso Promedio Mensual de Hombres según Alfabetismo en la comuna de Punta Arenas" u="1"/>
        <s v="Diferencial de Ingreso Promedio Mensual de Mujeres según Alfabetismo en la comuna de Punta Arenas" u="1"/>
        <s v="Evolución del Ingreso Promedio Mensual por Persona en la comuna de Sagrada Familia" u="1"/>
        <s v="Ingreso Promedio Mensual al año 2017 por Etnia en la comuna de San Juan de La Costa" u="1"/>
        <s v="Diferencial de Ingreso Promedio Mensual de Hombres según Alfabetismo en la comuna de Huara" u="1"/>
        <s v="Diferencial de Ingreso Promedio Mensual de Mujeres según Alfabetismo en la comuna de Huara" u="1"/>
        <s v="Comparativo de Ingreso Promedio Mensual entre personas con y sin alfabetización en la comuna de Los Vilos" u="1"/>
        <s v="Evolución del Ingreso Promedio Mensual por Etnia en la comuna de Quilaco" u="1"/>
        <s v="Comparativo de Ingreso Promedio Mensual entre personas con y sin alfabetización en la comuna de Primavera" u="1"/>
        <s v="Ingreso Promedio Mensual de Mujeres y Hombres en el año 2017 en la comuna de Queilén" u="1"/>
        <s v="Evolución del Ingreso Promedio Mensual por Persona en la comuna de Yungay" u="1"/>
        <s v="Evolución del Ingreso Promedio Mensual por Persona en la comuna de Quilpué" u="1"/>
        <s v="Evolución del Ingreso Promedio Mensual por Persona en la comuna de El Monte" u="1"/>
        <s v="Evolución del Ingreso Promedio Mensual por Persona en la comuna de Vallenar" u="1"/>
        <s v="Evolución del Ingreso Promedio Mensual por Alfabetismo en la comuna de Cholchol" u="1"/>
        <s v="Evolución del Ingreso Promedio Mensual por Alfabetismo en la comuna de Santa María" u="1"/>
        <s v="Evolución del Ingreso Promedio Mensual por Persona para Mujeres y Hombres en la comuna de Yerbas Buenas" u="1"/>
        <s v="Evolución del Ingreso Promedio Mensual por Etnia en la comuna de Punta Arenas" u="1"/>
        <s v="Evolución del Ingreso Promedio Mensual por Persona para Mujeres y Hombres en la comuna de Sierra Gorda" u="1"/>
        <s v="Evolución del Ingreso Promedio Mensual por Alfabetismo en la comuna de Vicuña" u="1"/>
        <s v="Ingreso Promedio Mensual al año 2017 por Etnia en la comuna de General Lagos" u="1"/>
        <s v="Variación porcentual del Ingreso Promedio Mensual por Persona en la comuna de San Fernando" u="1"/>
        <s v="Ingreso Promedio Mensual al año 2017 por Etnia en la comuna de San Pedro de Atacama" u="1"/>
        <s v="Evolución del Ingreso Promedio Mensual por Persona para Mujeres y Hombres en la comuna de Ancud" u="1"/>
        <s v="Evolución del Ingreso Promedio Mensual por Etnia en la comuna de Loncoche" u="1"/>
        <s v="Ingreso Promedio Mensual de Mujeres y Hombres en el año 2017 en la comuna de Quirihue" u="1"/>
        <s v="Evolución del Ingreso Promedio Mensual por Persona para Mujeres y Hombres en la comuna de Putre" u="1"/>
        <s v="Ingreso Promedio Mensual de Mujeres y Hombres en el año 2017 en la comuna de Pichilemu" u="1"/>
        <s v="Variación del Ingreso Promedio Mensual por Etnia en la comuna de Salamanca" u="1"/>
        <s v="Evolución del Ingreso Promedio Mensual por Alfabetismo en la comuna de Río Claro" u="1"/>
        <s v="Ingreso Promedio Mensual de Mujeres y Hombres en el año 2017 en la comuna de Huara" u="1"/>
        <s v="Variación porcentual del Ingreso Promedio Mensual por Persona en la comuna de Coquimbo" u="1"/>
        <s v="Variación porcentual del Ingreso Promedio Mensual por Persona en la Región de Coquimbo" u="1"/>
        <s v="Variación porcentual del Ingreso Promedio Mensual por Persona en la comuna de La Estrella" u="1"/>
        <s v="Evolución del Ingreso Promedio Mensual por Etnia en la comuna de Tortel" u="1"/>
        <s v="Variación del Ingreso Promedio Mensual por Etnia en la comuna de Las Condes" u="1"/>
        <s v="Evolución del Ingreso Promedio Mensual por Alfabetismo en la comuna de San Gregorio" u="1"/>
        <s v="Comparativo de Ingreso Promedio Mensual entre personas con y sin alfabetización en la comuna de Lota" u="1"/>
        <s v="Evolución del Ingreso Promedio Mensual por Persona en la comuna de Aisén" u="1"/>
        <s v="Evolución del Ingreso Promedio Mensual por Persona para Mujeres y Hombres en la comuna de Cholchol" u="1"/>
        <s v="Comparativo de Ingreso Promedio Mensual entre personas con y sin alfabetización en la comuna de Santa Bárbara" u="1"/>
        <s v="Evolución del Ingreso Promedio Mensual por Persona para Mujeres y Hombres en la comuna de Santa María" u="1"/>
        <s v="Variación del Ingreso Promedio Mensual por Etnia en la comuna de Tomé" u="1"/>
        <s v="Ingreso Promedio Mensual al año 2017 por Etnia en la comuna de Cholchol" u="1"/>
        <s v="Comparativo de Ingreso Promedio Mensual entre personas con y sin alfabetización en la comuna de Marchihue" u="1"/>
        <s v="Ingreso Promedio Mensual de Mujeres y Hombres en el año 2017 en la comuna de San Fernando" u="1"/>
        <s v="Evolución del Ingreso Promedio Mensual por Etnia en la comuna de Lumaco" u="1"/>
        <s v="Evolución del Ingreso Promedio Mensual por Etnia en la comuna de Hualañé" u="1"/>
        <s v="Ingreso Promedio Mensual al año 2017 por Etnia en la comuna de Chile Chico" u="1"/>
        <s v="Ingreso Promedio Mensual de Mujeres y Hombres en el año 2017 en la comuna de Villarrica" u="1"/>
        <s v="Evolución del Ingreso Promedio Mensual por Persona para Mujeres y Hombres en la comuna de Vicuña" u="1"/>
        <s v="Diferencial de Ingreso Promedio Mensual de Hombres según Alfabetismo en la comuna de Alto del Carmen" u="1"/>
        <s v="Diferencial de Ingreso Promedio Mensual de Mujeres según Alfabetismo en la comuna de Alto del Carmen" u="1"/>
        <s v="Evolución del Ingreso Promedio Mensual por Persona en la comuna de Parral" u="1"/>
        <s v="Variación del Ingreso Promedio Mensual por Etnia en la comuna de Alto Biobío" u="1"/>
        <s v="Variación porcentual del Ingreso Promedio Mensual por Persona en la comuna de Limache" u="1"/>
        <s v="Evolución del Ingreso Promedio Mensual por Persona en la comuna de Molina" u="1"/>
        <s v="Evolución del Ingreso Promedio Mensual por Alfabetismo en la comuna de Maule" u="1"/>
        <s v="Evolución del Ingreso Promedio Mensual por Alfabetismo en la Región de Maule" u="1"/>
        <s v="Variación del Ingreso Promedio Mensual por Etnia en la comuna de Río Hurtado" u="1"/>
        <s v="Comparativo de Ingreso Promedio Mensual entre personas con y sin alfabetización en la comuna de Ancud" u="1"/>
        <s v="Evolución del Ingreso Promedio Mensual por Persona en la comuna de Renaico" u="1"/>
        <s v="Variación del Ingreso Promedio Mensual por Etnia en la comuna de Puerto Varas" u="1"/>
        <s v="Evolución del Ingreso Promedio Mensual por Alfabetismo en la comuna de Puyehue" u="1"/>
        <s v="Diferencial de Ingreso Promedio Mensual de Hombres según Alfabetismo en la comuna de Yerbas Buenas" u="1"/>
        <s v="Diferencial de Ingreso Promedio Mensual de Mujeres según Alfabetismo en la comuna de Yerbas Buenas" u="1"/>
        <s v="Comparativo de Ingreso Promedio Mensual entre personas con y sin alfabetización en la comuna de Puqueldón" u="1"/>
        <s v="Evolución del Ingreso Promedio Mensual por Etnia en la comuna de Catemu" u="1"/>
        <s v="Evolución del Ingreso Promedio Mensual por Alfabetismo en la comuna de Mostazal" u="1"/>
        <s v="Diferencial de Ingreso Promedio Mensual de Hombres según Alfabetismo en la comuna de Sierra Gorda" u="1"/>
        <s v="Diferencial de Ingreso Promedio Mensual de Mujeres según Alfabetismo en la comuna de Sierra Gorda" u="1"/>
        <s v="Evolución del Ingreso Promedio Mensual por Persona para Mujeres y Hombres en la comuna de Río Claro" u="1"/>
        <s v="Ingreso Promedio Mensual de Mujeres y Hombres en el año 2017 en la comuna de Bulnes" u="1"/>
        <s v="Ingreso Promedio Mensual de Mujeres y Hombres en el año 2017 en la comuna de Camiña" u="1"/>
        <s v="Variación porcentual del Ingreso Promedio Mensual por Persona en la comuna de O'Higgins" u="1"/>
        <s v="Variación porcentual del Ingreso Promedio Mensual por Persona en la Región de O'Higgins" u="1"/>
        <s v="Comparativo de Ingreso Promedio Mensual entre personas con y sin alfabetización en la comuna de Las Cabras" u="1"/>
        <s v="Evolución del Ingreso Promedio Mensual por Alfabetismo en la comuna de Galvarino" u="1"/>
        <s v="Comparativo de Ingreso Promedio Mensual entre personas con y sin alfabetización en la comuna de Curacaví" u="1"/>
        <s v="Comparativo de Ingreso Promedio Mensual entre personas con y sin alfabetización en la comuna de Perquenco" u="1"/>
        <s v="Evolución del Ingreso Promedio Mensual por Etnia en la comuna de Quinchao" u="1"/>
        <s v="Variación porcentual del Ingreso Promedio Mensual por Persona en la comuna de El Monte" u="1"/>
        <s v="Evolución del Ingreso Promedio Mensual por Persona para Mujeres y Hombres en la comuna de San Gregorio" u="1"/>
        <s v="Ingreso Promedio Mensual al año 2017 por Etnia en la comuna de Quilicura" u="1"/>
        <s v="Variación del Ingreso Promedio Mensual por Etnia en la Región de Aysén" u="1"/>
        <s v="Ingreso Promedio Mensual al año 2017 por Etnia en la comuna de Melipeuco" u="1"/>
        <s v="Evolución del Ingreso Promedio Mensual por Alfabetismo en la comuna de Gorbea" u="1"/>
        <s v="Evolución del Ingreso Promedio Mensual por Etnia en la comuna de Diego de Almagro" u="1"/>
        <s v="Ingreso Promedio Mensual de Mujeres y Hombres en el año 2017 en la comuna de Nueva Imperial" u="1"/>
        <s v="Evolución del Ingreso Promedio Mensual por Etnia en la comuna de Quemchi" u="1"/>
        <s v="Diferencial de Ingreso Promedio Mensual de Hombres según Alfabetismo en la comuna de Olivar" u="1"/>
        <s v="Diferencial de Ingreso Promedio Mensual de Mujeres según Alfabetismo en la comuna de Olivar" u="1"/>
        <s v="Variación del Ingreso Promedio Mensual por Etnia en la comuna de Los Sauces" u="1"/>
        <s v="Evolución del Ingreso Promedio Mensual por Persona en la comuna de Estación Central" u="1"/>
        <s v="Evolución del Ingreso Promedio Mensual por Alfabetismo en la comuna de Pemuco" u="1"/>
        <s v="Ingreso Promedio Mensual de Mujeres y Hombres en el año 2017 en la comuna de Santa María" u="1"/>
        <s v="Evolución del Ingreso Promedio Mensual por Persona para Mujeres y Hombres en la comuna de Maule" u="1"/>
        <s v="Evolución del Ingreso Promedio Mensual por Persona para Mujeres y Hombres en la Región de Maule" u="1"/>
        <s v="Comparativo de Ingreso Promedio Mensual entre personas con y sin alfabetización en la comuna de Teodoro Schmidt" u="1"/>
        <s v="Variación del Ingreso Promedio Mensual por Etnia en la comuna de Graneros" u="1"/>
        <s v="Evolución del Ingreso Promedio Mensual por Persona en la comuna de Cochamó" u="1"/>
        <s v="Ingreso Promedio Mensual de Mujeres y Hombres en el año 2017 en la comuna de Vilcún" u="1"/>
        <s v="Variación porcentual del Ingreso Promedio Mensual por Persona en la comuna de Ránquil" u="1"/>
        <s v="Evolución del Ingreso Promedio Mensual por Persona para Mujeres y Hombres en la comuna de Puyehue" u="1"/>
        <s v="Ingreso Promedio Mensual de Mujeres y Hombres en el año 2017 en la comuna de Penco" u="1"/>
        <s v="Evolución del Ingreso Promedio Mensual por Persona para Mujeres y Hombres en la comuna de Mostazal" u="1"/>
        <s v="Variación del Ingreso Promedio Mensual por Etnia en la Región de Ñuble" u="1"/>
        <s v="Evolución del Ingreso Promedio Mensual por Etnia en la comuna de Victoria" u="1"/>
        <s v="Evolución del Ingreso Promedio Mensual por Persona en la comuna de Carahue" u="1"/>
        <s v="Comparativo de Ingreso Promedio Mensual entre personas con y sin alfabetización en la comuna de Cartagena" u="1"/>
        <s v="Ingreso Promedio Mensual al año 2017 por Etnia en la Región de Los Ríos" u="1"/>
        <s v="Evolución del Ingreso Promedio Mensual por Persona para Mujeres y Hombres en la comuna de Galvarino" u="1"/>
        <s v="Ingreso Promedio Mensual de Mujeres y Hombres en el año 2017 en la comuna de Traiguén" u="1"/>
        <s v="Variación porcentual del Ingreso Promedio Mensual por Persona en la comuna de Maullín" u="1"/>
        <s v="Comparativo de Ingreso Promedio Mensual entre personas con y sin alfabetización en la comuna de Calbuco" u="1"/>
        <s v="Variación del Ingreso Promedio Mensual por Etnia en la comuna de Alhué" u="1"/>
        <s v="Ingreso Promedio Mensual al año 2017 por Etnia en la comuna de Puente Alto" u="1"/>
        <s v="Evolución del Ingreso Promedio Mensual por Persona en la comuna de Nancagua" u="1"/>
        <s v="Comparativo de Ingreso Promedio Mensual entre personas con y sin alfabetización en la comuna de Yerbas Buenas" u="1"/>
        <s v="Evolución del Ingreso Promedio Mensual por Alfabetismo en la comuna de San Nicolás" u="1"/>
        <s v="Variación porcentual del Ingreso Promedio Mensual por Persona en la comuna de La Granja" u="1"/>
        <s v="Ingreso Promedio Mensual de Mujeres y Hombres en el año 2017 en la comuna de Molina" u="1"/>
        <s v="Evolución del Ingreso Promedio Mensual por Persona para Mujeres y Hombres en la comuna de Gorbea" u="1"/>
        <s v="Evolución del Ingreso Promedio Mensual por Persona en la comuna de Las Cabras" u="1"/>
        <s v="Evolución del Ingreso Promedio Mensual por Etnia en la comuna de General Lagos" u="1"/>
        <s v="Ingreso Promedio Mensual de Mujeres y Hombres en el año 2017 en la comuna de Quinchao" u="1"/>
        <s v="Diferencial de Ingreso Promedio Mensual de Hombres según Alfabetismo en la comuna de San Rosendo" u="1"/>
        <s v="Diferencial de Ingreso Promedio Mensual de Mujeres según Alfabetismo en la comuna de San Rosendo" u="1"/>
        <s v="Ingreso Promedio Mensual al año 2017 por Etnia en la comuna de Santa Juana" u="1"/>
        <s v="Variación del Ingreso Promedio Mensual por Etnia en la comuna de Laguna Blanca" u="1"/>
        <s v="Evolución del Ingreso Promedio Mensual por Alfabetismo en la comuna de Coltauco" u="1"/>
        <s v="Evolución del Ingreso Promedio Mensual por Persona para Mujeres y Hombres en la comuna de Pemuco" u="1"/>
        <s v="Ingreso Promedio Mensual de Mujeres y Hombres en el año 2017 en la comuna de Olmué" u="1"/>
        <s v="Evolución del Ingreso Promedio Mensual por Etnia en la comuna de Toltén" u="1"/>
        <s v="Ingreso Promedio Mensual al año 2017 por Etnia en la comuna de Collipulli" u="1"/>
        <s v="Evolución del Ingreso Promedio Mensual por Alfabetismo en la comuna de Melipilla" u="1"/>
        <s v="Comparativo de Ingreso Promedio Mensual entre personas con y sin alfabetización en la comuna de Huechuraba" u="1"/>
        <s v="Ingreso Promedio Mensual al año 2017 por Etnia en la comuna de Galvarino" u="1"/>
        <s v="Variación del Ingreso Promedio Mensual por Etnia en la comuna de El Monte" u="1"/>
        <s v="Evolución del Ingreso Promedio Mensual por Persona en la comuna de Hijuelas" u="1"/>
        <s v="Ingreso Promedio Mensual al año 2017 por Etnia en la comuna de Santa Cruz" u="1"/>
        <s v="Ingreso Promedio Mensual al año 2017 por Etnia en la comuna de Huasco" u="1"/>
        <s v="Variación del Ingreso Promedio Mensual por Etnia en la comuna de Recoleta" u="1"/>
        <s v="Variación del Ingreso Promedio Mensual por Etnia en la comuna de Valdivia" u="1"/>
        <s v="Diferencial de Ingreso Promedio Mensual de Hombres según Alfabetismo en la comuna de Bulnes" u="1"/>
        <s v="Diferencial de Ingreso Promedio Mensual de Hombres según Alfabetismo en la comuna de Camiña" u="1"/>
        <s v="Diferencial de Ingreso Promedio Mensual de Mujeres según Alfabetismo en la comuna de Bulnes" u="1"/>
        <s v="Diferencial de Ingreso Promedio Mensual de Mujeres según Alfabetismo en la comuna de Camiña" u="1"/>
        <s v="Variación del Ingreso Promedio Mensual por Etnia en la comuna de El Tabo" u="1"/>
        <s v="Evolución del Ingreso Promedio Mensual por Persona en la comuna de Lautaro" u="1"/>
        <s v="Variación porcentual del Ingreso Promedio Mensual por Persona en la comuna de Coihueco" u="1"/>
        <s v="Variación porcentual del Ingreso Promedio Mensual por Persona en la comuna de Palmilla" u="1"/>
        <s v="Evolución del Ingreso Promedio Mensual por Etnia en la comuna de Rengo" u="1"/>
        <s v="Evolución del Ingreso Promedio Mensual por Etnia en la comuna de Hualqui" u="1"/>
        <s v="Variación porcentual del Ingreso Promedio Mensual por Persona en la comuna de Lago Ranco" u="1"/>
        <s v="Ingreso Promedio Mensual al año 2017 por Etnia en la comuna de Coltauco" u="1"/>
        <s v="Evolución del Ingreso Promedio Mensual por Etnia en la comuna de La Higuera" u="1"/>
        <s v="Ingreso Promedio Mensual de Mujeres y Hombres en el año 2017 en la comuna de Lanco" u="1"/>
        <s v="Evolución del Ingreso Promedio Mensual por Persona para Mujeres y Hombres en la comuna de San Nicolás" u="1"/>
        <s v="Evolución del Ingreso Promedio Mensual por Persona en la comuna de La Cisterna" u="1"/>
        <s v="Variación porcentual del Ingreso Promedio Mensual por Persona en la comuna de María Elena" u="1"/>
        <s v="Evolución del Ingreso Promedio Mensual por Etnia en la comuna de Casablanca" u="1"/>
        <s v="Ingreso Promedio Mensual al año 2017 por Etnia en la comuna de Cerro Navia" u="1"/>
        <s v="Ingreso Promedio Mensual al año 2017 por Etnia en la comuna de Empedrado" u="1"/>
        <s v="Evolución del Ingreso Promedio Mensual por Persona en la comuna de Alto Hospicio" u="1"/>
        <s v="Evolución del Ingreso Promedio Mensual por Etnia en la comuna de San Clemente" u="1"/>
        <s v="Evolución del Ingreso Promedio Mensual por Persona para Mujeres y Hombres en la comuna de Coltauco" u="1"/>
        <s v="Ingreso Promedio Mensual al año 2017 por Etnia en la comuna de Huechuraba" u="1"/>
        <s v="Evolución del Ingreso Promedio Mensual por Alfabetismo en la comuna de Juan Fernández" u="1"/>
        <s v="Variación porcentual del Ingreso Promedio Mensual por Persona en la comuna de Quirihue" u="1"/>
        <s v="Diferencial de Ingreso Promedio Mensual de Hombres según Alfabetismo en la comuna de Ninhue" u="1"/>
        <s v="Diferencial de Ingreso Promedio Mensual de Mujeres según Alfabetismo en la comuna de Ninhue" u="1"/>
        <s v="Variación del Ingreso Promedio Mensual por Etnia en la comuna de Renca" u="1"/>
        <s v="Evolución del Ingreso Promedio Mensual por Alfabetismo en la comuna de Lumaco" u="1"/>
        <s v="Evolución del Ingreso Promedio Mensual por Alfabetismo en la comuna de Río Ibáñez" u="1"/>
        <s v="Variación porcentual del Ingreso Promedio Mensual por Persona en la comuna de Copiapó" u="1"/>
        <s v="Variación porcentual del Ingreso Promedio Mensual por Persona en la comuna de San Rafael" u="1"/>
        <s v="Evolución del Ingreso Promedio Mensual por Persona para Mujeres y Hombres en la comuna de Melipilla" u="1"/>
        <s v="Evolución del Ingreso Promedio Mensual por Persona en la comuna de Rancagua" u="1"/>
        <s v="Evolución del Ingreso Promedio Mensual por Alfabetismo en la comuna de Los Angeles" u="1"/>
        <s v="Evolución del Ingreso Promedio Mensual por Alfabetismo en la comuna de Camiña" u="1"/>
        <s v="Ingreso Promedio Mensual de Mujeres y Hombres en el año 2017 en la comuna de San Clemente" u="1"/>
        <s v="Comparativo de Ingreso Promedio Mensual entre personas con y sin alfabetización en la comuna de Freirina" u="1"/>
        <s v="Evolución del Ingreso Promedio Mensual por Persona en la comuna de Rinconada" u="1"/>
        <s v="Variación del Ingreso Promedio Mensual por Etnia en la comuna de Cerro Navia" u="1"/>
        <s v="Variación porcentual del Ingreso Promedio Mensual por Persona en la comuna de Primavera" u="1"/>
        <s v="Diferencial de Ingreso Promedio Mensual de Hombres según Alfabetismo en la comuna de Río Negro" u="1"/>
        <s v="Diferencial de Ingreso Promedio Mensual de Mujeres según Alfabetismo en la comuna de Río Negro" u="1"/>
        <s v="Variación porcentual del Ingreso Promedio Mensual por Persona en la comuna de La Unión" u="1"/>
        <s v="Variación porcentual del Ingreso Promedio Mensual por Persona en la comuna de Dalcahue" u="1"/>
        <s v="Ingreso Promedio Mensual al año 2017 por Etnia en la comuna de Olivar" u="1"/>
        <s v="Ingreso Promedio Mensual al año 2017 por Etnia en la comuna de Saavedra" u="1"/>
        <s v="Variación del Ingreso Promedio Mensual por Etnia en la comuna de San Fabián" u="1"/>
        <s v="Variación porcentual del Ingreso Promedio Mensual por Persona en la comuna de Papudo" u="1"/>
        <s v="Ingreso Promedio Mensual al año 2017 por Etnia en la comuna de Huara" u="1"/>
        <s v="Diferencial de Ingreso Promedio Mensual de Hombres según Alfabetismo en la comuna de Salamanca" u="1"/>
        <s v="Diferencial de Ingreso Promedio Mensual de Mujeres según Alfabetismo en la comuna de Salamanca" u="1"/>
        <s v="Evolución del Ingreso Promedio Mensual por Alfabetismo en la comuna de Antuco" u="1"/>
        <s v="Variación del Ingreso Promedio Mensual por Etnia en la comuna de Linares" u="1"/>
        <s v="Ingreso Promedio Mensual al año 2017 por Etnia en la comuna de Chiguayante" u="1"/>
        <s v="Ingreso Promedio Mensual de Mujeres y Hombres en el año 2017 en la comuna de General Lagos" u="1"/>
        <s v="Evolución del Ingreso Promedio Mensual por Persona para Mujeres y Hombres en la comuna de Juan Fernández" u="1"/>
        <s v="Evolución del Ingreso Promedio Mensual por Persona en la comuna de Punta Arenas" u="1"/>
        <s v="Evolución del Ingreso Promedio Mensual por Persona para Mujeres y Hombres en la comuna de Lumaco" u="1"/>
        <s v="Evolución del Ingreso Promedio Mensual por Persona para Mujeres y Hombres en la comuna de Río Ibáñez" u="1"/>
        <s v="Evolución del Ingreso Promedio Mensual por Persona para Mujeres y Hombres en la comuna de Los Angeles" u="1"/>
        <s v="Variación del Ingreso Promedio Mensual por Etnia en la comuna de Olivar" u="1"/>
        <s v="Evolución del Ingreso Promedio Mensual por Alfabetismo en la comuna de Lo Prado" u="1"/>
        <s v="Variación porcentual del Ingreso Promedio Mensual por Persona en la comuna de Vallenar" u="1"/>
        <s v="Evolución del Ingreso Promedio Mensual por Persona para Mujeres y Hombres en la comuna de Camiña" u="1"/>
        <s v="Evolución del Ingreso Promedio Mensual por Etnia en la comuna de María Elena" u="1"/>
        <s v="Evolución del Ingreso Promedio Mensual por Alfabetismo en la comuna de San Ramón" u="1"/>
        <s v="Comparativo de Ingreso Promedio Mensual entre personas con y sin alfabetización en la comuna de La Florida" u="1"/>
        <s v="Ingreso Promedio Mensual al año 2017 por Etnia en la comuna de Río Bueno" u="1"/>
        <s v="Evolución del Ingreso Promedio Mensual por Alfabetismo en la comuna de Canela" u="1"/>
        <s v="Evolución del Ingreso Promedio Mensual por Alfabetismo en la comuna de Temuco" u="1"/>
        <s v="Variación del Ingreso Promedio Mensual por Etnia en la comuna de San Miguel" u="1"/>
        <s v="Ingreso Promedio Mensual de Mujeres y Hombres en el año 2017 en la comuna de Talca" u="1"/>
        <s v="Diferencial de Ingreso Promedio Mensual de Hombres según Alfabetismo en la comuna de Los Alamos" u="1"/>
        <s v="Diferencial de Ingreso Promedio Mensual de Mujeres según Alfabetismo en la comuna de Los Alamos" u="1"/>
        <s v="Variación porcentual del Ingreso Promedio Mensual por Persona en la comuna de Teno" u="1"/>
        <s v="Variación porcentual del Ingreso Promedio Mensual por Persona en la comuna de Los Angeles" u="1"/>
        <s v="Ingreso Promedio Mensual al año 2017 por Etnia en la comuna de Marchihue" u="1"/>
        <s v="Evolución del Ingreso Promedio Mensual por Etnia en la comuna de Temuco" u="1"/>
        <s v="Evolución del Ingreso Promedio Mensual por Alfabetismo en la comuna de Cerro Navia" u="1"/>
        <s v="Ingreso Promedio Mensual de Mujeres y Hombres en el año 2017 en la Región de Los Ríos" u="1"/>
        <s v="Diferencial de Ingreso Promedio Mensual de Hombres según Alfabetismo en la comuna de Zapallar" u="1"/>
        <s v="Diferencial de Ingreso Promedio Mensual de Mujeres según Alfabetismo en la comuna de Zapallar" u="1"/>
        <s v="Comparativo de Ingreso Promedio Mensual entre personas con y sin alfabetización en la comuna de El Quisco" u="1"/>
        <s v="Variación del Ingreso Promedio Mensual por Etnia en la comuna de Gorbea" u="1"/>
        <s v="Ingreso Promedio Mensual de Mujeres y Hombres en el año 2017 en la comuna de Carahue" u="1"/>
        <s v="Variación porcentual del Ingreso Promedio Mensual por Persona en la comuna de San Ignacio" u="1"/>
        <s v="Evolución del Ingreso Promedio Mensual por Etnia en la comuna de Dalcahue" u="1"/>
        <s v="Evolución del Ingreso Promedio Mensual por Etnia en la comuna de Las Cabras" u="1"/>
        <s v="Ingreso Promedio Mensual de Mujeres y Hombres en el año 2017 en la comuna de Hijuelas" u="1"/>
        <s v="Evolución del Ingreso Promedio Mensual por Persona para Mujeres y Hombres en la comuna de Antuco" u="1"/>
        <s v="Variación del Ingreso Promedio Mensual por Etnia en la comuna de Quillota" u="1"/>
        <s v="Evolución del Ingreso Promedio Mensual por Alfabetismo en la comuna de La Granja" u="1"/>
        <s v="Ingreso Promedio Mensual de Mujeres y Hombres en el año 2017 en la comuna de Los Angeles" u="1"/>
        <s v="Ingreso Promedio Mensual de Mujeres y Hombres en el año 2017 en la comuna de San Bernardo" u="1"/>
        <s v="Diferencial de Ingreso Promedio Mensual de Hombres según Alfabetismo en la comuna de La Florida" u="1"/>
        <s v="Diferencial de Ingreso Promedio Mensual de Mujeres según Alfabetismo en la comuna de La Florida" u="1"/>
        <s v="Ingreso Promedio Mensual al año 2017 por Etnia en la comuna de Lo Barnechea" u="1"/>
        <s v="Variación porcentual del Ingreso Promedio Mensual por Persona en la comuna de Graneros" u="1"/>
        <s v="Diferencial de Ingreso Promedio Mensual de Hombres según Alfabetismo en la comuna de Paillaco" u="1"/>
        <s v="Diferencial de Ingreso Promedio Mensual de Mujeres según Alfabetismo en la comuna de Paillaco" u="1"/>
        <s v="Comparativo de Ingreso Promedio Mensual entre personas con y sin alfabetización en la comuna de Chanco" u="1"/>
        <s v="Ingreso Promedio Mensual de Mujeres y Hombres en el año 2017 en la comuna de Estación Central" u="1"/>
        <s v="Comparativo de Ingreso Promedio Mensual entre personas con y sin alfabetización en la comuna de Ercilla" u="1"/>
        <s v="Ingreso Promedio Mensual al año 2017 por Etnia en la comuna de Petorca" u="1"/>
        <s v="Evolución del Ingreso Promedio Mensual por Alfabetismo en la comuna de Linares" u="1"/>
        <s v="Ingreso Promedio Mensual de Mujeres y Hombres en el año 2017 en la comuna de Quemchi" u="1"/>
        <s v="Evolución del Ingreso Promedio Mensual por Alfabetismo en la comuna de Torres del Paine" u="1"/>
        <s v="Comparativo de Ingreso Promedio Mensual entre personas con y sin alfabetización en la comuna de San Gregorio" u="1"/>
        <s v="Evolución del Ingreso Promedio Mensual por Persona para Mujeres y Hombres en la comuna de Lo Prado" u="1"/>
        <s v="Ingreso Promedio Mensual al año 2017 por Etnia en la comuna de Timaukel" u="1"/>
        <s v="Variación porcentual del Ingreso Promedio Mensual por Persona en la comuna de Santa María" u="1"/>
        <s v="Evolución del Ingreso Promedio Mensual por Persona para Mujeres y Hombres en la comuna de San Ramón" u="1"/>
        <s v="Ingreso Promedio Mensual al año 2017 por Etnia en la comuna de Río Negro" u="1"/>
        <s v="Evolución del Ingreso Promedio Mensual por Alfabetismo en la comuna de Curanilahue" u="1"/>
        <s v="Ingreso Promedio Mensual de Mujeres y Hombres en el año 2017 en la comuna de Freire" u="1"/>
        <s v="Variación porcentual del Ingreso Promedio Mensual por Persona en la comuna de Las Condes" u="1"/>
        <s v="Diferencial de Ingreso Promedio Mensual de Hombres según Alfabetismo en la comuna de Chépica" u="1"/>
        <s v="Diferencial de Ingreso Promedio Mensual de Mujeres según Alfabetismo en la comuna de Chépica" u="1"/>
        <s v="Evolución del Ingreso Promedio Mensual por Etnia en la comuna de Peñaflor" u="1"/>
        <s v="Evolución del Ingreso Promedio Mensual por Persona para Mujeres y Hombres en la comuna de Canela" u="1"/>
        <s v="Evolución del Ingreso Promedio Mensual por Persona para Mujeres y Hombres en la comuna de Temuco" u="1"/>
        <s v="Evolución del Ingreso Promedio Mensual por Persona en la comuna de Bulnes" u="1"/>
        <s v="Evolución del Ingreso Promedio Mensual por Alfabetismo en la comuna de Tucapel" u="1"/>
        <s v="Ingreso Promedio Mensual de Mujeres y Hombres en el año 2017 en la comuna de Quellón" u="1"/>
        <s v="Evolución del Ingreso Promedio Mensual por Etnia en la comuna de Santa Cruz" u="1"/>
        <s v="Ingreso Promedio Mensual de Mujeres y Hombres en el año 2017 en la comuna de Constitución" u="1"/>
        <s v="Diferencial de Ingreso Promedio Mensual de Hombres según Alfabetismo en la comuna de Máfil" u="1"/>
        <s v="Diferencial de Ingreso Promedio Mensual de Mujeres según Alfabetismo en la comuna de Máfil" u="1"/>
        <s v="Evolución del Ingreso Promedio Mensual por Alfabetismo en la comuna de Parral" u="1"/>
        <s v="Evolución del Ingreso Promedio Mensual por Etnia en la comuna de Navidad" u="1"/>
        <s v="Evolución del Ingreso Promedio Mensual por Persona en la comuna de Negrete" u="1"/>
        <s v="Ingreso Promedio Mensual de Mujeres y Hombres en el año 2017 en la comuna de Aisén" u="1"/>
        <s v="Evolución del Ingreso Promedio Mensual por Persona para Mujeres y Hombres en la comuna de Cerro Navia" u="1"/>
        <s v="Ingreso Promedio Mensual al año 2017 por Etnia en la comuna de Pucón" u="1"/>
        <s v="Evolución del Ingreso Promedio Mensual por Alfabetismo en la comuna de Teno" u="1"/>
        <s v="Evolución del Ingreso Promedio Mensual por Persona en la comuna de Llanquihue" u="1"/>
        <s v="Variación porcentual del Ingreso Promedio Mensual por Persona en la comuna de Calle Larga" u="1"/>
        <s v="Ingreso Promedio Mensual al año 2017 por Etnia en la comuna de Laja" u="1"/>
        <s v="Ingreso Promedio Mensual al año 2017 por Etnia en la comuna de El Bosque" u="1"/>
        <s v="Ingreso Promedio Mensual al año 2017 por Etnia en la comuna de Curaco de Vélez" u="1"/>
        <s v="Evolución del Ingreso Promedio Mensual por Alfabetismo en la comuna de Providencia" u="1"/>
        <s v="Evolución del Ingreso Promedio Mensual por Persona para Mujeres y Hombres en la comuna de La Granja" u="1"/>
        <s v="Variación porcentual del Ingreso Promedio Mensual por Persona en la comuna de Máfil" u="1"/>
        <s v="Diferencial de Ingreso Promedio Mensual de Hombres según Alfabetismo en la comuna de Vilcún" u="1"/>
        <s v="Diferencial de Ingreso Promedio Mensual de Mujeres según Alfabetismo en la comuna de Vilcún" u="1"/>
        <s v="Ingreso Promedio Mensual de Mujeres y Hombres en el año 2017 en la comuna de Panquehue" u="1"/>
        <s v="Ingreso Promedio Mensual al año 2017 por Etnia en la comuna de Romeral" u="1"/>
        <s v="Variación del Ingreso Promedio Mensual por Etnia en la comuna de Huechuraba" u="1"/>
        <s v="Ingreso Promedio Mensual de Mujeres y Hombres en el año 2017 en la comuna de Palmilla" u="1"/>
        <s v="Ingreso Promedio Mensual de Mujeres y Hombres en el año 2017 en la comuna de Santiago" u="1"/>
        <s v="Diferencial de Ingreso Promedio Mensual de Hombres según Alfabetismo en la comuna de Pirque" u="1"/>
        <s v="Diferencial de Ingreso Promedio Mensual de Mujeres según Alfabetismo en la comuna de Pirque" u="1"/>
        <s v="Evolución del Ingreso Promedio Mensual por Persona para Mujeres y Hombres en la comuna de Linares" u="1"/>
        <s v="Evolución del Ingreso Promedio Mensual por Persona para Mujeres y Hombres en la comuna de Torres del Paine" u="1"/>
        <s v="Comparativo de Ingreso Promedio Mensual entre personas con y sin alfabetización en la comuna de Curaco de Vélez" u="1"/>
        <s v="Ingreso Promedio Mensual de Mujeres y Hombres en el año 2017 en la comuna de Vitacura" u="1"/>
        <s v="Comparativo de Ingreso Promedio Mensual entre personas con y sin alfabetización en la comuna de Chillán Viejo" u="1"/>
        <s v="Evolución del Ingreso Promedio Mensual por Persona en la comuna de Lo Prado" u="1"/>
        <s v="Ingreso Promedio Mensual de Mujeres y Hombres en el año 2017 en la comuna de San Javier" u="1"/>
        <s v="Evolución del Ingreso Promedio Mensual por Persona en la comuna de Curanilahue" u="1"/>
        <s v="Ingreso Promedio Mensual de Mujeres y Hombres en el año 2017 en la comuna de Pudahuel" u="1"/>
        <s v="Diferencial de Ingreso Promedio Mensual de Hombres según Alfabetismo en la comuna de Alto Biobío" u="1"/>
        <s v="Diferencial de Ingreso Promedio Mensual de Mujeres según Alfabetismo en la comuna de Alto Biobío" u="1"/>
        <s v="Evolución del Ingreso Promedio Mensual por Etnia en la comuna de Papudo" u="1"/>
        <s v="Diferencial de Ingreso Promedio Mensual de Hombres según Alfabetismo en la comuna de Penco" u="1"/>
        <s v="Diferencial de Ingreso Promedio Mensual de Mujeres según Alfabetismo en la comuna de Penco" u="1"/>
        <s v="Evolución del Ingreso Promedio Mensual por Persona para Mujeres y Hombres en la comuna de Curanilahue" u="1"/>
        <s v="Comparativo de Ingreso Promedio Mensual entre personas con y sin alfabetización en la comuna de La Reina" u="1"/>
        <s v="Evolución del Ingreso Promedio Mensual por Persona en la comuna de Concepción" u="1"/>
        <s v="Evolución del Ingreso Promedio Mensual por Alfabetismo en la comuna de Los Vilos" u="1"/>
        <s v="Ingreso Promedio Mensual al año 2017 por Etnia en la comuna de Buin" u="1"/>
        <s v="Evolución del Ingreso Promedio Mensual por Persona en la comuna de Iquique" u="1"/>
        <s v="Variación del Ingreso Promedio Mensual por Etnia en la comuna de Chiguayante" u="1"/>
        <s v="Evolución del Ingreso Promedio Mensual por Alfabetismo en la comuna de Paiguano" u="1"/>
        <s v="Evolución del Ingreso Promedio Mensual por Alfabetismo en la comuna de Guaitecas" u="1"/>
        <s v="Evolución del Ingreso Promedio Mensual por Alfabetismo en la comuna de Lago Verde" u="1"/>
        <s v="Ingreso Promedio Mensual de Mujeres y Hombres en el año 2017 en la comuna de San Joaquín" u="1"/>
        <s v="Evolución del Ingreso Promedio Mensual por Persona para Mujeres y Hombres en la comuna de Tucapel" u="1"/>
        <s v="Ingreso Promedio Mensual al año 2017 por Etnia en la comuna de Machalí" u="1"/>
        <s v="Evolución del Ingreso Promedio Mensual por Etnia en la comuna de Requínoa" u="1"/>
        <s v="Variación del Ingreso Promedio Mensual por Etnia en la comuna de San Gregorio" u="1"/>
        <s v="Ingreso Promedio Mensual de Mujeres y Hombres en el año 2017 en la comuna de Futaleufú" u="1"/>
        <s v="Ingreso Promedio Mensual al año 2017 por Etnia en la comuna de Camiña" u="1"/>
        <s v="Diferencial de Ingreso Promedio Mensual de Hombres según Alfabetismo en la comuna de Laja" u="1"/>
        <s v="Diferencial de Ingreso Promedio Mensual de Mujeres según Alfabetismo en la comuna de Laja" u="1"/>
        <s v="Variación porcentual del Ingreso Promedio Mensual por Persona en la comuna de Chillán Viejo" u="1"/>
        <s v="Evolución del Ingreso Promedio Mensual por Persona para Mujeres y Hombres en la comuna de Parral" u="1"/>
        <s v="Diferencial de Ingreso Promedio Mensual de Hombres según Alfabetismo en la comuna de Traiguén" u="1"/>
        <s v="Diferencial de Ingreso Promedio Mensual de Mujeres según Alfabetismo en la comuna de Traiguén" u="1"/>
        <s v="Evolución del Ingreso Promedio Mensual por Persona para Mujeres y Hombres en la comuna de Teno" u="1"/>
        <s v="Ingreso Promedio Mensual de Mujeres y Hombres en el año 2017 en la comuna de Laguna Blanca" u="1"/>
        <s v="Evolución del Ingreso Promedio Mensual por Persona en la comuna de Curicó" u="1"/>
        <s v="Evolución del Ingreso Promedio Mensual por Etnia en la comuna de Pedro Aguirre Cerda" u="1"/>
        <s v="Variación porcentual del Ingreso Promedio Mensual por Persona en la comuna de Curarrehue" u="1"/>
        <s v="Ingreso Promedio Mensual al año 2017 por Etnia en la comuna de Puqueldón" u="1"/>
        <s v="Ingreso Promedio Mensual al año 2017 por Etnia en la comuna de Juan Fernández" u="1"/>
        <s v="Ingreso Promedio Mensual de Mujeres y Hombres en el año 2017 en la comuna de Lo Prado" u="1"/>
        <s v="Evolución del Ingreso Promedio Mensual por Persona para Mujeres y Hombres en la comuna de Providencia" u="1"/>
        <s v="Evolución del Ingreso Promedio Mensual por Etnia en la comuna de Peñalolén" u="1"/>
        <s v="Evolución del Ingreso Promedio Mensual por Persona en la comuna de Frutillar" u="1"/>
        <s v="Evolución del Ingreso Promedio Mensual por Etnia en la comuna de San José de Maipo" u="1"/>
        <s v="Diferencial de Ingreso Promedio Mensual de Hombres según Alfabetismo en la comuna de Corral" u="1"/>
        <s v="Diferencial de Ingreso Promedio Mensual de Mujeres según Alfabetismo en la comuna de Corral" u="1"/>
        <s v="Comparativo de Ingreso Promedio Mensual entre personas con y sin alfabetización en la comuna de Linares" u="1"/>
        <s v="Ingreso Promedio Mensual al año 2017 por Etnia en la comuna de San Felipe" u="1"/>
        <s v="Variación del Ingreso Promedio Mensual por Etnia en la comuna de Longaví" u="1"/>
        <s v="Diferencial de Ingreso Promedio Mensual de Hombres según Alfabetismo en la comuna de Chañaral" u="1"/>
        <s v="Diferencial de Ingreso Promedio Mensual de Mujeres según Alfabetismo en la comuna de Chañaral" u="1"/>
        <s v="Evolución del Ingreso Promedio Mensual por Etnia en la comuna de Vilcún" u="1"/>
        <s v="Evolución del Ingreso Promedio Mensual por Persona en la comuna de Hualaihué" u="1"/>
        <s v="Variación porcentual del Ingreso Promedio Mensual por Persona en la comuna de San Rosendo" u="1"/>
        <s v="Evolución del Ingreso Promedio Mensual por Etnia en la comuna de Curepto" u="1"/>
        <s v="Evolución del Ingreso Promedio Mensual por Alfabetismo en la comuna de Huechuraba" u="1"/>
        <s v="Evolución del Ingreso Promedio Mensual por Etnia en la comuna de Vichuquén" u="1"/>
        <s v="Evolución del Ingreso Promedio Mensual por Alfabetismo en la comuna de La Estrella" u="1"/>
        <s v="Ingreso Promedio Mensual de Mujeres y Hombres en el año 2017 en la Región de Aysén" u="1"/>
        <s v="Evolución del Ingreso Promedio Mensual por Etnia en la comuna de Primavera" u="1"/>
        <s v="Variación porcentual del Ingreso Promedio Mensual por Persona en la comuna de Lago Verde" u="1"/>
        <s v="Ingreso Promedio Mensual de Mujeres y Hombres en el año 2017 en la comuna de Villa Alegre" u="1"/>
        <s v="Variación porcentual del Ingreso Promedio Mensual por Persona en la comuna de San José de Maipo" u="1"/>
        <s v="Evolución del Ingreso Promedio Mensual por Persona para Mujeres y Hombres en la comuna de Los Vilos" u="1"/>
        <s v="Variación porcentual del Ingreso Promedio Mensual por Persona en la comuna de María Pinto" u="1"/>
        <s v="Evolución del Ingreso Promedio Mensual por Persona en la comuna de Traiguén" u="1"/>
        <s v="Evolución del Ingreso Promedio Mensual por Persona para Mujeres y Hombres en la comuna de Paiguano" u="1"/>
        <s v="Evolución del Ingreso Promedio Mensual por Persona para Mujeres y Hombres en la comuna de Guaitecas" u="1"/>
        <s v="Evolución del Ingreso Promedio Mensual por Persona para Mujeres y Hombres en la comuna de Lago Verde" u="1"/>
        <s v="Evolución del Ingreso Promedio Mensual por Persona en la comuna de El Tabo" u="1"/>
        <s v="Evolución del Ingreso Promedio Mensual por Alfabetismo en la Región de Los Ríos" u="1"/>
        <s v="Variación del Ingreso Promedio Mensual por Etnia en la comuna de María Pinto" u="1"/>
        <s v="Ingreso Promedio Mensual al año 2017 por Etnia en la comuna de San Antonio" u="1"/>
        <s v="Ingreso Promedio Mensual de Mujeres y Hombres en el año 2017 en la comuna de San Pedro" u="1"/>
        <s v="Evolución del Ingreso Promedio Mensual por Persona en la comuna de La Serena" u="1"/>
        <s v="Evolución del Ingreso Promedio Mensual por Persona en la comuna de San Clemente" u="1"/>
        <s v="Evolución del Ingreso Promedio Mensual por Etnia en la comuna de La Granja" u="1"/>
        <s v="Variación del Ingreso Promedio Mensual por Etnia en la comuna de Camarones" u="1"/>
        <s v="Diferencial de Ingreso Promedio Mensual de Hombres según Alfabetismo en la comuna de Molina" u="1"/>
        <s v="Diferencial de Ingreso Promedio Mensual de Mujeres según Alfabetismo en la comuna de Molina" u="1"/>
        <s v="Evolución del Ingreso Promedio Mensual por Alfabetismo en la comuna de Toltén" u="1"/>
        <s v="Diferencial de Ingreso Promedio Mensual de Hombres según Alfabetismo en la comuna de Quinchao" u="1"/>
        <s v="Diferencial de Ingreso Promedio Mensual de Mujeres según Alfabetismo en la comuna de Quinchao" u="1"/>
        <s v="Diferencial de Ingreso Promedio Mensual de Hombres según Alfabetismo en la comuna de Cholchol" u="1"/>
        <s v="Diferencial de Ingreso Promedio Mensual de Mujeres según Alfabetismo en la comuna de Cholchol" u="1"/>
        <s v="Comparativo de Ingreso Promedio Mensual entre personas con y sin alfabetización en la comuna de Coltauco" u="1"/>
        <s v="Evolución del Ingreso Promedio Mensual por Alfabetismo en la comuna de Collipulli" u="1"/>
        <s v="Comparativo de Ingreso Promedio Mensual entre personas con y sin alfabetización en la comuna de Chonchi" u="1"/>
        <s v="Variación porcentual del Ingreso Promedio Mensual por Persona en la comuna de Nancagua" u="1"/>
        <s v="Variación porcentual del Ingreso Promedio Mensual por Persona en la comuna de Providencia" u="1"/>
        <s v="Evolución del Ingreso Promedio Mensual por Persona para Mujeres y Hombres en la comuna de Huechuraba" u="1"/>
        <s v="Variación porcentual del Ingreso Promedio Mensual por Persona en la comuna de Pitrufquén" u="1"/>
        <s v="Evolución del Ingreso Promedio Mensual por Persona en la comuna de Coinco" u="1"/>
        <s v="Diferencial de Ingreso Promedio Mensual de Hombres según Alfabetismo en la comuna de Recoleta" u="1"/>
        <s v="Diferencial de Ingreso Promedio Mensual de Mujeres según Alfabetismo en la comuna de Recoleta" u="1"/>
        <s v="Evolución del Ingreso Promedio Mensual por Persona para Mujeres y Hombres en la comuna de La Estrella" u="1"/>
        <s v="Ingreso Promedio Mensual al año 2017 por Etnia en la comuna de Coihaique" u="1"/>
        <s v="Ingreso Promedio Mensual al año 2017 por Etnia en la comuna de Portezuelo" u="1"/>
        <s v="Evolución del Ingreso Promedio Mensual por Alfabetismo en la comuna de Navidad" u="1"/>
        <s v="Comparativo de Ingreso Promedio Mensual entre personas con y sin alfabetización en la comuna de Calama" u="1"/>
        <s v="Evolución del Ingreso Promedio Mensual por Persona en la comuna de Graneros" u="1"/>
        <s v="Evolución del Ingreso Promedio Mensual por Alfabetismo en la comuna de Chimbarongo" u="1"/>
        <s v="Comparativo de Ingreso Promedio Mensual entre personas con y sin alfabetización en la comuna de Castro" u="1"/>
        <s v="Comparativo de Ingreso Promedio Mensual entre personas con y sin alfabetización en la comuna de Navidad" u="1"/>
        <s v="Variación porcentual del Ingreso Promedio Mensual por Persona en la comuna de Rancagua" u="1"/>
        <s v="Evolución del Ingreso Promedio Mensual por Persona para Mujeres y Hombres en la Región de Los Ríos" u="1"/>
        <s v="Comparativo de Ingreso Promedio Mensual entre personas con y sin alfabetización en la comuna de Codegua" u="1"/>
        <s v="Evolución del Ingreso Promedio Mensual por Persona en la comuna de Licantén" u="1"/>
        <s v="Ingreso Promedio Mensual al año 2017 por Etnia en la comuna de Alto del Carmen" u="1"/>
        <s v="Diferencial de Ingreso Promedio Mensual de Hombres según Alfabetismo en la comuna de Porvenir" u="1"/>
        <s v="Diferencial de Ingreso Promedio Mensual de Mujeres según Alfabetismo en la comuna de Porvenir" u="1"/>
        <s v="Ingreso Promedio Mensual al año 2017 por Etnia en la comuna de Calera de Tango" u="1"/>
        <s v="Ingreso Promedio Mensual de Mujeres y Hombres en el año 2017 en la comuna de Río Bueno" u="1"/>
        <s v="Evolución del Ingreso Promedio Mensual por Persona para Mujeres y Hombres en la comuna de Toltén" u="1"/>
        <s v="Ingreso Promedio Mensual de Mujeres y Hombres en el año 2017 en la comuna de La Granja" u="1"/>
        <s v="Variación del Ingreso Promedio Mensual por Etnia en la comuna de San Felipe" u="1"/>
        <s v="Evolución del Ingreso Promedio Mensual por Persona en la comuna de Quirihue" u="1"/>
        <s v="Evolución del Ingreso Promedio Mensual por Etnia en la comuna de Alto Hospicio" u="1"/>
        <s v="Ingreso Promedio Mensual de Mujeres y Hombres en el año 2017 en la comuna de Rancagua" u="1"/>
        <s v="Evolución del Ingreso Promedio Mensual por Etnia en la comuna de Palena" u="1"/>
        <s v="Evolución del Ingreso Promedio Mensual por Persona para Mujeres y Hombres en la comuna de Collipulli" u="1"/>
        <s v="Evolución del Ingreso Promedio Mensual por Etnia en la comuna de Talagante" u="1"/>
        <s v="Variación del Ingreso Promedio Mensual por Etnia en la comuna de Yungay" u="1"/>
        <s v="Ingreso Promedio Mensual de Mujeres y Hombres en el año 2017 en la comuna de Pumanque" u="1"/>
        <s v="Evolución del Ingreso Promedio Mensual por Persona para Mujeres y Hombres en la comuna de Navidad" u="1"/>
        <s v="Evolución del Ingreso Promedio Mensual por Alfabetismo en la comuna de Río Negro" u="1"/>
        <s v="Ingreso Promedio Mensual al año 2017 por Etnia en la comuna de Combarbalá" u="1"/>
        <s v="Evolución del Ingreso Promedio Mensual por Alfabetismo en la comuna de Los Alamos" u="1"/>
        <s v="Evolución del Ingreso Promedio Mensual por Etnia en la comuna de Olmué" u="1"/>
        <s v="Ingreso Promedio Mensual al año 2017 por Etnia en la comuna de Doñihue" u="1"/>
        <s v="Evolución del Ingreso Promedio Mensual por Persona en la comuna de Puchuncaví" u="1"/>
        <s v="Variación porcentual del Ingreso Promedio Mensual por Persona en la comuna de Hualpén" u="1"/>
        <s v="Evolución del Ingreso Promedio Mensual por Persona para Mujeres y Hombres en la comuna de Chimbarongo" u="1"/>
        <s v="Evolución del Ingreso Promedio Mensual por Etnia en la comuna de La Cisterna" u="1"/>
        <s v="Evolución del Ingreso Promedio Mensual por Persona en la comuna de Pichidegua" u="1"/>
        <s v="Diferencial de Ingreso Promedio Mensual de Hombres según Alfabetismo en la comuna de Fresia" u="1"/>
        <s v="Diferencial de Ingreso Promedio Mensual de Mujeres según Alfabetismo en la comuna de Fresia" u="1"/>
        <s v="Evolución del Ingreso Promedio Mensual por Etnia en la comuna de Algarrobo" u="1"/>
        <s v="Diferencial de Ingreso Promedio Mensual de Hombres según Alfabetismo en la comuna de Olmué" u="1"/>
        <s v="Diferencial de Ingreso Promedio Mensual de Mujeres según Alfabetismo en la comuna de Olmué" u="1"/>
        <s v="Diferencial de Ingreso Promedio Mensual de Hombres según Alfabetismo en la comuna de Taltal" u="1"/>
        <s v="Diferencial de Ingreso Promedio Mensual de Mujeres según Alfabetismo en la comuna de Taltal" u="1"/>
        <s v="Ingreso Promedio Mensual al año 2017 por Etnia en la comuna de Lolol" u="1"/>
        <s v="Evolución del Ingreso Promedio Mensual por Etnia en la comuna de Galvarino" u="1"/>
        <s v="Evolución del Ingreso Promedio Mensual por Alfabetismo en la comuna de Llaillay" u="1"/>
        <s v="Ingreso Promedio Mensual al año 2017 por Etnia en la comuna de Ollagüe" u="1"/>
        <s v="Variación del Ingreso Promedio Mensual por Etnia en la comuna de Pelluhue" u="1"/>
        <s v="Evolución del Ingreso Promedio Mensual por Alfabetismo en la comuna de Nancagua" u="1"/>
        <s v="Diferencial de Ingreso Promedio Mensual de Hombres según Alfabetismo en la comuna de Quinta de Tilcoco" u="1"/>
        <s v="Diferencial de Ingreso Promedio Mensual de Mujeres según Alfabetismo en la comuna de Quinta de Tilcoco" u="1"/>
        <s v="Comparativo de Ingreso Promedio Mensual entre personas con y sin alfabetización en la comuna de San Miguel" u="1"/>
        <s v="Diferencial de Ingreso Promedio Mensual de Hombres según Alfabetismo en la comuna de Arauco" u="1"/>
        <s v="Diferencial de Ingreso Promedio Mensual de Mujeres según Alfabetismo en la comuna de Arauco" u="1"/>
        <s v="Evolución del Ingreso Promedio Mensual por Etnia en la comuna de Freire" u="1"/>
        <s v="Variación porcentual del Ingreso Promedio Mensual por Persona en la comuna de Villa Alegre" u="1"/>
        <s v="Evolución del Ingreso Promedio Mensual por Persona en la comuna de Puerto Varas" u="1"/>
        <s v="Evolución del Ingreso Promedio Mensual por Alfabetismo en la comuna de Pucón" u="1"/>
        <s v="Evolución del Ingreso Promedio Mensual por Persona para Mujeres y Hombres en la comuna de Río Negro" u="1"/>
        <s v="Diferencial de Ingreso Promedio Mensual de Hombres según Alfabetismo en la comuna de Frutillar" u="1"/>
        <s v="Diferencial de Ingreso Promedio Mensual de Mujeres según Alfabetismo en la comuna de Frutillar" u="1"/>
        <s v="Evolución del Ingreso Promedio Mensual por Persona para Mujeres y Hombres en la comuna de Los Alamos" u="1"/>
        <s v="Variación porcentual del Ingreso Promedio Mensual por Persona en la comuna de Yumbel" u="1"/>
        <s v="Diferencial de Ingreso Promedio Mensual de Hombres según Alfabetismo en la comuna de Peñalolén" u="1"/>
        <s v="Diferencial de Ingreso Promedio Mensual de Mujeres según Alfabetismo en la comuna de Peñalolén" u="1"/>
        <s v="Variación del Ingreso Promedio Mensual por Etnia en la comuna de Nueva Imperial" u="1"/>
        <s v="Ingreso Promedio Mensual de Mujeres y Hombres en el año 2017 en la comuna de Paine" u="1"/>
        <s v="Evolución del Ingreso Promedio Mensual por Alfabetismo en la comuna de Licantén" u="1"/>
        <s v="Variación porcentual del Ingreso Promedio Mensual por Persona en la comuna de Peñaflor" u="1"/>
        <s v="Comparativo de Ingreso Promedio Mensual entre personas con y sin alfabetización en la comuna de Requínoa" u="1"/>
        <s v="Ingreso Promedio Mensual de Mujeres y Hombres en el año 2017 en la comuna de Collipulli" u="1"/>
        <s v="Evolución del Ingreso Promedio Mensual por Persona en la comuna de Las Condes" u="1"/>
        <s v="Ingreso Promedio Mensual de Mujeres y Hombres en el año 2017 en la comuna de Nancagua" u="1"/>
        <s v="Evolución del Ingreso Promedio Mensual por Persona en la comuna de Lago Verde" u="1"/>
        <s v="Evolución del Ingreso Promedio Mensual por Etnia en la comuna de Cabo de Hornos" u="1"/>
        <s v="Diferencial de Ingreso Promedio Mensual de Hombres según Alfabetismo en la comuna de Osorno" u="1"/>
        <s v="Diferencial de Ingreso Promedio Mensual de Mujeres según Alfabetismo en la comuna de Osorno" u="1"/>
        <s v="Diferencial de Ingreso Promedio Mensual de Hombres según Alfabetismo en la comuna de Río Hurtado" u="1"/>
        <s v="Diferencial de Ingreso Promedio Mensual de Mujeres según Alfabetismo en la comuna de Río Hurtado" u="1"/>
        <s v="Comparativo de Ingreso Promedio Mensual entre personas con y sin alfabetización en la comuna de Cabrero" u="1"/>
        <s v="Evolución del Ingreso Promedio Mensual por Persona en la comuna de San Felipe" u="1"/>
        <s v="Ingreso Promedio Mensual de Mujeres y Hombres en el año 2017 en la comuna de Hualañé" u="1"/>
        <s v="Evolución del Ingreso Promedio Mensual por Persona para Mujeres y Hombres en la comuna de Llaillay" u="1"/>
        <s v="Ingreso Promedio Mensual al año 2017 por Etnia en la comuna de Vicuña" u="1"/>
        <s v="Evolución del Ingreso Promedio Mensual por Persona para Mujeres y Hombres en la comuna de Nancagua" u="1"/>
        <s v="Comparativo de Ingreso Promedio Mensual entre personas con y sin alfabetización en la comuna de La Cruz" u="1"/>
        <s v="Variación del Ingreso Promedio Mensual por Etnia en la comuna de Lautaro" u="1"/>
        <s v="Comparativo de Ingreso Promedio Mensual entre personas con y sin alfabetización en la comuna de San Juan de La Costa" u="1"/>
        <s v="Evolución del Ingreso Promedio Mensual por Alfabetismo en la comuna de Cobquecura" u="1"/>
        <s v="Comparativo de Ingreso Promedio Mensual entre personas con y sin alfabetización en la comuna de Coquimbo" u="1"/>
        <s v="Comparativo de Ingreso Promedio Mensual entre personas con y sin alfabetización en la Región de Coquimbo" u="1"/>
        <s v="Ingreso Promedio Mensual de Mujeres y Hombres en el año 2017 en la comuna de Putaendo" u="1"/>
        <s v="Ingreso Promedio Mensual de Mujeres y Hombres en el año 2017 en la comuna de Lago Verde" u="1"/>
        <s v="Evolución del Ingreso Promedio Mensual por Etnia en la comuna de Ñiquén" u="1"/>
        <s v="Evolución del Ingreso Promedio Mensual por Persona en la comuna de Dalcahue" u="1"/>
        <s v="Variación porcentual del Ingreso Promedio Mensual por Persona en la comuna de Lo Prado" u="1"/>
        <s v="Evolución del Ingreso Promedio Mensual por Persona para Mujeres y Hombres en la comuna de Pucón" u="1"/>
        <s v="Ingreso Promedio Mensual de Mujeres y Hombres en el año 2017 en la comuna de Punta Arenas" u="1"/>
        <s v="Ingreso Promedio Mensual al año 2017 por Etnia en la comuna de Paine" u="1"/>
        <s v="Evolución del Ingreso Promedio Mensual por Persona en la comuna de Lanco" u="1"/>
        <s v="Diferencial de Ingreso Promedio Mensual de Hombres según Alfabetismo en la comuna de Lanco" u="1"/>
        <s v="Diferencial de Ingreso Promedio Mensual de Mujeres según Alfabetismo en la comuna de Lanco" u="1"/>
        <s v="Evolución del Ingreso Promedio Mensual por Persona para Mujeres y Hombres en la comuna de Licantén" u="1"/>
        <s v="Evolución del Ingreso Promedio Mensual por Etnia en la comuna de Quinta Normal" u="1"/>
        <s v="Variación porcentual del Ingreso Promedio Mensual por Persona en la comuna de Padre Hurtado" u="1"/>
        <s v="Comparativo de Ingreso Promedio Mensual entre personas con y sin alfabetización en la comuna de Cerrillos" u="1"/>
        <s v="Variación del Ingreso Promedio Mensual por Etnia en la comuna de Andacollo" u="1"/>
        <s v="Variación porcentual del Ingreso Promedio Mensual por Persona en la comuna de Pica" u="1"/>
        <s v="Comparativo de Ingreso Promedio Mensual entre personas con y sin alfabetización en la comuna de Punitaqui" u="1"/>
        <s v="Evolución del Ingreso Promedio Mensual por Etnia en la comuna de Huasco" u="1"/>
        <s v="Diferencial de Ingreso Promedio Mensual de Hombres según Alfabetismo en la comuna de Los Muermos" u="1"/>
        <s v="Diferencial de Ingreso Promedio Mensual de Mujeres según Alfabetismo en la comuna de Los Muermos" u="1"/>
        <s v="Evolución del Ingreso Promedio Mensual por Persona en la comuna de Peralillo" u="1"/>
        <s v="Variación porcentual del Ingreso Promedio Mensual por Persona en la comuna de Natales" u="1"/>
        <s v="Diferencial de Ingreso Promedio Mensual de Hombres según Alfabetismo en la comuna de General Lagos" u="1"/>
        <s v="Diferencial de Ingreso Promedio Mensual de Mujeres según Alfabetismo en la comuna de General Lagos" u="1"/>
        <s v="Variación porcentual del Ingreso Promedio Mensual por Persona en la comuna de El Quisco" u="1"/>
        <s v="Variación porcentual del Ingreso Promedio Mensual por Persona en la comuna de Pemuco" u="1"/>
        <s v="Ingreso Promedio Mensual al año 2017 por Etnia en la comuna de La Estrella" u="1"/>
        <s v="Evolución del Ingreso Promedio Mensual por Alfabetismo en la comuna de Mariquina" u="1"/>
        <s v="Variación del Ingreso Promedio Mensual por Etnia en la comuna de Sagrada Familia" u="1"/>
        <s v="Evolución del Ingreso Promedio Mensual por Alfabetismo en la comuna de La Cisterna" u="1"/>
        <s v="Variación porcentual del Ingreso Promedio Mensual por Persona en la comuna de Florida" u="1"/>
        <s v="Evolución del Ingreso Promedio Mensual por Persona para Mujeres y Hombres en la comuna de Cobquecura" u="1"/>
        <s v="Ingreso Promedio Mensual al año 2017 por Etnia en la comuna de Antuco" u="1"/>
        <s v="Ingreso Promedio Mensual de Mujeres y Hombres en el año 2017 en la comuna de Tucapel" u="1"/>
        <s v="Variación porcentual del Ingreso Promedio Mensual por Persona en la comuna de Río Hurtado" u="1"/>
        <s v="Ingreso Promedio Mensual al año 2017 por Etnia en la comuna de Coquimbo" u="1"/>
        <s v="Ingreso Promedio Mensual al año 2017 por Etnia en la Región de Coquimbo" u="1"/>
        <s v="Evolución del Ingreso Promedio Mensual por Alfabetismo en la comuna de Curepto" u="1"/>
        <s v="Evolución del Ingreso Promedio Mensual por Etnia en la comuna de Cabildo" u="1"/>
        <s v="Variación porcentual del Ingreso Promedio Mensual por Persona en la comuna de San Carlos" u="1"/>
        <s v="Diferencial de Ingreso Promedio Mensual de Hombres según Alfabetismo en la comuna de Pichidegua" u="1"/>
        <s v="Diferencial de Ingreso Promedio Mensual de Mujeres según Alfabetismo en la comuna de Pichidegua" u="1"/>
        <s v="Evolución del Ingreso Promedio Mensual por Etnia en la comuna de Calama" u="1"/>
        <s v="Evolución del Ingreso Promedio Mensual por Alfabetismo en la comuna de Hualqui" u="1"/>
        <s v="Comparativo de Ingreso Promedio Mensual entre personas con y sin alfabetización en la comuna de Concón" u="1"/>
        <s v="Variación porcentual del Ingreso Promedio Mensual por Persona en la comuna de Temuco" u="1"/>
        <s v="Evolución del Ingreso Promedio Mensual por Alfabetismo en la comuna de Retiro" u="1"/>
        <s v="Evolución del Ingreso Promedio Mensual por Persona en la comuna de El Carmen" u="1"/>
        <s v="Evolución del Ingreso Promedio Mensual por Persona en la comuna de San Gregorio" u="1"/>
        <s v="Variación del Ingreso Promedio Mensual por Etnia en la comuna de Yumbel" u="1"/>
        <s v="Ingreso Promedio Mensual de Mujeres y Hombres en el año 2017 en la comuna de Antuco" u="1"/>
        <s v="Variación porcentual del Ingreso Promedio Mensual por Persona en la comuna de Talca" u="1"/>
        <s v="Diferencial de Ingreso Promedio Mensual de Hombres según Alfabetismo en la comuna de Pinto" u="1"/>
        <s v="Diferencial de Ingreso Promedio Mensual de Mujeres según Alfabetismo en la comuna de Pinto" u="1"/>
        <s v="Diferencial de Ingreso Promedio Mensual de Hombres según Alfabetismo en la comuna de Portezuelo" u="1"/>
        <s v="Diferencial de Ingreso Promedio Mensual de Mujeres según Alfabetismo en la comuna de Portezuelo" u="1"/>
        <s v="Evolución del Ingreso Promedio Mensual por Persona en la comuna de Ovalle" u="1"/>
        <s v="Evolución del Ingreso Promedio Mensual por Persona en la comuna de San Juan de La Costa" u="1"/>
        <s v="Variación del Ingreso Promedio Mensual por Etnia en la comuna de Puchuncaví" u="1"/>
        <s v="Evolución del Ingreso Promedio Mensual por Persona en la comuna de Camarones" u="1"/>
        <s v="Variación del Ingreso Promedio Mensual por Etnia en la comuna de Calle Larga" u="1"/>
        <s v="Variación porcentual del Ingreso Promedio Mensual por Persona en la Región del Biobío" u="1"/>
        <s v="Comparativo de Ingreso Promedio Mensual entre personas con y sin alfabetización en la comuna de Purranque" u="1"/>
        <s v="Diferencial de Ingreso Promedio Mensual de Hombres según Alfabetismo en la comuna de Santa Juana" u="1"/>
        <s v="Diferencial de Ingreso Promedio Mensual de Mujeres según Alfabetismo en la comuna de Santa Juana" u="1"/>
        <s v="Evolución del Ingreso Promedio Mensual por Persona para Mujeres y Hombres en la comuna de Mariquina" u="1"/>
        <s v="Evolución del Ingreso Promedio Mensual por Persona para Mujeres y Hombres en la comuna de La Cisterna" u="1"/>
        <s v="Comparativo de Ingreso Promedio Mensual entre personas con y sin alfabetización en la comuna de Romeral" u="1"/>
        <s v="Evolución del Ingreso Promedio Mensual por Etnia en la comuna de Traiguén" u="1"/>
        <s v="Ingreso Promedio Mensual al año 2017 por Etnia en la comuna de San Fabián" u="1"/>
        <s v="Evolución del Ingreso Promedio Mensual por Persona en la comuna de Monte Patria" u="1"/>
        <s v="Variación del Ingreso Promedio Mensual por Etnia en la comuna de San Juan de La Costa" u="1"/>
        <s v="Variación del Ingreso Promedio Mensual por Etnia en la comuna de Peumo" u="1"/>
        <s v="Ingreso Promedio Mensual al año 2017 por Etnia en la comuna de Pichidegua" u="1"/>
        <s v="Evolución del Ingreso Promedio Mensual por Persona para Mujeres y Hombres en la comuna de Curepto" u="1"/>
        <s v="Evolución del Ingreso Promedio Mensual por Alfabetismo en la comuna de Rancagua" u="1"/>
        <s v="Variación porcentual del Ingreso Promedio Mensual por Persona en la comuna de Illapel" u="1"/>
        <s v="Variación porcentual del Ingreso Promedio Mensual por Persona en la comuna de San Nicolás" u="1"/>
        <s v="Evolución del Ingreso Promedio Mensual por Persona para Mujeres y Hombres en la comuna de Hualqui" u="1"/>
        <s v="Evolución del Ingreso Promedio Mensual por Alfabetismo en la comuna de Renca" u="1"/>
        <s v="Evolución del Ingreso Promedio Mensual por Alfabetismo en la comuna de Rinconada" u="1"/>
        <s v="Diferencial de Ingreso Promedio Mensual de Hombres según Alfabetismo en la comuna de San Antonio" u="1"/>
        <s v="Diferencial de Ingreso Promedio Mensual de Mujeres según Alfabetismo en la comuna de San Antonio" u="1"/>
        <s v="Evolución del Ingreso Promedio Mensual por Persona para Mujeres y Hombres en la comuna de Retiro" u="1"/>
        <s v="Ingreso Promedio Mensual al año 2017 por Etnia en la comuna de Limache" u="1"/>
        <s v="Evolución del Ingreso Promedio Mensual por Etnia en la comuna de Constitución" u="1"/>
        <s v="Evolución del Ingreso Promedio Mensual por Etnia en la comuna de San Fernando" u="1"/>
        <s v="Evolución del Ingreso Promedio Mensual por Persona en la comuna de Queilén" u="1"/>
        <s v="Evolución del Ingreso Promedio Mensual por Persona en la comuna de San Nicolás" u="1"/>
        <s v="Comparativo de Ingreso Promedio Mensual entre personas con y sin alfabetización en la comuna de Santo Domingo" u="1"/>
        <s v="Ingreso Promedio Mensual al año 2017 por Etnia en la comuna de Santa Bárbara" u="1"/>
        <s v="Evolución del Ingreso Promedio Mensual por Persona en la comuna de Isla de Maipo" u="1"/>
        <s v="Evolución del Ingreso Promedio Mensual por Etnia en la comuna de Chaitén" u="1"/>
        <s v="Variación porcentual del Ingreso Promedio Mensual por Persona en la comuna de Toltén" u="1"/>
        <s v="Ingreso Promedio Mensual al año 2017 por Etnia en la comuna de Talcahuano" u="1"/>
        <s v="Evolución del Ingreso Promedio Mensual por Etnia en la comuna de Coihueco" u="1"/>
        <s v="Comparativo de Ingreso Promedio Mensual entre personas con y sin alfabetización en la comuna de Quilicura" u="1"/>
        <s v="Evolución del Ingreso Promedio Mensual por Persona en la comuna de Lo Espejo" u="1"/>
        <s v="Ingreso Promedio Mensual de Mujeres y Hombres en el año 2017 en la comuna de Quinta de Tilcoco" u="1"/>
        <s v="Ingreso Promedio Mensual al año 2017 por Etnia en la comuna de Chillán Viejo" u="1"/>
        <s v="Evolución del Ingreso Promedio Mensual por Persona en la comuna de San Pedro de Atacama" u="1"/>
        <s v="Evolución del Ingreso Promedio Mensual por Persona en la comuna de Malloa" u="1"/>
        <s v="Comparativo de Ingreso Promedio Mensual entre personas con y sin alfabetización en la comuna de Combarbalá" u="1"/>
        <s v="Evolución del Ingreso Promedio Mensual por Alfabetismo en la comuna de General Lagos" u="1"/>
        <s v="Diferencial de Ingreso Promedio Mensual de Hombres según Alfabetismo en la comuna de Las Condes" u="1"/>
        <s v="Diferencial de Ingreso Promedio Mensual de Mujeres según Alfabetismo en la comuna de Las Condes" u="1"/>
        <s v="Comparativo de Ingreso Promedio Mensual entre personas con y sin alfabetización en la comuna de Saavedra" u="1"/>
        <s v="Variación porcentual del Ingreso Promedio Mensual por Persona en la comuna de Osorno" u="1"/>
        <s v="Diferencial de Ingreso Promedio Mensual de Hombres según Alfabetismo en la comuna de Putre" u="1"/>
        <s v="Diferencial de Ingreso Promedio Mensual de Mujeres según Alfabetismo en la comuna de Putre" u="1"/>
        <s v="Evolución del Ingreso Promedio Mensual por Persona en la comuna de La Florida" u="1"/>
        <s v="Ingreso Promedio Mensual de Mujeres y Hombres en el año 2017 en la comuna de Panguipulli" u="1"/>
        <s v="Ingreso Promedio Mensual al año 2017 por Etnia en la comuna de Puerto Varas" u="1"/>
        <s v="Variación porcentual del Ingreso Promedio Mensual por Persona en la comuna de Cisnes" u="1"/>
        <s v="Ingreso Promedio Mensual de Mujeres y Hombres en el año 2017 en la comuna de Victoria" u="1"/>
        <s v="Ingreso Promedio Mensual al año 2017 por Etnia en la comuna de O'Higgins" u="1"/>
        <s v="Ingreso Promedio Mensual al año 2017 por Etnia en la Región de O'Higgins" u="1"/>
        <s v="Evolución del Ingreso Promedio Mensual por Persona para Mujeres y Hombres en la comuna de Rancagua" u="1"/>
        <s v="Evolución del Ingreso Promedio Mensual por Persona en la comuna de Río Ibáñez" u="1"/>
        <s v="Variación porcentual del Ingreso Promedio Mensual por Persona en la comuna de San Javier" u="1"/>
        <s v="Evolución del Ingreso Promedio Mensual por Persona en la comuna de Los Angeles" u="1"/>
        <s v="Diferencial de Ingreso Promedio Mensual de Hombres según Alfabetismo en la comuna de La Serena" u="1"/>
        <s v="Diferencial de Ingreso Promedio Mensual de Mujeres según Alfabetismo en la comuna de La Serena" u="1"/>
        <s v="Evolución del Ingreso Promedio Mensual por Persona para Mujeres y Hombres en la comuna de Renca" u="1"/>
        <s v="Ingreso Promedio Mensual al año 2017 por Etnia en la comuna de Río Verde" u="1"/>
        <s v="Evolución del Ingreso Promedio Mensual por Persona para Mujeres y Hombres en la comuna de Rinconada" u="1"/>
        <s v="Diferencial de Ingreso Promedio Mensual de Hombres según Alfabetismo en la comuna de Nacimiento" u="1"/>
        <s v="Diferencial de Ingreso Promedio Mensual de Mujeres según Alfabetismo en la comuna de Nacimiento" u="1"/>
        <s v="Comparativo de Ingreso Promedio Mensual entre personas con y sin alfabetización en la comuna de Queilén" u="1"/>
        <s v="Ingreso Promedio Mensual al año 2017 por Etnia en la comuna de El Monte" u="1"/>
        <s v="Evolución del Ingreso Promedio Mensual por Alfabetismo en la comuna de Doñihue" u="1"/>
        <s v="Diferencial de Ingreso Promedio Mensual de Hombres según Alfabetismo en la comuna de Pica" u="1"/>
        <s v="Diferencial de Ingreso Promedio Mensual de Mujeres según Alfabetismo en la comuna de Pica" u="1"/>
        <s v="Variación del Ingreso Promedio Mensual por Etnia en la comuna de Paredones" u="1"/>
        <s v="Ingreso Promedio Mensual al año 2017 por Etnia en la comuna de San Gregorio" u="1"/>
        <s v="Evolución del Ingreso Promedio Mensual por Alfabetismo en la comuna de Cauquenes" u="1"/>
        <s v="Diferencial de Ingreso Promedio Mensual de Hombres según Alfabetismo en la comuna de Galvarino" u="1"/>
        <s v="Diferencial de Ingreso Promedio Mensual de Mujeres según Alfabetismo en la comuna de Galvarino" u="1"/>
        <s v="Evolución del Ingreso Promedio Mensual por Persona en la comuna de Santa Bárbara" u="1"/>
        <s v="Variación porcentual del Ingreso Promedio Mensual por Persona en la Región de La Araucanía" u="1"/>
        <s v="Diferencial de Ingreso Promedio Mensual de Hombres según Alfabetismo en la comuna de Quilleco" u="1"/>
        <s v="Diferencial de Ingreso Promedio Mensual de Mujeres según Alfabetismo en la comuna de Quilleco" u="1"/>
        <s v="Ingreso Promedio Mensual al año 2017 por Etnia en la comuna de Chonchi" u="1"/>
        <s v="Ingreso Promedio Mensual al año 2017 por Etnia en la comuna de Los Vilos" u="1"/>
        <s v="Variación del Ingreso Promedio Mensual por Etnia en la comuna de La Ligua" u="1"/>
        <s v="Variación porcentual del Ingreso Promedio Mensual por Persona en la comuna de Curacaví" u="1"/>
        <s v="Evolución del Ingreso Promedio Mensual por Persona para Mujeres y Hombres en la comuna de General Lagos" u="1"/>
        <s v="Comparativo de Ingreso Promedio Mensual entre personas con y sin alfabetización en la comuna de Quirihue" u="1"/>
        <s v="Evolución del Ingreso Promedio Mensual por Etnia en la comuna de Lota" u="1"/>
        <s v="Variación del Ingreso Promedio Mensual por Etnia en la comuna de San Antonio" u="1"/>
        <s v="Diferencial de Ingreso Promedio Mensual de Hombres según Alfabetismo en la comuna de Catemu" u="1"/>
        <s v="Diferencial de Ingreso Promedio Mensual de Mujeres según Alfabetismo en la comuna de Catemu" u="1"/>
        <s v="Comparativo de Ingreso Promedio Mensual entre personas con y sin alfabetización en la comuna de Pichilemu" u="1"/>
        <s v="Variación del Ingreso Promedio Mensual por Etnia en la comuna de Mulchén" u="1"/>
        <s v="Evolución del Ingreso Promedio Mensual por Etnia en la comuna de Puerto Octay" u="1"/>
        <s v="Evolución del Ingreso Promedio Mensual por Alfabetismo en la comuna de Curaco de Vélez" u="1"/>
        <s v="Ingreso Promedio Mensual al año 2017 por Etnia en la comuna de Llaillay" u="1"/>
        <s v="Ingreso Promedio Mensual de Mujeres y Hombres en el año 2017 en la comuna de Las Condes" u="1"/>
        <s v="Comparativo de Ingreso Promedio Mensual entre personas con y sin alfabetización en la comuna de Huara" u="1"/>
        <s v="Variación porcentual del Ingreso Promedio Mensual por Persona en la comuna de Valdivia" u="1"/>
        <s v="Variación del Ingreso Promedio Mensual por Etnia en la comuna de Curacautín" u="1"/>
        <s v="Ingreso Promedio Mensual de Mujeres y Hombres en el año 2017 en la comuna de Tierra Amarilla" u="1"/>
        <s v="Variación porcentual del Ingreso Promedio Mensual por Persona en la comuna de Cabo de Hornos" u="1"/>
        <s v="Ingreso Promedio Mensual al año 2017 por Etnia en la comuna de Isla de Pascua" u="1"/>
        <s v="Evolución del Ingreso Promedio Mensual por Persona en la comuna de Puerto Octay" u="1"/>
        <s v="Variación porcentual del Ingreso Promedio Mensual por Persona en la comuna de Cochamó" u="1"/>
        <s v="Variación del Ingreso Promedio Mensual por Etnia en la comuna de Lebu" u="1"/>
        <s v="Evolución del Ingreso Promedio Mensual por Alfabetismo en la comuna de Quintero" u="1"/>
        <s v="Variación del Ingreso Promedio Mensual por Etnia en la comuna de Talca" u="1"/>
        <s v="Ingreso Promedio Mensual al año 2017 por Etnia en la comuna de Los Muermos" u="1"/>
        <s v="Comparativo de Ingreso Promedio Mensual entre personas con y sin alfabetización en la comuna de San Fernando" u="1"/>
        <s v="Evolución del Ingreso Promedio Mensual por Persona para Mujeres y Hombres en la comuna de Doñihue" u="1"/>
        <s v="Comparativo de Ingreso Promedio Mensual entre personas con y sin alfabetización en la comuna de Villarrica" u="1"/>
        <s v="Ingreso Promedio Mensual al año 2017 por Etnia en la comuna de Curepto" u="1"/>
        <s v="Variación del Ingreso Promedio Mensual por Etnia en la comuna de Yerbas Buenas" u="1"/>
        <s v="Evolución del Ingreso Promedio Mensual por Persona para Mujeres y Hombres en la comuna de Cauquenes" u="1"/>
        <s v="Evolución del Ingreso Promedio Mensual por Etnia en la comuna de Peralillo" u="1"/>
        <s v="Variación porcentual del Ingreso Promedio Mensual por Persona en la comuna de Lautaro" u="1"/>
        <s v="Variación del Ingreso Promedio Mensual por Etnia en la comuna de Los Alamos" u="1"/>
        <s v="Evolución del Ingreso Promedio Mensual por Etnia en la comuna de San Rafael" u="1"/>
        <s v="Evolución del Ingreso Promedio Mensual por Etnia en la comuna de San Pedro de la Paz" u="1"/>
        <s v="Variación porcentual del Ingreso Promedio Mensual por Persona en la comuna de Cauquenes" u="1"/>
        <s v="Evolución del Ingreso Promedio Mensual por Persona en la comuna de Mejillones" u="1"/>
        <s v="Ingreso Promedio Mensual de Mujeres y Hombres en el año 2017 en la comuna de Petorca" u="1"/>
        <s v="Evolución del Ingreso Promedio Mensual por Persona para Mujeres y Hombres en la comuna de Curaco de Vélez" u="1"/>
        <s v="Ingreso Promedio Mensual al año 2017 por Etnia en la comuna de Ránquil" u="1"/>
        <s v="Variación del Ingreso Promedio Mensual por Etnia en la comuna de Coronel" u="1"/>
        <s v="Variación del Ingreso Promedio Mensual por Etnia en la Región de Arica y Parinacota" u="1"/>
        <s v="Diferencial de Ingreso Promedio Mensual de Hombres según Alfabetismo en la comuna de San Pedro de la Paz" u="1"/>
        <s v="Diferencial de Ingreso Promedio Mensual de Mujeres según Alfabetismo en la comuna de San Pedro de la Paz" u="1"/>
        <s v="Evolución del Ingreso Promedio Mensual por Etnia en la comuna de Purén" u="1"/>
        <s v="Evolución del Ingreso Promedio Mensual por Etnia en la comuna de Chillán Viejo" u="1"/>
        <s v="Comparativo de Ingreso Promedio Mensual entre personas con y sin alfabetización en la comuna de Bulnes" u="1"/>
        <s v="Comparativo de Ingreso Promedio Mensual entre personas con y sin alfabetización en la comuna de Camiña" u="1"/>
        <s v="Evolución del Ingreso Promedio Mensual por Etnia en la comuna de Los Lagos" u="1"/>
        <s v="Evolución del Ingreso Promedio Mensual por Etnia en la comuna de Marchihue" u="1"/>
        <s v="Evolución del Ingreso Promedio Mensual por Etnia en la Región de Los Lagos" u="1"/>
        <s v="Ingreso Promedio Mensual al año 2017 por Etnia en la comuna de Alhué" u="1"/>
        <s v="Evolución del Ingreso Promedio Mensual por Persona en la comuna de Zapallar" u="1"/>
        <s v="Ingreso Promedio Mensual de Mujeres y Hombres en el año 2017 en la comuna de Coinco" u="1"/>
        <s v="Evolución del Ingreso Promedio Mensual por Etnia en la comuna de Angol" u="1"/>
        <s v="Variación del Ingreso Promedio Mensual por Etnia en la comuna de Litueche" u="1"/>
        <s v="Evolución del Ingreso Promedio Mensual por Persona para Mujeres y Hombres en la comuna de Quintero" u="1"/>
        <s v="Ingreso Promedio Mensual de Mujeres y Hombres en el año 2017 en la comuna de Algarrobo" u="1"/>
        <s v="Variación porcentual del Ingreso Promedio Mensual por Persona en la comuna de Panguipulli" u="1"/>
        <s v="Ingreso Promedio Mensual al año 2017 por Etnia en la comuna de Maullín" u="1"/>
        <s v="Evolución del Ingreso Promedio Mensual por Alfabetismo en la comuna de Ñiquén" u="1"/>
        <s v="Evolución del Ingreso Promedio Mensual por Alfabetismo en la comuna de Peralillo" u="1"/>
        <s v="Comparativo de Ingreso Promedio Mensual entre personas con y sin alfabetización en la comuna de Nueva Imperial" u="1"/>
        <s v="Variación del Ingreso Promedio Mensual por Etnia en la comuna de Sierra Gorda" u="1"/>
        <s v="Variación porcentual del Ingreso Promedio Mensual por Persona en la Región de Ñuble" u="1"/>
        <s v="Variación porcentual del Ingreso Promedio Mensual por Persona en la comuna de Iquique" u="1"/>
        <s v="Ingreso Promedio Mensual al año 2017 por Etnia en la comuna de La Granja" u="1"/>
        <s v="Ingreso Promedio Mensual de Mujeres y Hombres en el año 2017 en la comuna de Papudo" u="1"/>
        <s v="Variación porcentual del Ingreso Promedio Mensual por Persona en la comuna de Curicó" u="1"/>
        <s v="Variación del Ingreso Promedio Mensual por Etnia en la comuna de Iquique" u="1"/>
        <s v="Variación del Ingreso Promedio Mensual por Etnia en la comuna de Estación Central" u="1"/>
        <s v="Comparativo de Ingreso Promedio Mensual entre personas con y sin alfabetización en la comuna de Santa María" u="1"/>
        <s v="Evolución del Ingreso Promedio Mensual por Etnia en la comuna de La Reina" u="1"/>
        <s v="Evolución del Ingreso Promedio Mensual por Alfabetismo en la comuna de Negrete" u="1"/>
        <s v="Variación porcentual del Ingreso Promedio Mensual por Persona en la Región de Tarapacá" u="1"/>
        <s v="Comparativo de Ingreso Promedio Mensual entre personas con y sin alfabetización en la comuna de Vilcún" u="1"/>
        <s v="Evolución del Ingreso Promedio Mensual por Etnia en la comuna de Chépica" u="1"/>
        <s v="Evolución del Ingreso Promedio Mensual por Persona en la comuna de Cholchol" u="1"/>
        <s v="Ingreso Promedio Mensual de Mujeres y Hombres en el año 2017 en la comuna de Florida" u="1"/>
        <s v="Comparativo de Ingreso Promedio Mensual entre personas con y sin alfabetización en la comuna de Penco" u="1"/>
        <s v="Evolución del Ingreso Promedio Mensual por Etnia en la comuna de Quilicura" u="1"/>
        <s v="Evolución del Ingreso Promedio Mensual por Alfabetismo en la comuna de Lago Ranco" u="1"/>
        <s v="Ingreso Promedio Mensual de Mujeres y Hombres en el año 2017 en la comuna de Caldera" u="1"/>
        <s v="Ingreso Promedio Mensual de Mujeres y Hombres en el año 2017 en la comuna de Mulchén" u="1"/>
        <s v="Comparativo de Ingreso Promedio Mensual entre personas con y sin alfabetización en la comuna de Traiguén" u="1"/>
        <s v="Variación del Ingreso Promedio Mensual por Etnia en la Región de Tarapacá" u="1"/>
        <s v="Evolución del Ingreso Promedio Mensual por Persona en la comuna de Yerbas Buenas" u="1"/>
        <s v="Evolución del Ingreso Promedio Mensual por Alfabetismo en la comuna de Nueva Imperial" u="1"/>
        <s v="Ingreso Promedio Mensual de Mujeres y Hombres en el año 2017 en la comuna de Cochrane" u="1"/>
        <s v="Diferencial de Ingreso Promedio Mensual de Hombres según Alfabetismo en la comuna de San Esteban" u="1"/>
        <s v="Diferencial de Ingreso Promedio Mensual de Mujeres según Alfabetismo en la comuna de San Esteban" u="1"/>
        <s v="Variación del Ingreso Promedio Mensual por Etnia en la comuna de Cunco" u="1"/>
        <s v="Comparativo de Ingreso Promedio Mensual entre personas con y sin alfabetización en la comuna de Molina" u="1"/>
        <s v="Ingreso Promedio Mensual al año 2017 por Etnia en la comuna de Vichuquén" u="1"/>
        <s v="Evolución del Ingreso Promedio Mensual por Persona para Mujeres y Hombres en la comuna de Ñiquén" u="1"/>
        <s v="Evolución del Ingreso Promedio Mensual por Persona para Mujeres y Hombres en la comuna de Peralillo" u="1"/>
        <s v="Variación del Ingreso Promedio Mensual por Etnia en la comuna de Cobquecura" u="1"/>
        <s v="Comparativo de Ingreso Promedio Mensual entre personas con y sin alfabetización en la comuna de Quinchao" u="1"/>
        <s v="Evolución del Ingreso Promedio Mensual por Persona en la comuna de Maule" u="1"/>
        <s v="Evolución del Ingreso Promedio Mensual por Etnia en la comuna de Chañaral" u="1"/>
        <s v="Evolución del Ingreso Promedio Mensual por Etnia en la comuna de Zapallar" u="1"/>
        <s v="Diferencial de Ingreso Promedio Mensual de Hombres según Alfabetismo en la comuna de Malloa" u="1"/>
        <s v="Diferencial de Ingreso Promedio Mensual de Mujeres según Alfabetismo en la comuna de Malloa" u="1"/>
        <s v="Variación porcentual del Ingreso Promedio Mensual por Persona en la comuna de Lanco" u="1"/>
        <s v="Comparativo de Ingreso Promedio Mensual entre personas con y sin alfabetización en la comuna de Olmué" u="1"/>
        <s v="Evolución del Ingreso Promedio Mensual por Etnia en la comuna de La Estrella" u="1"/>
        <s v="Evolución del Ingreso Promedio Mensual por Persona para Mujeres y Hombres en la comuna de Negrete" u="1"/>
        <s v="Evolución del Ingreso Promedio Mensual por Persona en la comuna de Freirina" u="1"/>
        <s v="Variación del Ingreso Promedio Mensual por Etnia en la comuna de Tierra Amarilla" u="1"/>
        <s v="Variación porcentual del Ingreso Promedio Mensual por Persona en la comuna de Cochrane" u="1"/>
        <s v="Variación porcentual del Ingreso Promedio Mensual por Persona en la comuna de Viña del Mar" u="1"/>
        <s v="Variación porcentual del Ingreso Promedio Mensual por Persona en la comuna de Cartagena" u="1"/>
        <s v="Ingreso Promedio Mensual de Mujeres y Hombres en el año 2017 en la Región de Magallanes" u="1"/>
        <s v="Evolución del Ingreso Promedio Mensual por Persona para Mujeres y Hombres en la comuna de Lago Ranco" u="1"/>
        <s v="Ingreso Promedio Mensual de Mujeres y Hombres en el año 2017 en la comuna de Independencia" u="1"/>
        <s v="Ingreso Promedio Mensual al año 2017 por Etnia en la comuna de Lampa" u="1"/>
        <s v="Variación del Ingreso Promedio Mensual por Etnia en la comuna de Pirque" u="1"/>
        <s v="Ingreso Promedio Mensual de Mujeres y Hombres en el año 2017 en la comuna de Alto Biobío" u="1"/>
        <s v="Comparativo de Ingreso Promedio Mensual entre personas con y sin alfabetización en la comuna de Lanco" u="1"/>
        <s v="Evolución del Ingreso Promedio Mensual por Persona para Mujeres y Hombres en la comuna de Nueva Imperial" u="1"/>
        <s v="Ingreso Promedio Mensual al año 2017 por Etnia en la comuna de Putaendo" u="1"/>
        <s v="Ingreso Promedio Mensual al año 2017 por Etnia en la comuna de Coihueco" u="1"/>
        <s v="Ingreso Promedio Mensual al año 2017 por Etnia en la comuna de Palmilla" u="1"/>
        <s v="Ingreso Promedio Mensual al año 2017 por Etnia en la comuna de Lago Ranco" u="1"/>
        <s v="Variación del Ingreso Promedio Mensual por Etnia en la comuna de Padre Hurtado" u="1"/>
        <s v="Variación porcentual del Ingreso Promedio Mensual por Persona en la comuna de Quilleco" u="1"/>
        <s v="Evolución del Ingreso Promedio Mensual por Persona en la comuna de Coronel" u="1"/>
        <s v="Evolución del Ingreso Promedio Mensual por Persona en la comuna de Quintero" u="1"/>
        <s v="Evolución del Ingreso Promedio Mensual por Persona en la comuna de Chimbarongo" u="1"/>
        <s v="Evolución del Ingreso Promedio Mensual por Alfabetismo en la comuna de Camarones" u="1"/>
        <s v="Ingreso Promedio Mensual de Mujeres y Hombres en el año 2017 en la comuna de Quillón" u="1"/>
        <s v="Diferencial de Ingreso Promedio Mensual de Hombres según Alfabetismo en la comuna de Viña del Mar" u="1"/>
        <s v="Diferencial de Ingreso Promedio Mensual de Mujeres según Alfabetismo en la comuna de Viña del Mar" u="1"/>
        <s v="Ingreso Promedio Mensual al año 2017 por Etnia en la comuna de María Elena" u="1"/>
        <s v="Variación del Ingreso Promedio Mensual por Etnia en la comuna de Coquimbo" u="1"/>
        <s v="Variación del Ingreso Promedio Mensual por Etnia en la Región de Coquimbo" u="1"/>
        <s v="Ingreso Promedio Mensual de Mujeres y Hombres en el año 2017 en la comuna de Iquique" u="1"/>
        <s v="Diferencial de Ingreso Promedio Mensual de Hombres según Alfabetismo en la comuna de Arica" u="1"/>
        <s v="Diferencial de Ingreso Promedio Mensual de Mujeres según Alfabetismo en la comuna de Arica" u="1"/>
        <s v="Diferencial de Ingreso Promedio Mensual de Hombres según Alfabetismo en la comuna de Guaitecas" u="1"/>
        <s v="Diferencial de Ingreso Promedio Mensual de Mujeres según Alfabetismo en la comuna de Guaitecas" u="1"/>
        <s v="Variación del Ingreso Promedio Mensual por Etnia en la comuna de Pitrufquén" u="1"/>
        <s v="Variación del Ingreso Promedio Mensual por Etnia en la comuna de Llanquihue" u="1"/>
        <s v="Evolución del Ingreso Promedio Mensual por Etnia en la comuna de Lampa" u="1"/>
        <s v="Diferencial de Ingreso Promedio Mensual de Hombres según Alfabetismo en la comuna de Ránquil" u="1"/>
        <s v="Diferencial de Ingreso Promedio Mensual de Mujeres según Alfabetismo en la comuna de Ránquil" u="1"/>
        <s v="Comparativo de Ingreso Promedio Mensual entre personas con y sin alfabetización en la comuna de San Clemente" u="1"/>
        <s v="Diferencial de Ingreso Promedio Mensual de Hombres según Alfabetismo en la comuna de Talca" u="1"/>
        <s v="Diferencial de Ingreso Promedio Mensual de Mujeres según Alfabetismo en la comuna de Talca" u="1"/>
        <s v="Evolución del Ingreso Promedio Mensual por Alfabetismo en la comuna de María Pinto" u="1"/>
        <s v="Ingreso Promedio Mensual de Mujeres y Hombres en el año 2017 en la comuna de Monte Patria" u="1"/>
        <s v="Ingreso Promedio Mensual de Mujeres y Hombres en el año 2017 en la comuna de Alto del Carmen" u="1"/>
        <s v="Evolución del Ingreso Promedio Mensual por Persona para la Región del Biobío" u="1"/>
        <s v="Variación porcentual del Ingreso Promedio Mensual por Persona en la comuna de Paiguano" u="1"/>
        <s v="Diferencial de Ingreso Promedio Mensual de Hombres según Alfabetismo en la Región de Los Ríos" u="1"/>
        <s v="Diferencial de Ingreso Promedio Mensual de Mujeres según Alfabetismo en la Región de Los Ríos" u="1"/>
        <s v="Evolución del Ingreso Promedio Mensual por Etnia en la comuna de La Serena" u="1"/>
        <s v="Variación del Ingreso Promedio Mensual por Etnia en la comuna de Guaitecas" u="1"/>
        <s v="Variación del Ingreso Promedio Mensual por Etnia en la comuna de Lo Espejo" u="1"/>
        <s v="Evolución del Ingreso Promedio Mensual por Alfabetismo en la comuna de Concepción" u="1"/>
        <s v="Variación porcentual del Ingreso Promedio Mensual por Persona en la Región Metropolitana" u="1"/>
        <s v="Diferencial de Ingreso Promedio Mensual de Hombres según Alfabetismo en la comuna de Maullín" u="1"/>
        <s v="Diferencial de Ingreso Promedio Mensual de Mujeres según Alfabetismo en la comuna de Maullín" u="1"/>
        <s v="Ingreso Promedio Mensual de Mujeres y Hombres en el año 2017 en la comuna de Talagante" u="1"/>
        <s v="Diferencial de Ingreso Promedio Mensual de Hombres según Alfabetismo en la comuna de Carahue" u="1"/>
        <s v="Diferencial de Ingreso Promedio Mensual de Mujeres según Alfabetismo en la comuna de Carahue" u="1"/>
        <s v="Evolución del Ingreso Promedio Mensual por Persona para Mujeres y Hombres en la comuna de Camarones" u="1"/>
        <s v="Evolución del Ingreso Promedio Mensual por Etnia en la comuna de Vicuña" u="1"/>
        <s v="Ingreso Promedio Mensual de Mujeres y Hombres en el año 2017 en la comuna de Negrete" u="1"/>
        <s v="Ingreso Promedio Mensual al año 2017 por Etnia en la comuna de Quirihue" u="1"/>
        <s v="Ingreso Promedio Mensual al año 2017 por Etnia en la comuna de San Rafael" u="1"/>
        <s v="Diferencial de Ingreso Promedio Mensual de Hombres según Alfabetismo en la comuna de Puyehue" u="1"/>
        <s v="Diferencial de Ingreso Promedio Mensual de Mujeres según Alfabetismo en la comuna de Puyehue" u="1"/>
        <s v="Diferencial de Ingreso Promedio Mensual de Hombres según Alfabetismo en la comuna de San José de Maipo" u="1"/>
        <s v="Diferencial de Ingreso Promedio Mensual de Mujeres según Alfabetismo en la comuna de San José de Maipo" u="1"/>
        <s v="Evolución del Ingreso Promedio Mensual por Alfabetismo en la comuna de Chanco" u="1"/>
        <s v="Ingreso Promedio Mensual de Mujeres y Hombres en el año 2017 en la comuna de Llaillay" u="1"/>
        <s v="Variación porcentual del Ingreso Promedio Mensual por Persona en la comuna de Coronel" u="1"/>
        <s v="Variación del Ingreso Promedio Mensual por Etnia en la comuna de Río Ibáñez" u="1"/>
        <s v="Diferencial de Ingreso Promedio Mensual de Hombres según Alfabetismo en la comuna de Providencia" u="1"/>
        <s v="Diferencial de Ingreso Promedio Mensual de Mujeres según Alfabetismo en la comuna de Providencia" u="1"/>
        <s v="Ingreso Promedio Mensual al año 2017 por Etnia en la comuna de Copiapó" u="1"/>
        <s v="Ingreso Promedio Mensual de Mujeres y Hombres en el año 2017 en la comuna de Futrono" u="1"/>
        <s v="Diferencial de Ingreso Promedio Mensual de Hombres según Alfabetismo en la comuna de Hijuelas" u="1"/>
        <s v="Diferencial de Ingreso Promedio Mensual de Mujeres según Alfabetismo en la comuna de Hijuelas" u="1"/>
        <s v="Comparativo de Ingreso Promedio Mensual entre personas con y sin alfabetización en la comuna de General Lagos" u="1"/>
        <s v="Variación del Ingreso Promedio Mensual por Etnia en la comuna de Mariquina" u="1"/>
        <s v="Variación del Ingreso Promedio Mensual por Etnia en la comuna de San Esteban" u="1"/>
        <s v="Ingreso Promedio Mensual al año 2017 por Etnia en la comuna de Primavera" u="1"/>
        <s v="Evolución del Ingreso Promedio Mensual por Persona en la comuna de Punitaqui" u="1"/>
        <s v="Evolución del Ingreso Promedio Mensual por Persona para Mujeres y Hombres en la comuna de María Pinto" u="1"/>
        <s v="Diferencial de Ingreso Promedio Mensual de Hombres según Alfabetismo en la comuna de Curaco de Vélez" u="1"/>
        <s v="Diferencial de Ingreso Promedio Mensual de Mujeres según Alfabetismo en la comuna de Curaco de Vélez" u="1"/>
        <s v="Diferencial de Ingreso Promedio Mensual de Hombres según Alfabetismo en la comuna de Calle Larga" u="1"/>
        <s v="Diferencial de Ingreso Promedio Mensual de Mujeres según Alfabetismo en la comuna de Calle Larga" u="1"/>
        <s v="Variación del Ingreso Promedio Mensual por Etnia en la comuna de Santiago" u="1"/>
        <s v="Comparativo de Ingreso Promedio Mensual entre personas con y sin alfabetización en la comuna de Talca" u="1"/>
        <s v="Ingreso Promedio Mensual al año 2017 por Etnia en la comuna de Rinconada" u="1"/>
        <s v="Evolución del Ingreso Promedio Mensual por Alfabetismo en la comuna de Rauco" u="1"/>
        <s v="Variación del Ingreso Promedio Mensual por Etnia en la comuna de Viña del Mar" u="1"/>
        <s v="Ingreso Promedio Mensual de Mujeres y Hombres en el año 2017 en la comuna de Villa Alemana" u="1"/>
        <s v="Ingreso Promedio Mensual al año 2017 por Etnia en la comuna de Hijuelas" u="1"/>
        <s v="Variación del Ingreso Promedio Mensual por Etnia en la comuna de San Javier" u="1"/>
        <s v="Evolución del Ingreso Promedio Mensual por Persona para Mujeres y Hombres en la comuna de Concepción" u="1"/>
        <s v="Ingreso Promedio Mensual de Mujeres y Hombres en el año 2017 en la comuna de Calle Larga" u="1"/>
        <s v="Comparativo de Ingreso Promedio Mensual entre personas con y sin alfabetización en la Región de Los Ríos" u="1"/>
        <s v="Comparativo de Ingreso Promedio Mensual entre personas con y sin alfabetización en la comuna de Carahue" u="1"/>
        <s v="Ingreso Promedio Mensual de Mujeres y Hombres en el año 2017 en la comuna de Gorbea" u="1"/>
        <s v="Diferencial de Ingreso Promedio Mensual de Hombres según Alfabetismo en la comuna de Quilaco" u="1"/>
        <s v="Diferencial de Ingreso Promedio Mensual de Mujeres según Alfabetismo en la comuna de Quilaco" u="1"/>
        <s v="Ingreso Promedio Mensual al año 2017 por Etnia en la comuna de Cañete" u="1"/>
        <s v="Comparativo de Ingreso Promedio Mensual entre personas con y sin alfabetización en la comuna de Hijuelas" u="1"/>
        <s v="Ingreso Promedio Mensual de Mujeres y Hombres en el año 2017 en la comuna de Sierra Gorda" u="1"/>
        <s v="Comparativo de Ingreso Promedio Mensual entre personas con y sin alfabetización en la comuna de Los Angeles" u="1"/>
        <s v="Comparativo de Ingreso Promedio Mensual entre personas con y sin alfabetización en la comuna de San Bernardo" u="1"/>
        <s v="Ingreso Promedio Mensual al año 2017 por Etnia en la comuna de Fresia" u="1"/>
        <s v="Variación del Ingreso Promedio Mensual por Etnia en la comuna de Hijuelas" u="1"/>
        <s v="Evolución del Ingreso Promedio Mensual por Alfabetismo en la comuna de Alhué" u="1"/>
        <s v="Evolución del Ingreso Promedio Mensual por Alfabetismo en la comuna de San Fabián" u="1"/>
        <s v="Variación porcentual del Ingreso Promedio Mensual por Persona en la comuna de Río Claro" u="1"/>
        <s v="Variación porcentual del Ingreso Promedio Mensual por Persona en la comuna de San Pablo" u="1"/>
        <s v="Ingreso Promedio Mensual al año 2017 por Etnia en la comuna de La Unión" u="1"/>
        <s v="Evolución del Ingreso Promedio Mensual por Persona para Mujeres y Hombres en la comuna de Chanco" u="1"/>
        <s v="Evolución del Ingreso Promedio Mensual por Alfabetismo en la comuna de Peumo" u="1"/>
        <s v="Diferencial de Ingreso Promedio Mensual de Hombres según Alfabetismo en la comuna de Los Angeles" u="1"/>
        <s v="Diferencial de Ingreso Promedio Mensual de Mujeres según Alfabetismo en la comuna de Los Angeles" u="1"/>
        <s v="Comparativo de Ingreso Promedio Mensual entre personas con y sin alfabetización en la comuna de Estación Central" u="1"/>
        <s v="Evolución del Ingreso Promedio Mensual por Etnia en la comuna de Arauco" u="1"/>
        <s v="Ingreso Promedio Mensual al año 2017 por Etnia en la comuna de Dalcahue" u="1"/>
        <s v="Comparativo de Ingreso Promedio Mensual entre personas con y sin alfabetización en la comuna de Quemchi" u="1"/>
        <s v="Evolución del Ingreso Promedio Mensual por Persona en la comuna de Puqueldón" u="1"/>
        <s v="Evolución del Ingreso Promedio Mensual por Alfabetismo en la comuna de Colbún" u="1"/>
        <s v="Ingreso Promedio Mensual al año 2017 por Etnia en la comuna de Papudo" u="1"/>
        <s v="Variación del Ingreso Promedio Mensual por Etnia en la comuna de Puente Alto" u="1"/>
        <s v="Evolución del Ingreso Promedio Mensual por Alfabetismo en la comuna de San Pablo" u="1"/>
        <s v="Ingreso Promedio Mensual de Mujeres y Hombres en el año 2017 en la comuna de Quillota" u="1"/>
        <s v="Ingreso Promedio Mensual de Mujeres y Hombres en el año 2017 en la comuna de San Vicente" u="1"/>
        <s v="Diferencial de Ingreso Promedio Mensual de Hombres según Alfabetismo en la comuna de Quemchi" u="1"/>
        <s v="Diferencial de Ingreso Promedio Mensual de Mujeres según Alfabetismo en la comuna de Quemchi" u="1"/>
        <s v="Comparativo de Ingreso Promedio Mensual entre personas con y sin alfabetización en la comuna de Freire" u="1"/>
        <s v="Evolución del Ingreso Promedio Mensual por Persona para la Región de Arica y Parinacota" u="1"/>
        <s v="Ingreso Promedio Mensual de Mujeres y Hombres en el año 2017 en la comuna de San Esteban" u="1"/>
        <s v="Ingreso Promedio Mensual de Mujeres y Hombres en el año 2017 en la comuna de Río Hurtado" u="1"/>
        <s v="Comparativo de Ingreso Promedio Mensual entre personas con y sin alfabetización en la comuna de Quellón" u="1"/>
        <s v="Ingreso Promedio Mensual de Mujeres y Hombres en el año 2017 en la comuna de Río Negro" u="1"/>
        <s v="Variación porcentual del Ingreso Promedio Mensual por Persona en la comuna de Pencahue" u="1"/>
        <s v="Evolución del Ingreso Promedio Mensual por Persona para Mujeres y Hombres en la comuna de Rauco" u="1"/>
        <s v="Comparativo de Ingreso Promedio Mensual entre personas con y sin alfabetización en la comuna de Constitución" u="1"/>
        <s v="Evolución del Ingreso Promedio Mensual por Persona en la comuna de Huasco" u="1"/>
        <s v="Variación porcentual del Ingreso Promedio Mensual por Persona en la comuna de Chaitén" u="1"/>
        <s v="Comparativo de Ingreso Promedio Mensual entre personas con y sin alfabetización en la comuna de Aisén" u="1"/>
        <s v="Ingreso Promedio Mensual al año 2017 por Etnia en la comuna de La Cruz" u="1"/>
        <s v="Ingreso Promedio Mensual al año 2017 por Etnia en la comuna de El Carmen" u="1"/>
        <s v="Evolución del Ingreso Promedio Mensual por Etnia en la comuna de Curarrehue" u="1"/>
        <s v="Ingreso Promedio Mensual de Mujeres y Hombres en el año 2017 en la comuna de Ñuñoa" u="1"/>
        <s v="Diferencial de Ingreso Promedio Mensual de Hombres según Alfabetismo en la comuna de Melipilla" u="1"/>
        <s v="Diferencial de Ingreso Promedio Mensual de Mujeres según Alfabetismo en la comuna de Melipilla" u="1"/>
        <s v="Evolución del Ingreso Promedio Mensual por Etnia en la comuna de Hualpén" u="1"/>
        <s v="Variación del Ingreso Promedio Mensual por Etnia en la comuna de Tirúa" u="1"/>
        <s v="Evolución del Ingreso Promedio Mensual por Alfabetismo en la comuna de La Cruz" u="1"/>
        <s v="Ingreso Promedio Mensual de Mujeres y Hombres en el año 2017 en la comuna de Santa Cruz" u="1"/>
        <s v="Diferencial de Ingreso Promedio Mensual de Hombres según Alfabetismo en la comuna de Loncoche" u="1"/>
        <s v="Diferencial de Ingreso Promedio Mensual de Mujeres según Alfabetismo en la comuna de Loncoche" u="1"/>
        <s v="Variación porcentual del Ingreso Promedio Mensual por Persona en la comuna de Ercilla" u="1"/>
        <s v="Variación porcentual del Ingreso Promedio Mensual por Persona en la comuna de Concepción" u="1"/>
        <s v="Evolución del Ingreso Promedio Mensual por Persona para Mujeres y Hombres en la comuna de Alhué" u="1"/>
        <s v="Evolución del Ingreso Promedio Mensual por Persona para Mujeres y Hombres en la comuna de San Fabián" u="1"/>
        <s v="Evolución del Ingreso Promedio Mensual por Persona en la comuna de Pumanque" u="1"/>
        <s v="Variación porcentual del Ingreso Promedio Mensual por Persona en la comuna de Lo Espejo" u="1"/>
        <s v="Ingreso Promedio Mensual de Mujeres y Hombres en el año 2017 en la comuna de Santa Juana" u="1"/>
        <s v="Diferencial de Ingreso Promedio Mensual de Hombres según Alfabetismo en la comuna de Los Sauces" u="1"/>
        <s v="Diferencial de Ingreso Promedio Mensual de Mujeres según Alfabetismo en la comuna de Los Sauces" u="1"/>
        <s v="Evolución del Ingreso Promedio Mensual por Persona para Mujeres y Hombres en la comuna de Peumo" u="1"/>
        <s v="Comparativo de Ingreso Promedio Mensual entre personas con y sin alfabetización en la comuna de Panquehue" u="1"/>
        <s v="Evolución del Ingreso Promedio Mensual por Persona en la comuna de Collipulli" u="1"/>
        <s v="Comparativo de Ingreso Promedio Mensual entre personas con y sin alfabetización en la comuna de Palmilla" u="1"/>
        <s v="Comparativo de Ingreso Promedio Mensual entre personas con y sin alfabetización en la comuna de Santiago" u="1"/>
        <s v="Ingreso Promedio Mensual de Mujeres y Hombres en el año 2017 en la comuna de O'Higgins" u="1"/>
        <s v="Ingreso Promedio Mensual de Mujeres y Hombres en el año 2017 en la Región de O'Higgins" u="1"/>
        <s v="Variación porcentual del Ingreso Promedio Mensual por Persona en la comuna de Sagrada Familia" u="1"/>
        <s v="Comparativo de Ingreso Promedio Mensual entre personas con y sin alfabetización en la comuna de Vitacura" u="1"/>
        <s v="Evolución del Ingreso Promedio Mensual por Persona para Mujeres y Hombres en la comuna de Colbún" u="1"/>
        <s v="Comparativo de Ingreso Promedio Mensual entre personas con y sin alfabetización en la comuna de San Javier" u="1"/>
        <s v="Ingreso Promedio Mensual al año 2017 por Etnia en la comuna de Vallenar" u="1"/>
        <s v="Comparativo de Ingreso Promedio Mensual entre personas con y sin alfabetización en la comuna de Pudahuel" u="1"/>
        <s v="Diferencial de Ingreso Promedio Mensual de Hombres según Alfabetismo en la comuna de Quilicura" u="1"/>
        <s v="Diferencial de Ingreso Promedio Mensual de Mujeres según Alfabetismo en la comuna de Quilicura" u="1"/>
        <s v="Evolución del Ingreso Promedio Mensual por Persona para Mujeres y Hombres en la comuna de San Pablo" u="1"/>
        <s v="Evolución del Ingreso Promedio Mensual por Etnia en la comuna de Saavedra" u="1"/>
        <s v="Evolución del Ingreso Promedio Mensual por Alfabetismo en la comuna de Treguaco" u="1"/>
        <s v="Diferencial de Ingreso Promedio Mensual de Hombres según Alfabetismo en la comuna de Vicuña" u="1"/>
        <s v="Diferencial de Ingreso Promedio Mensual de Mujeres según Alfabetismo en la comuna de Vicuña" u="1"/>
        <s v="Diferencial de Ingreso Promedio Mensual de Hombres según Alfabetismo en la comuna de San Felipe" u="1"/>
        <s v="Diferencial de Ingreso Promedio Mensual de Mujeres según Alfabetismo en la comuna de San Felipe" u="1"/>
        <s v="Variación porcentual del Ingreso Promedio Mensual por Persona en la comuna de Melipilla" u="1"/>
        <s v="Diferencial de Ingreso Promedio Mensual de Hombres según Alfabetismo en la comuna de Freire" u="1"/>
        <s v="Diferencial de Ingreso Promedio Mensual de Mujeres según Alfabetismo en la comuna de Freire" u="1"/>
        <s v="Comparativo de Ingreso Promedio Mensual entre personas con y sin alfabetización en la comuna de San Joaquín" u="1"/>
        <s v="Evolución del Ingreso Promedio Mensual por Etnia en la comuna de Melipeuco" u="1"/>
        <s v="Evolución del Ingreso Promedio Mensual por Alfabetismo en la comuna de Coronel" u="1"/>
        <s v="Comparativo de Ingreso Promedio Mensual entre personas con y sin alfabetización en la comuna de Futaleufú" u="1"/>
        <s v="Ingreso Promedio Mensual de Mujeres y Hombres en el año 2017 en la comuna de Huasco" u="1"/>
        <s v="Evolución del Ingreso Promedio Mensual por Etnia en la comuna de Lo Prado" u="1"/>
        <s v="Ingreso Promedio Mensual al año 2017 por Etnia en la comuna de Los Angeles" u="1"/>
        <s v="Variación del Ingreso Promedio Mensual por Etnia en la comuna de Cochamó" u="1"/>
        <s v="Comparativo de Ingreso Promedio Mensual entre personas con y sin alfabetización en la comuna de Laguna Blanca" u="1"/>
        <s v="Evolución del Ingreso Promedio Mensual por Alfabetismo en la comuna de Paillaco" u="1"/>
        <s v="Evolución del Ingreso Promedio Mensual por Persona para Mujeres y Hombres en la comuna de La Cruz" u="1"/>
        <s v="Comparativo de Ingreso Promedio Mensual entre personas con y sin alfabetización en la comuna de Lo Prado" u="1"/>
        <s v="Diferencial de Ingreso Promedio Mensual de Hombres según Alfabetismo en la comuna de Quellón" u="1"/>
        <s v="Diferencial de Ingreso Promedio Mensual de Mujeres según Alfabetismo en la comuna de Quellón" u="1"/>
        <s v="Ingreso Promedio Mensual al año 2017 por Etnia en la comuna de San Ignacio" u="1"/>
        <s v="Evolución del Ingreso Promedio Mensual por Alfabetismo en la comuna de María Elena" u="1"/>
        <s v="Ingreso Promedio Mensual al año 2017 por Etnia en la comuna de Teno" u="1"/>
        <s v="Diferencial de Ingreso Promedio Mensual de Hombres según Alfabetismo en la comuna de El Monte" u="1"/>
        <s v="Diferencial de Ingreso Promedio Mensual de Mujeres según Alfabetismo en la comuna de El Monte" u="1"/>
        <s v="Variación del Ingreso Promedio Mensual por Etnia en la comuna de Paillaco" u="1"/>
        <s v="Ingreso Promedio Mensual al año 2017 por Etnia a Escala Nacional" u="1"/>
        <s v="Evolución del Ingreso Promedio Mensual por Persona en la comuna de San Fabián" u="1"/>
        <s v="Ingreso Promedio Mensual de Mujeres y Hombres en el año 2017 en la comuna de La Unión" u="1"/>
        <s v="Variación porcentual del Ingreso Promedio Mensual por Persona en la comuna de Longaví" u="1"/>
        <s v="Variación porcentual del Ingreso Promedio Mensual por Persona en la comuna de Alto Biobío" u="1"/>
        <s v="Diferencial de Ingreso Promedio Mensual de Hombres según Alfabetismo en la comuna de Lumaco" u="1"/>
        <s v="Diferencial de Ingreso Promedio Mensual de Mujeres según Alfabetismo en la comuna de Lumaco" u="1"/>
        <s v="Variación del Ingreso Promedio Mensual por Etnia en la Región de Los Ríos" u="1"/>
        <s v="Evolución del Ingreso Promedio Mensual por Alfabetismo en la comuna de Quinchao" u="1"/>
        <s v="Evolución del Ingreso Promedio Mensual por Persona para Mujeres y Hombres en la comuna de Treguaco" u="1"/>
        <s v="Comparativo de Ingreso Promedio Mensual entre personas con y sin alfabetización en la Región de Aysén" u="1"/>
        <s v="Evolución del Ingreso Promedio Mensual por Persona en la comuna de Litueche" u="1"/>
        <s v="Comparativo de Ingreso Promedio Mensual entre personas con y sin alfabetización en la comuna de Villa Alegre" u="1"/>
        <s v="Variación del Ingreso Promedio Mensual por Etnia en la Región de Magallanes" u="1"/>
        <s v="Evolución del Ingreso Promedio Mensual por Persona en la comuna de San Pablo" u="1"/>
        <s v="Evolución del Ingreso Promedio Mensual por Alfabetismo en la comuna de Hualpén" u="1"/>
        <s v="Variación porcentual del Ingreso Promedio Mensual por Persona en la comuna de Llanquihue" u="1"/>
        <s v="Evolución del Ingreso Promedio Mensual por Persona para Mujeres y Hombres en la comuna de Coronel" u="1"/>
        <s v="Ingreso Promedio Mensual de Mujeres y Hombres en el año 2017 en la comuna de La Ligua" u="1"/>
        <s v="Ingreso Promedio Mensual de Mujeres y Hombres en el año 2017 en la comuna de Valdivia" u="1"/>
        <s v="Ingreso Promedio Mensual al año 2017 por Etnia en la comuna de Graneros" u="1"/>
        <s v="Evolución del Ingreso Promedio Mensual por Alfabetismo en la comuna de San Rosendo" u="1"/>
        <s v="Diferencial de Ingreso Promedio Mensual de Hombres según Alfabetismo en la comuna de La Estrella" u="1"/>
        <s v="Diferencial de Ingreso Promedio Mensual de Mujeres según Alfabetismo en la comuna de La Estrella" u="1"/>
        <s v="Comparativo de Ingreso Promedio Mensual entre personas con y sin alfabetización en la comuna de San Pedro" u="1"/>
        <s v="Variación del Ingreso Promedio Mensual por Etnia en la comuna de Paiguano" u="1"/>
        <s v="Variación del Ingreso Promedio Mensual por Etnia en la comuna de Padre las Casas" u="1"/>
        <s v="Evolución del Ingreso Promedio Mensual por Persona para Mujeres y Hombres en la comuna de Paillaco" u="1"/>
        <s v="Ingreso Promedio Mensual al año 2017 por Etnia en la comuna de Las Cabras" u="1"/>
        <s v="Evolución del Ingreso Promedio Mensual por Etnia en la comuna de Collipulli" u="1"/>
        <s v="Evolución del Ingreso Promedio Mensual por Alfabetismo en la comuna de Quinta Normal" u="1"/>
        <s v="Evolución del Ingreso Promedio Mensual por Alfabetismo en la comuna de Quirihue" u="1"/>
        <s v="Ingreso Promedio Mensual al año 2017 por Etnia en la comuna de Pedro Aguirre Cerda" u="1"/>
        <s v="Diferencial de Ingreso Promedio Mensual de Hombres según Alfabetismo a Escala Nacional" u="1"/>
        <s v="Diferencial de Ingreso Promedio Mensual de Mujeres según Alfabetismo a Escala Nacional" u="1"/>
        <s v="Evolución del Ingreso Promedio Mensual por Alfabetismo en la comuna de Padre las Casas" u="1"/>
        <s v="Diferencial de Ingreso Promedio Mensual de Hombres según Alfabetismo en la comuna de Aisén" u="1"/>
        <s v="Diferencial de Ingreso Promedio Mensual de Mujeres según Alfabetismo en la comuna de Aisén" u="1"/>
        <s v="Evolución del Ingreso Promedio Mensual por Persona para Mujeres y Hombres en la comuna de María Elena" u="1"/>
        <s v="Ingreso Promedio Mensual de Mujeres y Hombres en el año 2017 en la comuna de Cabildo" u="1"/>
        <s v="Variación del Ingreso Promedio Mensual por Etnia en la comuna de Calbuco" u="1"/>
        <s v="Evolución del Ingreso Promedio Mensual por Etnia en la comuna de Punitaqui" u="1"/>
        <s v="Evolución del Ingreso Promedio Mensual por Persona en la comuna de Peñaflor" u="1"/>
        <s v="Variación del Ingreso Promedio Mensual por Etnia en la comuna de Torres del Paine" u="1"/>
        <s v="Ingreso Promedio Mensual al año 2017 por Etnia en la comuna de Santa María" u="1"/>
        <s v="Variación del Ingreso Promedio Mensual por Etnia en la comuna de El Quisco" u="1"/>
        <s v="Diferencial de Ingreso Promedio Mensual de Hombres según Alfabetismo en la Región Metropolitana" u="1"/>
        <s v="Diferencial de Ingreso Promedio Mensual de Mujeres según Alfabetismo en la Región Metropolitana" u="1"/>
        <s v="Evolución del Ingreso Promedio Mensual por Etnia en la comuna de Nogales" u="1"/>
        <s v="Evolución del Ingreso Promedio Mensual por Persona en la comuna de Olivar" u="1"/>
        <s v="Evolución del Ingreso Promedio Mensual por Persona en la comuna de Purranque" u="1"/>
        <s v="Diferencial de Ingreso Promedio Mensual de Hombres según Alfabetismo en la comuna de San Pablo" u="1"/>
        <s v="Diferencial de Ingreso Promedio Mensual de Mujeres según Alfabetismo en la comuna de San Pablo" u="1"/>
        <s v="Ingreso Promedio Mensual al año 2017 por Etnia en la comuna de Las Condes" u="1"/>
        <s v="Variación del Ingreso Promedio Mensual por Etnia en la comuna de Valparaíso" u="1"/>
        <s v="Variación del Ingreso Promedio Mensual por Etnia en la Región de Valparaíso" u="1"/>
        <s v="Evolución del Ingreso Promedio Mensual por Persona para Mujeres y Hombres en la comuna de Quinchao" u="1"/>
        <s v="Evolución del Ingreso Promedio Mensual por Persona en la comuna de Huara" u="1"/>
        <s v="Variación porcentual del Ingreso Promedio Mensual por Persona en la comuna de Calera" u="1"/>
        <s v="Variación porcentual del Ingreso Promedio Mensual por Persona en la comuna de San Miguel" u="1"/>
        <s v="Diferencial de Ingreso Promedio Mensual de Hombres según Alfabetismo en la comuna de Machalí" u="1"/>
        <s v="Diferencial de Ingreso Promedio Mensual de Mujeres según Alfabetismo en la comuna de Machalí" u="1"/>
        <s v="Evolución del Ingreso Promedio Mensual por Etnia en la comuna de Río Bueno" u="1"/>
        <s v="Diferencial de Ingreso Promedio Mensual de Hombres según Alfabetismo en la comuna de Cabo de Hornos" u="1"/>
        <s v="Diferencial de Ingreso Promedio Mensual de Mujeres según Alfabetismo en la comuna de Cabo de Hornos" u="1"/>
        <s v="Evolución del Ingreso Promedio Mensual por Etnia en la comuna de Antofagasta" u="1"/>
        <s v="Evolución del Ingreso Promedio Mensual por Etnia en la Región de Antofagasta" u="1"/>
        <s v="Evolución del Ingreso Promedio Mensual por Persona para Mujeres y Hombres en la comuna de Hualpén" u="1"/>
        <s v="Evolución del Ingreso Promedio Mensual por Etnia en la comuna de San Rosendo" u="1"/>
        <s v="Variación porcentual del Ingreso Promedio Mensual por Persona en la comuna de Casablanca" u="1"/>
        <s v="Variación del Ingreso Promedio Mensual por Etnia en la comuna de Coihaique" u="1"/>
        <s v="Ingreso Promedio Mensual de Mujeres y Hombres en el año 2017 en la comuna de San Felipe" u="1"/>
        <s v="Ingreso Promedio Mensual al año 2017 por Etnia en la comuna de Purranque" u="1"/>
        <s v="Evolución del Ingreso Promedio Mensual por Alfabetismo en la comuna de Fresia" u="1"/>
        <s v="Evolución del Ingreso Promedio Mensual por Alfabetismo en la comuna de Lautaro" u="1"/>
        <s v="Evolución del Ingreso Promedio Mensual por Persona en la comuna de San Rosendo" u="1"/>
        <s v="Evolución del Ingreso Promedio Mensual por Persona para Mujeres y Hombres en la comuna de San Rosendo" u="1"/>
        <s v="Variación porcentual del Ingreso Promedio Mensual por Persona en la comuna de Ancud" u="1"/>
        <s v="Ingreso Promedio Mensual de Mujeres y Hombres en el año 2017 en la comuna de San Pedro de la Paz" u="1"/>
        <s v="Evolución del Ingreso Promedio Mensual por Persona para Mujeres y Hombres en la comuna de Quinta Normal" u="1"/>
        <s v="Ingreso Promedio Mensual de Mujeres y Hombres en el año 2017 en la comuna de Ovalle" u="1"/>
        <s v="Variación porcentual del Ingreso Promedio Mensual por Persona en la comuna de Palena" u="1"/>
        <s v="Evolución del Ingreso Promedio Mensual por Persona para Mujeres y Hombres en la comuna de Quirihue" u="1"/>
        <s v="Comparativo de Ingreso Promedio Mensual entre personas con y sin alfabetización en la comuna de Río Bueno" u="1"/>
        <s v="Evolución del Ingreso Promedio Mensual por Persona para Mujeres y Hombres en la comuna de Padre las Casas" u="1"/>
        <s v="Comparativo de Ingreso Promedio Mensual entre personas con y sin alfabetización en la comuna de La Granja" u="1"/>
        <s v="Evolución del Ingreso Promedio Mensual por Alfabetismo en la comuna de Coihaique" u="1"/>
        <s v="Ingreso Promedio Mensual de Mujeres y Hombres en el año 2017 en la comuna de Peñalolén" u="1"/>
        <s v="Diferencial de Ingreso Promedio Mensual de Hombres según Alfabetismo en la comuna de Paiguano" u="1"/>
        <s v="Diferencial de Ingreso Promedio Mensual de Mujeres según Alfabetismo en la comuna de Paiguano" u="1"/>
        <s v="Comparativo de Ingreso Promedio Mensual entre personas con y sin alfabetización en la comuna de Rancagua" u="1"/>
        <s v="Ingreso Promedio Mensual al año 2017 por Etnia en la comuna de Calle Larga" u="1"/>
        <s v="Ingreso Promedio Mensual al año 2017 por Etnia en la comuna de Punta Arenas" u="1"/>
        <s v="Diferencial de Ingreso Promedio Mensual de Hombres según Alfabetismo en la comuna de Colina" u="1"/>
        <s v="Diferencial de Ingreso Promedio Mensual de Mujeres según Alfabetismo en la comuna de Colina" u="1"/>
        <s v="Diferencial de Ingreso Promedio Mensual de Hombres según Alfabetismo en la comuna de Palmilla" u="1"/>
        <s v="Diferencial de Ingreso Promedio Mensual de Hombres según Alfabetismo en la comuna de Santiago" u="1"/>
        <s v="Diferencial de Ingreso Promedio Mensual de Mujeres según Alfabetismo en la comuna de Palmilla" u="1"/>
        <s v="Diferencial de Ingreso Promedio Mensual de Mujeres según Alfabetismo en la comuna de Santiago" u="1"/>
        <s v="Ingreso Promedio Mensual de Mujeres y Hombres en el año 2017 en la comuna de Nogales" u="1"/>
        <s v="Variación porcentual del Ingreso Promedio Mensual por Persona en la comuna de Calbuco" u="1"/>
        <s v="Ingreso Promedio Mensual al año 2017 por Etnia en la comuna de Futrono" u="1"/>
        <s v="Evolución del Ingreso Promedio Mensual por Persona en la comuna de Paredones" u="1"/>
        <s v="Comparativo de Ingreso Promedio Mensual entre personas con y sin alfabetización en la comuna de Pumanque" u="1"/>
        <s v="Diferencial de Ingreso Promedio Mensual de Hombres según Alfabetismo en la comuna de Lampa" u="1"/>
        <s v="Diferencial de Ingreso Promedio Mensual de Mujeres según Alfabetismo en la comuna de Lampa" u="1"/>
        <s v="Diferencial de Ingreso Promedio Mensual de Hombres según Alfabetismo en la comuna de Vitacura" u="1"/>
        <s v="Diferencial de Ingreso Promedio Mensual de Mujeres según Alfabetismo en la comuna de Vitacura" u="1"/>
        <s v="Ingreso Promedio Mensual de Mujeres y Hombres en el año 2017 en la comuna de Buin" u="1"/>
        <s v="Ingreso Promedio Mensual al año 2017 por Etnia en la comuna de Panquehue" u="1"/>
        <s v="Evolución del Ingreso Promedio Mensual por Persona en la comuna de Chaitén" u="1"/>
        <s v="Evolución del Ingreso Promedio Mensual por Persona en la comuna de Conchalí" u="1"/>
        <s v="Ingreso Promedio Mensual de Mujeres y Hombres en el año 2017 en la comuna de Cochamó" u="1"/>
        <s v="Evolución del Ingreso Promedio Mensual por Persona para Mujeres y Hombres en la comuna de Fresia" u="1"/>
        <s v="Evolución del Ingreso Promedio Mensual por Persona para Mujeres y Hombres en la comuna de Lautaro" u="1"/>
        <s v="Ingreso Promedio Mensual al año 2017 por Etnia en la comuna de Máfil" u="1"/>
        <s v="Evolución del Ingreso Promedio Mensual por Persona en la comuna de General Lagos" u="1"/>
        <s v="Diferencial de Ingreso Promedio Mensual de Hombres según Alfabetismo en la comuna de Pudahuel" u="1"/>
        <s v="Diferencial de Ingreso Promedio Mensual de Mujeres según Alfabetismo en la comuna de Pudahuel" u="1"/>
        <s v="Evolución del Ingreso Promedio Mensual por Persona en la comuna de Salamanca" u="1"/>
        <s v="Evolución del Ingreso Promedio Mensual por Alfabetismo en la comuna de Combarbalá" u="1"/>
        <s v="Evolución del Ingreso Promedio Mensual por Persona para la Región de Los Lagos" u="1"/>
        <s v="Variación del Ingreso Promedio Mensual por Etnia en la comuna de Villarrica" u="1"/>
        <s v="Evolución del Ingreso Promedio Mensual por Persona en la comuna de Panquehue" u="1"/>
        <s v="Variación del Ingreso Promedio Mensual por Etnia en la comuna de Puerto Montt" u="1"/>
        <s v="Variación del Ingreso Promedio Mensual por Etnia en la comuna de Queilén" u="1"/>
        <s v="Variación del Ingreso Promedio Mensual por Etnia en la comuna de Monte Patria" u="1"/>
        <s v="Evolución del Ingreso Promedio Mensual por Alfabetismo en la comuna de Zapallar" u="1"/>
        <s v="Evolución del Ingreso Promedio Mensual por Persona para Mujeres y Hombres en la comuna de Coihaique" u="1"/>
        <s v="Variación porcentual del Ingreso Promedio Mensual por Persona en la comuna de Vitacura" u="1"/>
        <s v="Evolución del Ingreso Promedio Mensual por Alfabetismo en la comuna de Puerto Varas" u="1"/>
        <s v="Variación del Ingreso Promedio Mensual por Etnia en la comuna de Porvenir" u="1"/>
        <s v="Evolución del Ingreso Promedio Mensual por Etnia en la comuna de Villa Alemana" u="1"/>
        <s v="Evolución del Ingreso Promedio Mensual por Persona en la comuna de Ercilla" u="1"/>
        <s v="Ingreso Promedio Mensual de Mujeres y Hombres en el año 2017 en la comuna de Olivar" u="1"/>
        <s v="Variación porcentual del Ingreso Promedio Mensual por Persona en la comuna de Antofagasta" u="1"/>
        <s v="Variación porcentual del Ingreso Promedio Mensual por Persona en la Región de Antofagasta" u="1"/>
        <s v="Ingreso Promedio Mensual al año 2017 por Etnia en la comuna de Tiltil" u="1"/>
        <s v="Variación porcentual del Ingreso Promedio Mensual por Persona en la comuna de Canela" u="1"/>
        <s v="Ingreso Promedio Mensual al año 2017 por Etnia en la comuna de Lota" u="1"/>
        <s v="Diferencial de Ingreso Promedio Mensual de Hombres según Alfabetismo en la Región de Magallanes" u="1"/>
        <s v="Diferencial de Ingreso Promedio Mensual de Mujeres según Alfabetismo en la Región de Magallanes" u="1"/>
        <s v="Diferencial de Ingreso Promedio Mensual de Hombres según Alfabetismo en la comuna de Isla de Pascua" u="1"/>
        <s v="Diferencial de Ingreso Promedio Mensual de Mujeres según Alfabetismo en la comuna de Isla de Pascua" u="1"/>
        <s v="Variación del Ingreso Promedio Mensual por Etnia en la comuna de Pelarco" u="1"/>
        <s v="Evolución del Ingreso Promedio Mensual por Etnia en la comuna de Camiña" u="1"/>
        <s v="Variación del Ingreso Promedio Mensual por Etnia en la comuna de Lonquimay" u="1"/>
        <s v="Evolución del Ingreso Promedio Mensual por Alfabetismo en la comuna de Pudahuel" u="1"/>
        <s v="Evolución del Ingreso Promedio Mensual por Alfabetismo en la comuna de Antofagasta" u="1"/>
        <s v="Evolución del Ingreso Promedio Mensual por Alfabetismo en la Región de Antofagasta" u="1"/>
        <s v="Comparativo de Ingreso Promedio Mensual entre personas con y sin alfabetización en la comuna de Paine" u="1"/>
        <s v="Evolución del Ingreso Promedio Mensual por Alfabetismo en la comuna de Diego de Almagro" u="1"/>
        <s v="Variación del Ingreso Promedio Mensual por Etnia en la comuna de Máfil" u="1"/>
        <s v="Diferencial de Ingreso Promedio Mensual de Hombres según Alfabetismo en la comuna de Isla de Maipo" u="1"/>
        <s v="Diferencial de Ingreso Promedio Mensual de Mujeres según Alfabetismo en la comuna de Isla de Maipo" u="1"/>
        <s v="Comparativo de Ingreso Promedio Mensual entre personas con y sin alfabetización en la comuna de Collipulli" u="1"/>
        <s v="Variación del Ingreso Promedio Mensual por Etnia en la comuna de Cerrillos" u="1"/>
        <s v="Variación porcentual del Ingreso Promedio Mensual por Persona en la comuna de Calama" u="1"/>
        <s v="Evolución del Ingreso Promedio Mensual por Persona para Mujeres y Hombres en la comuna de Combarbalá" u="1"/>
        <s v="Comparativo de Ingreso Promedio Mensual entre personas con y sin alfabetización en la comuna de Nancagua" u="1"/>
        <s v="Variación del Ingreso Promedio Mensual por Etnia en la comuna de Pichidegua" u="1"/>
        <s v="Evolución del Ingreso Promedio Mensual por Persona en la comuna de Petorca" u="1"/>
        <s v="Evolución del Ingreso Promedio Mensual por Persona en la comuna de Cartagena" u="1"/>
        <s v="Variación del Ingreso Promedio Mensual por Etnia en la comuna de Nacimiento" u="1"/>
        <s v="Comparativo de Ingreso Promedio Mensual entre personas con y sin alfabetización en la comuna de Hualañé" u="1"/>
        <s v="Evolución del Ingreso Promedio Mensual por Alfabetismo en la comuna de Quilaco" u="1"/>
        <s v="Diferencial de Ingreso Promedio Mensual de Hombres según Alfabetismo en la comuna de Canela" u="1"/>
        <s v="Diferencial de Ingreso Promedio Mensual de Hombres según Alfabetismo en la comuna de Temuco" u="1"/>
        <s v="Diferencial de Ingreso Promedio Mensual de Mujeres según Alfabetismo en la comuna de Canela" u="1"/>
        <s v="Diferencial de Ingreso Promedio Mensual de Mujeres según Alfabetismo en la comuna de Temuco" u="1"/>
        <s v="Evolución del Ingreso Promedio Mensual por Persona para Mujeres y Hombres en la comuna de Zapallar" u="1"/>
        <s v="Ingreso Promedio Mensual al año 2017 por Etnia en la comuna de Litueche" u="1"/>
        <s v="Ingreso Promedio Mensual al año 2017 por Etnia en la comuna de Quillota" u="1"/>
        <s v="Evolución del Ingreso Promedio Mensual por Persona en la comuna de Victoria" u="1"/>
        <s v="Variación del Ingreso Promedio Mensual por Etnia en la comuna de Los Muermos" u="1"/>
        <s v="Ingreso Promedio Mensual de Mujeres y Hombres en el año 2017 en la comuna de Curarrehue" u="1"/>
        <s v="Ingreso Promedio Mensual de Mujeres y Hombres en el año 2017 en la comuna de Los Muermos" u="1"/>
        <s v="Evolución del Ingreso Promedio Mensual por Persona para Mujeres y Hombres en la comuna de Puerto Varas" u="1"/>
        <s v="Comparativo de Ingreso Promedio Mensual entre personas con y sin alfabetización en la comuna de Putaendo" u="1"/>
        <s v="Evolución del Ingreso Promedio Mensual por Etnia en la comuna de Colbún" u="1"/>
        <s v="Ingreso Promedio Mensual al año 2017 por Etnia en la comuna de Curarrehue" u="1"/>
        <s v="Comparativo de Ingreso Promedio Mensual entre personas con y sin alfabetización en la comuna de Lago Verde" u="1"/>
        <s v="Evolución del Ingreso Promedio Mensual por Alfabetismo en la comuna de Calera de Tango" u="1"/>
        <s v="Variación del Ingreso Promedio Mensual por Etnia en la comuna de San Bernardo" u="1"/>
        <s v="Diferencial de Ingreso Promedio Mensual de Hombres según Alfabetismo en la comuna de Tirúa" u="1"/>
        <s v="Diferencial de Ingreso Promedio Mensual de Mujeres según Alfabetismo en la comuna de Tirúa" u="1"/>
        <s v="Evolución del Ingreso Promedio Mensual por Alfabetismo en la comuna de Lota" u="1"/>
        <s v="Variación porcentual del Ingreso Promedio Mensual por Persona en la comuna de Putre" u="1"/>
        <s v="Ingreso Promedio Mensual de Mujeres y Hombres en el año 2017 en la comuna de Paillaco" u="1"/>
        <s v="Comparativo de Ingreso Promedio Mensual entre personas con y sin alfabetización en la comuna de Punta Arenas" u="1"/>
        <s v="Ingreso Promedio Mensual de Mujeres y Hombres en el año 2017 en la comuna de Chépica" u="1"/>
        <s v="Evolución del Ingreso Promedio Mensual por Persona en la comuna de Nueva Imperial" u="1"/>
        <s v="Variación porcentual del Ingreso Promedio Mensual por Persona en la comuna de Hualaihué" u="1"/>
        <s v="Evolución del Ingreso Promedio Mensual por Persona para Mujeres y Hombres en la comuna de Pudahuel" u="1"/>
        <s v="Evolución del Ingreso Promedio Mensual por Persona para Mujeres y Hombres en la comuna de Antofagasta" u="1"/>
        <s v="Evolución del Ingreso Promedio Mensual por Persona para Mujeres y Hombres en la Región de Antofagasta" u="1"/>
        <s v="Variación porcentual del Ingreso Promedio Mensual por Persona en la comuna de Ninhue" u="1"/>
        <s v="Evolución del Ingreso Promedio Mensual por Persona para Mujeres y Hombres en la comuna de Diego de Almagro" u="1"/>
        <s v="Variación del Ingreso Promedio Mensual por Etnia en la comuna de San Ramón" u="1"/>
        <s v="Evolución del Ingreso Promedio Mensual por Etnia en la comuna de Teodoro Schmidt" u="1"/>
        <s v="Variación porcentual del Ingreso Promedio Mensual por Persona en la comuna de Perquenco" u="1"/>
        <s v="Evolución del Ingreso Promedio Mensual por Alfabetismo en la comuna de Punta Arenas" u="1"/>
        <s v="Ingreso Promedio Mensual al año 2017 por Etnia en la comuna de San Rosendo" u="1"/>
        <s v="Evolución del Ingreso Promedio Mensual por Etnia en la comuna de Panguipulli" u="1"/>
        <s v="Ingreso Promedio Mensual de Mujeres y Hombres en el año 2017 en la comuna de Chañaral" u="1"/>
        <s v="Variación del Ingreso Promedio Mensual por Etnia en la comuna de El Carmen" u="1"/>
        <s v="Variación porcentual del Ingreso Promedio Mensual por Persona en la comuna de La Cisterna" u="1"/>
        <s v="Evolución del Ingreso Promedio Mensual por Persona para Mujeres y Hombres en la comuna de Quilaco" u="1"/>
        <s v="Variación del Ingreso Promedio Mensual por Etnia en la comuna de Puyehue" u="1"/>
        <s v="Ingreso Promedio Mensual de Mujeres y Hombres en el año 2017 en la comuna de Tocopilla" u="1"/>
        <s v="Ingreso Promedio Mensual de Mujeres y Hombres en el año 2017 en la comuna de Viña del Mar" u="1"/>
        <s v="Ingreso Promedio Mensual al año 2017 por Etnia en la comuna de Constitución" u="1"/>
        <s v="Evolución del Ingreso Promedio Mensual por Alfabetismo en la comuna de La Serena" u="1"/>
        <s v="Ingreso Promedio Mensual de Mujeres y Hombres en el año 2017 en la comuna de La Higuera" u="1"/>
        <s v="Evolución del Ingreso Promedio Mensual por Persona en la comuna de Pucón" u="1"/>
        <s v="Ingreso Promedio Mensual de Mujeres y Hombres en el año 2017 en la comuna de Recoleta" u="1"/>
        <s v="Diferencial de Ingreso Promedio Mensual de Hombres según Alfabetismo en la comuna de Lo Prado" u="1"/>
        <s v="Diferencial de Ingreso Promedio Mensual de Mujeres según Alfabetismo en la comuna de Lo Prado" u="1"/>
        <s v="Comparativo de Ingreso Promedio Mensual entre personas con y sin alfabetización en la comuna de Tucapel" u="1"/>
        <s v="Variación del Ingreso Promedio Mensual por Etnia en la comuna de Aisén" u="1"/>
        <s v="Evolución del Ingreso Promedio Mensual por Persona en la comuna de Caldera" u="1"/>
        <s v="Evolución del Ingreso Promedio Mensual por Persona para Mujeres y Hombres en la comuna de Calera de Tango" u="1"/>
        <s v="Ingreso Promedio Mensual al año 2017 por Etnia en la comuna de Lago Verde" u="1"/>
        <s v="Evolución del Ingreso Promedio Mensual por Alfabetismo en la comuna de Chépica" u="1"/>
        <s v="Evolución del Ingreso Promedio Mensual por Persona para Mujeres y Hombres en la comuna de Lota" u="1"/>
        <s v="Ingreso Promedio Mensual al año 2017 por Etnia en la comuna de Chanco" u="1"/>
        <s v="Ingreso Promedio Mensual al año 2017 por Etnia en la comuna de María Pinto" u="1"/>
        <s v="Evolución del Ingreso Promedio Mensual por Persona en la comuna de Timaukel" u="1"/>
        <s v="Evolución del Ingreso Promedio Mensual por Persona en la comuna de Laja" u="1"/>
        <s v="Variación porcentual del Ingreso Promedio Mensual por Persona en la comuna de Gorbea" u="1"/>
        <s v="Ingreso Promedio Mensual de Mujeres y Hombres en el año 2017 en la Región Metropolitana" u="1"/>
        <s v="Diferencial de Ingreso Promedio Mensual de Hombres según Alfabetismo en la comuna de Placilla" u="1"/>
        <s v="Diferencial de Ingreso Promedio Mensual de Mujeres según Alfabetismo en la comuna de Placilla" u="1"/>
        <s v="Diferencial de Ingreso Promedio Mensual de Hombres según Alfabetismo en la comuna de Graneros" u="1"/>
        <s v="Diferencial de Ingreso Promedio Mensual de Mujeres según Alfabetismo en la comuna de Graneros" u="1"/>
        <s v="Variación del Ingreso Promedio Mensual por Etnia en la Región de Atacama" u="1"/>
        <s v="Variación porcentual del Ingreso Promedio Mensual por Persona en la comuna de Rengo" u="1"/>
        <s v="Variación porcentual del Ingreso Promedio Mensual por Persona en la comuna de Quinchao" u="1"/>
        <s v="Comparativo de Ingreso Promedio Mensual entre personas con y sin alfabetización en la comuna de Antuco" u="1"/>
        <s v="Evolución del Ingreso Promedio Mensual por Etnia en la comuna de Molina" u="1"/>
        <s v="Evolución del Ingreso Promedio Mensual por Persona en la comuna de Talagante" u="1"/>
        <s v="Evolución del Ingreso Promedio Mensual por Persona para Mujeres y Hombres en la comuna de Punta Arenas" u="1"/>
        <s v="Diferencial de Ingreso Promedio Mensual de Hombres según Alfabetismo en la comuna de Rengo" u="1"/>
        <s v="Diferencial de Ingreso Promedio Mensual de Mujeres según Alfabetismo en la comuna de Rengo" u="1"/>
        <s v="Evolución del Ingreso Promedio Mensual por Persona en la comuna de Romeral" u="1"/>
        <s v="Evolución del Ingreso Promedio Mensual por Etnia en la comuna de Cauquenes" u="1"/>
        <s v="Variación porcentual del Ingreso Promedio Mensual por Persona en la comuna de Guaitecas" u="1"/>
        <s v="Variación del Ingreso Promedio Mensual por Etnia en la comuna de Arica" u="1"/>
        <s v="Variación porcentual del Ingreso Promedio Mensual por Persona en la comuna de Alto del Carmen" u="1"/>
        <s v="Ingreso Promedio Mensual de Mujeres y Hombres en el año 2017 en la comuna de Portezuelo" u="1"/>
        <s v="Variación porcentual del Ingreso Promedio Mensual por Persona en la comuna de Renca" u="1"/>
        <s v="Diferencial de Ingreso Promedio Mensual de Hombres según Alfabetismo en la comuna de Monte Patria" u="1"/>
        <s v="Diferencial de Ingreso Promedio Mensual de Mujeres según Alfabetismo en la comuna de Monte Patria" u="1"/>
        <s v="Evolución del Ingreso Promedio Mensual por Persona para Mujeres y Hombres en la comuna de La Serena" u="1"/>
        <s v="Ingreso Promedio Mensual al año 2017 por Etnia en la comuna de Cabildo" u="1"/>
        <s v="Evolución del Ingreso Promedio Mensual por Etnia en la comuna de Empedrado" u="1"/>
        <s v="Ingreso Promedio Mensual de Mujeres y Hombres en el año 2017 en la comuna de Pinto" u="1"/>
        <s v="Diferencial de Ingreso Promedio Mensual de Hombres según Alfabetismo en la comuna de Los Andes" u="1"/>
        <s v="Diferencial de Ingreso Promedio Mensual de Mujeres según Alfabetismo en la comuna de Los Andes" u="1"/>
        <s v="Variación del Ingreso Promedio Mensual por Etnia en la comuna de Conchalí" u="1"/>
        <s v="Variación del Ingreso Promedio Mensual por Etnia en la comuna de Vitacura" u="1"/>
        <s v="Diferencial de Ingreso Promedio Mensual de Hombres según Alfabetismo en la comuna de San Fernando" u="1"/>
        <s v="Diferencial de Ingreso Promedio Mensual de Mujeres según Alfabetismo en la comuna de San Fernando" u="1"/>
        <s v="Evolución del Ingreso Promedio Mensual por Alfabetismo en la comuna de Pichilemu" u="1"/>
        <s v="Evolución del Ingreso Promedio Mensual por Persona para Mujeres y Hombres en la comuna de Chépica" u="1"/>
        <s v="Evolución del Ingreso Promedio Mensual por Persona en la comuna de Melipilla" u="1"/>
        <s v="Variación porcentual del Ingreso Promedio Mensual por Persona en la comuna de Chillán" u="1"/>
        <s v="Variación del Ingreso Promedio Mensual por Etnia en la comuna de Cholchol" u="1"/>
        <s v="Variación porcentual del Ingreso Promedio Mensual por Persona en la comuna de Coelemu" u="1"/>
        <s v="Diferencial de Ingreso Promedio Mensual de Hombres según Alfabetismo en la comuna de La Pintana" u="1"/>
        <s v="Diferencial de Ingreso Promedio Mensual de Mujeres según Alfabetismo en la comuna de La Pintana" u="1"/>
        <s v="Evolución del Ingreso Promedio Mensual por Alfabetismo en la comuna de Dalcahue" u="1"/>
        <s v="Diferencial de Ingreso Promedio Mensual de Hombres según Alfabetismo en la comuna de San Nicolás" u="1"/>
        <s v="Diferencial de Ingreso Promedio Mensual de Mujeres según Alfabetismo en la comuna de San Nicolás" u="1"/>
        <s v="Evolución del Ingreso Promedio Mensual por Etnia en la comuna de Paine" u="1"/>
        <s v="Ingreso Promedio Mensual de Mujeres y Hombres en el año 2017 en la comuna de Pica" u="1"/>
        <s v="Evolución del Ingreso Promedio Mensual por Persona en la comuna de Buin" u="1"/>
        <s v="Evolución del Ingreso Promedio Mensual por Etnia en la comuna de Quintero" u="1"/>
        <s v="Evolución del Ingreso Promedio Mensual por Persona en la comuna de Machalí" u="1"/>
        <s v="Evolución del Ingreso Promedio Mensual por Persona en la comuna de Loncoche" u="1"/>
        <s v="Evolución del Ingreso Promedio Mensual por Persona en la comuna de Requínoa" u="1"/>
        <s v="Ingreso Promedio Mensual de Mujeres y Hombres en el año 2017 en la comuna de Catemu" u="1"/>
        <s v="Ingreso Promedio Mensual de Mujeres y Hombres en el año 2017 en la comuna de La Pintana" u="1"/>
        <s v="Ingreso Promedio Mensual al año 2017 por Etnia en la comuna de Conchalí" u="1"/>
        <s v="Evolución del Ingreso Promedio Mensual por Etnia en la comuna de Carahue" u="1"/>
        <s v="Comparativo de Ingreso Promedio Mensual entre personas con y sin alfabetización en la comuna de Quinta de Tilcoco" u="1"/>
        <s v="Evolución del Ingreso Promedio Mensual por Persona en la comuna de Camiña" u="1"/>
        <s v="Variación porcentual del Ingreso Promedio Mensual por Persona en la comuna de Linares" u="1"/>
        <s v="Ingreso Promedio Mensual al año 2017 por Etnia en la comuna de Providencia" u="1"/>
        <s v="Variación porcentual del Ingreso Promedio Mensual por Persona en la comuna de Tucapel" u="1"/>
        <s v="Ingreso Promedio Mensual de Mujeres y Hombres en el año 2017 en la comuna de Mejillones" u="1"/>
        <s v="Ingreso Promedio Mensual al año 2017 por Etnia en la comuna de Hualqui" u="1"/>
        <s v="Ingreso Promedio Mensual al año 2017 por Etnia en la comuna de Nancagua" u="1"/>
        <s v="Variación porcentual del Ingreso Promedio Mensual por Persona en la comuna de Rauco" u="1"/>
        <s v="Variación porcentual del Ingreso Promedio Mensual por Persona en la comuna de Placilla" u="1"/>
        <s v="Evolución del Ingreso Promedio Mensual por Etnia en la comuna de Quilpué" u="1"/>
        <s v="Ingreso Promedio Mensual al año 2017 por Etnia en la comuna de Pitrufquén" u="1"/>
        <s v="Evolución del Ingreso Promedio Mensual por Persona en la comuna de Valdivia" u="1"/>
        <s v="Evolución del Ingreso Promedio Mensual por Alfabetismo en la comuna de Lanco" u="1"/>
        <s v="Variación porcentual del Ingreso Promedio Mensual por Persona en la comuna de Quemchi" u="1"/>
        <s v="Variación porcentual del Ingreso Promedio Mensual por Persona en la comuna de Nueva Imperial" u="1"/>
        <s v="Comparativo de Ingreso Promedio Mensual entre personas con y sin alfabetización en la comuna de Panguipulli" u="1"/>
        <s v="Variación del Ingreso Promedio Mensual por Etnia en la comuna de Ránquil" u="1"/>
        <s v="Comparativo de Ingreso Promedio Mensual entre personas con y sin alfabetización en la comuna de Victoria" u="1"/>
        <s v="Variación del Ingreso Promedio Mensual por Etnia en la comuna de Coltauco" u="1"/>
        <s v="Evolución del Ingreso Promedio Mensual por Persona en la comuna de El Quisco" u="1"/>
        <s v="Variación porcentual del Ingreso Promedio Mensual por Persona en la comuna de Paillaco" u="1"/>
        <s v="Ingreso Promedio Mensual al año 2017 por Etnia en la comuna de Talagante" u="1"/>
        <s v="Evolución del Ingreso Promedio Mensual por Persona para Mujeres y Hombres en la comuna de Pichilemu" u="1"/>
        <s v="Evolución del Ingreso Promedio Mensual por Alfabetismo en la comuna de Los Andes" u="1"/>
        <s v="Diferencial de Ingreso Promedio Mensual de Hombres según Alfabetismo en la comuna de Angol" u="1"/>
        <s v="Diferencial de Ingreso Promedio Mensual de Mujeres según Alfabetismo en la comuna de Angol" u="1"/>
        <s v="Variación porcentual del Ingreso Promedio Mensual por Persona en la comuna de Taltal" u="1"/>
        <s v="Diferencial de Ingreso Promedio Mensual de Hombres según Alfabetismo en la Región de Aysén" u="1"/>
        <s v="Diferencial de Ingreso Promedio Mensual de Mujeres según Alfabetismo en la Región de Aysén" u="1"/>
        <s v="Evolución del Ingreso Promedio Mensual por Persona para Mujeres y Hombres en la comuna de Dalcahue" u="1"/>
        <s v="Evolución del Ingreso Promedio Mensual por Alfabetismo en la comuna de Quillón" u="1"/>
        <s v="Evolución del Ingreso Promedio Mensual por Persona en la comuna de Padre las Casas" u="1"/>
        <s v="Evolución del Ingreso Promedio Mensual por Alfabetismo en la comuna de Cunco" u="1"/>
        <s v="Ingreso Promedio Mensual de Mujeres y Hombres en el año 2017 en la comuna de Arica" u="1"/>
        <s v="Evolución del Ingreso Promedio Mensual por Etnia en la comuna de Llaillay" u="1"/>
        <s v="Variación del Ingreso Promedio Mensual por Etnia en la comuna de Portezuelo" u="1"/>
        <s v="Variación porcentual del Ingreso Promedio Mensual por Persona en la comuna de Punitaqui" u="1"/>
        <s v="Diferencial de Ingreso Promedio Mensual de Hombres según Alfabetismo en la comuna de Lebu" u="1"/>
        <s v="Diferencial de Ingreso Promedio Mensual de Mujeres según Alfabetismo en la comuna de Lebu" u="1"/>
        <s v="Ingreso Promedio Mensual al año 2017 por Etnia en la comuna de Rancagua" u="1"/>
        <s v="Evolución del Ingreso Promedio Mensual por Alfabetismo en la comuna de Hualañé" u="1"/>
        <s v="Evolución del Ingreso Promedio Mensual por Alfabetismo en la comuna de Villarrica" u="1"/>
        <s v="Variación porcentual del Ingreso Promedio Mensual por Persona en la comuna de Estación Central" u="1"/>
        <s v="Variación porcentual del Ingreso Promedio Mensual por Persona en la comuna de Colbún" u="1"/>
        <s v="Ingreso Promedio Mensual de Mujeres y Hombres en el año 2017 en la comuna de San Carlos" u="1"/>
        <s v="Variación del Ingreso Promedio Mensual por Etnia en la comuna de Mejillones" u="1"/>
        <s v="Ingreso Promedio Mensual al año 2017 por Etnia en la comuna de Zapallar" u="1"/>
        <s v="Variación del Ingreso Promedio Mensual por Etnia en la comuna de Pemuco" u="1"/>
        <s v="Evolución del Ingreso Promedio Mensual por Etnia en la comuna de La Pintana" u="1"/>
        <s v="Evolución del Ingreso Promedio Mensual por Persona en la comuna de Constitución" u="1"/>
        <s v="Variación del Ingreso Promedio Mensual por Etnia en la comuna de Copiapó" u="1"/>
        <s v="Evolución del Ingreso Promedio Mensual por Persona para Mujeres y Hombres en la comuna de Lanco" u="1"/>
        <s v="Evolución del Ingreso Promedio Mensual por Alfabetismo en la comuna de Hijuelas" u="1"/>
        <s v="Comparativo de Ingreso Promedio Mensual entre personas con y sin alfabetización en la comuna de Las Condes" u="1"/>
        <s v="Evolución del Ingreso Promedio Mensual por Etnia en la comuna de Pica" u="1"/>
        <s v="Variación porcentual del Ingreso Promedio Mensual por Persona en la comuna de Santa Bárbara" u="1"/>
        <s v="Evolución del Ingreso Promedio Mensual por Persona en la comuna de Codegua" u="1"/>
        <s v="Evolución del Ingreso Promedio Mensual por Persona en la comuna de Quilaco" u="1"/>
        <s v="Variación porcentual del Ingreso Promedio Mensual por Persona en la comuna de Algarrobo" u="1"/>
        <s v="Diferencial de Ingreso Promedio Mensual de Hombres según Alfabetismo en la comuna de Pelarco" u="1"/>
        <s v="Diferencial de Ingreso Promedio Mensual de Mujeres según Alfabetismo en la comuna de Pelarco" u="1"/>
        <s v="Evolución del Ingreso Promedio Mensual por Persona para Mujeres y Hombres en la comuna de Los Andes" u="1"/>
        <s v="Comparativo de Ingreso Promedio Mensual entre personas con y sin alfabetización en la comuna de Tierra Amarilla" u="1"/>
        <s v="Evolución del Ingreso Promedio Mensual por Persona en la comuna de Colchane" u="1"/>
        <s v="Variación del Ingreso Promedio Mensual por Etnia en la comuna de Quellón" u="1"/>
        <s v="Evolución del Ingreso Promedio Mensual por Persona para Mujeres y Hombres en la comuna de Quillón" u="1"/>
        <s v="Variación porcentual del Ingreso Promedio Mensual por Persona en la comuna de Isla de Pascua" u="1"/>
        <s v="Evolución del Ingreso Promedio Mensual por Etnia en la comuna de Purranque" u="1"/>
        <s v="Ingreso Promedio Mensual de Mujeres y Hombres en el año 2017 en la comuna de Mariquina" u="1"/>
        <s v="Evolución del Ingreso Promedio Mensual por Persona para Mujeres y Hombres en la comuna de Cunco" u="1"/>
        <s v="Variación del Ingreso Promedio Mensual por Etnia en la comuna de Florida" u="1"/>
        <s v="Ingreso Promedio Mensual de Mujeres y Hombres en el año 2017 en la comuna de Lumaco" u="1"/>
        <s v="Variación porcentual del Ingreso Promedio Mensual por Persona en la comuna de Penco" u="1"/>
        <s v="Ingreso Promedio Mensual de Mujeres y Hombres en el año 2017 en la comuna de La Estrella" u="1"/>
        <s v="Evolución del Ingreso Promedio Mensual por Persona para Mujeres y Hombres en la comuna de Hualañé" u="1"/>
        <s v="Evolución del Ingreso Promedio Mensual por Persona para Mujeres y Hombres en la comuna de Villarrica" u="1"/>
        <s v="Evolución del Ingreso Promedio Mensual por Etnia en la comuna de Ovalle" u="1"/>
        <s v="Evolución del Ingreso Promedio Mensual por Persona en la comuna de Longaví" u="1"/>
        <s v="Evolución del Ingreso Promedio Mensual por Alfabetismo en la comuna de El Carmen" u="1"/>
        <s v="Evolución del Ingreso Promedio Mensual por Etnia en la comuna de Alto del Carmen" u="1"/>
        <s v="Ingreso Promedio Mensual de Mujeres y Hombres en el año 2017 en la comuna de Curacautín" u="1"/>
        <s v="Evolución del Ingreso Promedio Mensual por Persona en la comuna de Santiago" u="1"/>
        <s v="Evolución del Ingreso Promedio Mensual por Alfabetismo en la comuna de Yungay" u="1"/>
        <s v="Evolución del Ingreso Promedio Mensual por Persona en la comuna de Diego de Almagro" u="1"/>
        <s v="Diferencial de Ingreso Promedio Mensual de Hombres según Alfabetismo en la comuna de Conchalí" u="1"/>
        <s v="Diferencial de Ingreso Promedio Mensual de Mujeres según Alfabetismo en la comuna de Conchalí" u="1"/>
        <s v="Comparativo de Ingreso Promedio Mensual entre personas con y sin alfabetización en la comuna de Petorca" u="1"/>
        <s v="Variación del Ingreso Promedio Mensual por Etnia en la comuna de Chimbarongo" u="1"/>
        <s v="Ingreso Promedio Mensual al año 2017 por Etnia en la comuna de Teodoro Schmidt" u="1"/>
        <s v="Evolución del Ingreso Promedio Mensual por Alfabetismo en la comuna de Tierra Amarilla" u="1"/>
        <s v="Variación del Ingreso Promedio Mensual por Etnia en la comuna de Juan Fernández" u="1"/>
        <s v="Ingreso Promedio Mensual de Mujeres y Hombres en el año 2017 en la comuna de Machalí" u="1"/>
        <s v="Evolución del Ingreso Promedio Mensual por Etnia en la comuna de Teno" u="1"/>
        <s v="Variación del Ingreso Promedio Mensual por Etnia en la comuna de Vallenar" u="1"/>
        <s v="Evolución del Ingreso Promedio Mensual por Persona para Mujeres y Hombres en la comuna de Hijuelas" u="1"/>
        <s v="Evolución del Ingreso Promedio Mensual por Alfabetismo en la comuna de Cañete" u="1"/>
        <s v="Variación del Ingreso Promedio Mensual por Etnia en la comuna de Calera" u="1"/>
        <s v="Evolución del Ingreso Promedio Mensual por Alfabetismo en la comuna de San Javier" u="1"/>
        <s v="Ingreso Promedio Mensual de Mujeres y Hombres en el año 2017 en la comuna de Lampa" u="1"/>
        <s v="Evolución del Ingreso Promedio Mensual por Etnia en la comuna de Mostazal" u="1"/>
        <s v="Evolución del Ingreso Promedio Mensual por Persona en la comuna de Cerrillos" u="1"/>
        <s v="Ingreso Promedio Mensual de Mujeres y Hombres en el año 2017 en la comuna de Paiguano" u="1"/>
        <s v="Diferencial de Ingreso Promedio Mensual de Hombres según Alfabetismo en la comuna de Talagante" u="1"/>
        <s v="Diferencial de Ingreso Promedio Mensual de Mujeres según Alfabetismo en la comuna de Talagante" u="1"/>
        <s v="Comparativo de Ingreso Promedio Mensual entre personas con y sin alfabetización en la comuna de Coinco" u="1"/>
        <s v="Evolución del Ingreso Promedio Mensual por Alfabetismo en la comuna de Ñuñoa" u="1"/>
        <s v="Evolución del Ingreso Promedio Mensual por Persona en la comuna de San Esteban" u="1"/>
        <s v="Evolución del Ingreso Promedio Mensual por Alfabetismo en la comuna de Alto del Carmen" u="1"/>
        <s v="Variación porcentual del Ingreso Promedio Mensual por Persona en la comuna de Pumanque" u="1"/>
        <s v="Comparativo de Ingreso Promedio Mensual entre personas con y sin alfabetización en la comuna de Algarrobo" u="1"/>
        <s v="Ingreso Promedio Mensual al año 2017 por Etnia en la comuna de Frutillar" u="1"/>
        <s v="Ingreso Promedio Mensual al año 2017 por Etnia en la comuna de Hualpén" u="1"/>
        <s v="Variación del Ingreso Promedio Mensual por Etnia en la comuna de Timaukel" u="1"/>
        <s v="Ingreso Promedio Mensual al año 2017 por Etnia en la comuna de Sierra Gorda" u="1"/>
        <s v="Evolución del Ingreso Promedio Mensual por Persona en la comuna de Los Sauces" u="1"/>
        <s v="Comparativo de Ingreso Promedio Mensual entre personas con y sin alfabetización en la comuna de Papudo" u="1"/>
        <s v="Variación del Ingreso Promedio Mensual por Etnia en la comuna de Huara" u="1"/>
        <s v="Evolución del Ingreso Promedio Mensual por Etnia en la comuna de Chillán" u="1"/>
        <s v="Variación del Ingreso Promedio Mensual por Etnia en la comuna de Panquehue" u="1"/>
        <s v="Evolución del Ingreso Promedio Mensual por Persona para Mujeres y Hombres en la comuna de El Carmen" u="1"/>
        <s v="Evolución del Ingreso Promedio Mensual por Persona para Mujeres y Hombres en la comuna de Yungay" u="1"/>
        <s v="Evolución del Ingreso Promedio Mensual por Persona para Mujeres y Hombres en la comuna de Tierra Amarilla" u="1"/>
        <s v="Evolución del Ingreso Promedio Mensual por Etnia en la comuna de Tiltil" u="1"/>
        <s v="Variación del Ingreso Promedio Mensual por Etnia en la comuna de San Pedro" u="1"/>
        <s v="Diferencial de Ingreso Promedio Mensual de Hombres según Alfabetismo en la comuna de Cerrillos" u="1"/>
        <s v="Diferencial de Ingreso Promedio Mensual de Mujeres según Alfabetismo en la comuna de Cerrillos" u="1"/>
        <s v="Ingreso Promedio Mensual al año 2017 por Etnia en la comuna de San Bernardo" u="1"/>
        <s v="Comparativo de Ingreso Promedio Mensual entre personas con y sin alfabetización en la comuna de Florida" u="1"/>
        <s v="Variación del Ingreso Promedio Mensual por Etnia en la comuna de Quillón" u="1"/>
        <s v="Ingreso Promedio Mensual al año 2017 por Etnia en la comuna de San Fernando" u="1"/>
        <s v="Evolución del Ingreso Promedio Mensual por Alfabetismo en la comuna de Villa Alemana" u="1"/>
        <s v="Ingreso Promedio Mensual de Mujeres y Hombres en el año 2017 en la comuna de Graneros" u="1"/>
        <s v="Diferencial de Ingreso Promedio Mensual de Hombres según Alfabetismo en la comuna de Teno" u="1"/>
        <s v="Diferencial de Ingreso Promedio Mensual de Mujeres según Alfabetismo en la comuna de Teno" u="1"/>
        <s v="Evolución del Ingreso Promedio Mensual por Persona para Mujeres y Hombres en la comuna de Cañete" u="1"/>
        <s v="Diferencial de Ingreso Promedio Mensual de Hombres según Alfabetismo en la comuna de San Pedro de Atacama" u="1"/>
        <s v="Diferencial de Ingreso Promedio Mensual de Mujeres según Alfabetismo en la comuna de San Pedro de Atacama" u="1"/>
        <s v="Evolución del Ingreso Promedio Mensual por Persona en la comuna de Llaillay" u="1"/>
        <s v="Variación porcentual del Ingreso Promedio Mensual por Persona en la comuna de Lo Barnechea" u="1"/>
        <s v="Evolución del Ingreso Promedio Mensual por Persona para Mujeres y Hombres en la comuna de San Javier" u="1"/>
        <s v="Variación del Ingreso Promedio Mensual por Etnia en la comuna de Fresia" u="1"/>
        <s v="Comparativo de Ingreso Promedio Mensual entre personas con y sin alfabetización en la comuna de Caldera" u="1"/>
        <s v="Comparativo de Ingreso Promedio Mensual entre personas con y sin alfabetización en la comuna de Mulchén" u="1"/>
        <s v="Evolución del Ingreso Promedio Mensual por Persona en la comuna de Villarrica" u="1"/>
        <s v="Evolución del Ingreso Promedio Mensual por Alfabetismo en la comuna de Frutillar" u="1"/>
        <s v="Evolución del Ingreso Promedio Mensual por Etnia en la comuna de Putaendo" u="1"/>
        <s v="Variación del Ingreso Promedio Mensual por Etnia en la comuna de Malloa" u="1"/>
        <s v="Ingreso Promedio Mensual de Mujeres y Hombres en el año 2017 en la comuna de Paredones" u="1"/>
        <s v="Variación porcentual del Ingreso Promedio Mensual por Persona en la comuna de Punta Arenas" u="1"/>
        <s v="Diferencial de Ingreso Promedio Mensual de Hombres según Alfabetismo en la comuna de O'Higgins" u="1"/>
        <s v="Diferencial de Ingreso Promedio Mensual de Hombres según Alfabetismo en la Región de O'Higgins" u="1"/>
        <s v="Diferencial de Ingreso Promedio Mensual de Mujeres según Alfabetismo en la comuna de O'Higgins" u="1"/>
        <s v="Diferencial de Ingreso Promedio Mensual de Mujeres según Alfabetismo en la Región de O'Higgins" u="1"/>
        <s v="Comparativo de Ingreso Promedio Mensual entre personas con y sin alfabetización en la comuna de Cochrane" u="1"/>
        <s v="Diferencial de Ingreso Promedio Mensual de Hombres según Alfabetismo en la comuna de Llanquihue" u="1"/>
        <s v="Diferencial de Ingreso Promedio Mensual de Mujeres según Alfabetismo en la comuna de Llanquihue" u="1"/>
        <s v="Evolución del Ingreso Promedio Mensual por Persona para Mujeres y Hombres en la comuna de Ñuñoa" u="1"/>
        <s v="Evolución del Ingreso Promedio Mensual por Persona para Mujeres y Hombres en la comuna de Alto del Carmen" u="1"/>
        <s v="Evolución del Ingreso Promedio Mensual por Etnia en la comuna de Río Verde" u="1"/>
        <s v="Ingreso Promedio Mensual de Mujeres y Hombres en el año 2017 en la comuna de Coihaique" u="1"/>
        <s v="Evolución del Ingreso Promedio Mensual por Etnia en la comuna de O'Higgins" u="1"/>
        <s v="Evolución del Ingreso Promedio Mensual por Etnia en la Región de O'Higgins" u="1"/>
        <s v="Ingreso Promedio Mensual de Mujeres y Hombres en el año 2017 en la comuna de Vichuquén" u="1"/>
        <s v="Ingreso Promedio Mensual de Mujeres y Hombres en el año 2017 en la comuna de El Bosque" u="1"/>
        <s v="Ingreso Promedio Mensual de Mujeres y Hombres en el año 2017 en la comuna de Pitrufquén" u="1"/>
        <s v="Diferencial de Ingreso Promedio Mensual de Hombres según Alfabetismo en la comuna de Pemuco" u="1"/>
        <s v="Diferencial de Ingreso Promedio Mensual de Mujeres según Alfabetismo en la comuna de Pemuco" u="1"/>
        <s v="Diferencial de Ingreso Promedio Mensual de Hombres según Alfabetismo en la comuna de Rinconada" u="1"/>
        <s v="Diferencial de Ingreso Promedio Mensual de Mujeres según Alfabetismo en la comuna de Rinconada" u="1"/>
        <s v="Evolución del Ingreso Promedio Mensual por Alfabetismo en la comuna de Palmilla" u="1"/>
        <s v="Ingreso Promedio Mensual al año 2017 por Etnia en la comuna de Arica" u="1"/>
        <s v="Diferencial de Ingreso Promedio Mensual de Hombres según Alfabetismo en la comuna de Empedrado" u="1"/>
        <s v="Diferencial de Ingreso Promedio Mensual de Mujeres según Alfabetismo en la comuna de Empedrado" u="1"/>
        <s v="Evolución del Ingreso Promedio Mensual por Persona para Mujeres y Hombres en la comuna de Villa Alemana" u="1"/>
        <s v="Comparativo de Ingreso Promedio Mensual entre personas con y sin alfabetización en la Región de Magallanes" u="1"/>
        <s v="Variación del Ingreso Promedio Mensual por Etnia en la comuna de San Pedro de Atacama" u="1"/>
        <s v="Variación porcentual del Ingreso Promedio Mensual por Persona en la Región de Atacama" u="1"/>
        <s v="Diferencial de Ingreso Promedio Mensual de Hombres según Alfabetismo en la comuna de San Miguel" u="1"/>
        <s v="Diferencial de Ingreso Promedio Mensual de Mujeres según Alfabetismo en la comuna de San Miguel" u="1"/>
        <s v="Diferencial de Ingreso Promedio Mensual de Hombres según Alfabetismo en la comuna de Padre Hurtado" u="1"/>
        <s v="Diferencial de Ingreso Promedio Mensual de Mujeres según Alfabetismo en la comuna de Padre Hurtado" u="1"/>
        <s v="Evolución del Ingreso Promedio Mensual por Persona para Mujeres y Hombres en la comuna de Frutillar" u="1"/>
        <s v="Comparativo de Ingreso Promedio Mensual entre personas con y sin alfabetización en la comuna de Independencia" u="1"/>
        <s v="Variación del Ingreso Promedio Mensual por Etnia en la comuna de Futrono" u="1"/>
        <s v="Evolución del Ingreso Promedio Mensual por Alfabetismo en la comuna de Vitacura" u="1"/>
        <s v="Variación porcentual del Ingreso Promedio Mensual por Persona en la comuna de Arauco" u="1"/>
        <s v="Variación porcentual del Ingreso Promedio Mensual por Persona en la comuna de San Ramón" u="1"/>
        <s v="Diferencial de Ingreso Promedio Mensual de Hombres según Alfabetismo en la comuna de María Pinto" u="1"/>
        <s v="Diferencial de Ingreso Promedio Mensual de Mujeres según Alfabetismo en la comuna de María Pinto" u="1"/>
        <s v="Comparativo de Ingreso Promedio Mensual entre personas con y sin alfabetización en la comuna de Alto Biobío" u="1"/>
        <s v="Variación del Ingreso Promedio Mensual por Etnia en la comuna de Taltal" u="1"/>
        <s v="Evolución del Ingreso Promedio Mensual por Etnia en la comuna de Romeral" u="1"/>
        <s v="Variación porcentual del Ingreso Promedio Mensual por Persona en la comuna de Peumo" u="1"/>
        <s v="Variación porcentual del Ingreso Promedio Mensual por Persona en la comuna de Treguaco" u="1"/>
        <s v="Evolución del Ingreso Promedio Mensual por Etnia en la comuna de Bulnes" u="1"/>
        <s v="Ingreso Promedio Mensual al año 2017 por Etnia en la comuna de Yerbas Buenas" u="1"/>
        <s v="Ingreso Promedio Mensual de Mujeres y Hombres en el año 2017 en la comuna de Colbún" u="1"/>
        <s v="Diferencial de Ingreso Promedio Mensual de Hombres según Alfabetismo en la comuna de Colbún" u="1"/>
        <s v="Diferencial de Ingreso Promedio Mensual de Mujeres según Alfabetismo en la comuna de Colbún" u="1"/>
        <s v="Evolución del Ingreso Promedio Mensual por Persona en la comuna de Tierra Amarilla" u="1"/>
        <s v="Ingreso Promedio Mensual al año 2017 por Etnia en la comuna de Yumbel" u="1"/>
        <s v="Evolución del Ingreso Promedio Mensual por Alfabetismo en la comuna de Futrono" u="1"/>
        <s v="Comparativo de Ingreso Promedio Mensual entre personas con y sin alfabetización en la comuna de Quillón" u="1"/>
        <s v="Variación del Ingreso Promedio Mensual por Etnia en la comuna de Chonchi" u="1"/>
        <s v="Evolución del Ingreso Promedio Mensual por Alfabetismo en la comuna de El Tabo" u="1"/>
        <s v="Evolución del Ingreso Promedio Mensual por Persona para Mujeres y Hombres en la comuna de Palmilla" u="1"/>
        <s v="Ingreso Promedio Mensual al año 2017 por Etnia en la comuna de Peñaflor" u="1"/>
        <s v="Variación del Ingreso Promedio Mensual por Etnia en la comuna de Palmilla" u="1"/>
        <s v="Evolución del Ingreso Promedio Mensual por Alfabetismo en la comuna de Quilleco" u="1"/>
        <s v="Comparativo de Ingreso Promedio Mensual entre personas con y sin alfabetización en la comuna de Iquique" u="1"/>
        <s v="Evolución del Ingreso Promedio Mensual por Etnia en la comuna de Laja" u="1"/>
        <s v="Evolución del Ingreso Promedio Mensual por Persona en la comuna de Alto del Carmen" u="1"/>
        <s v="Ingreso Promedio Mensual de Mujeres y Hombres en el año 2017 en la comuna de Ñiquén" u="1"/>
        <s v="Diferencial de Ingreso Promedio Mensual de Hombres según Alfabetismo en la comuna de Lautaro" u="1"/>
        <s v="Diferencial de Ingreso Promedio Mensual de Mujeres según Alfabetismo en la comuna de Lautaro" u="1"/>
        <s v="Evolución del Ingreso Promedio Mensual por Alfabetismo en la comuna de Penco" u="1"/>
        <s v="Diferencial de Ingreso Promedio Mensual de Hombres según Alfabetismo en la Región de Tarapacá" u="1"/>
        <s v="Diferencial de Ingreso Promedio Mensual de Mujeres según Alfabetismo en la Región de Tarapacá" u="1"/>
        <s v="Evolución del Ingreso Promedio Mensual por Persona en la comuna de Pitrufquén" u="1"/>
        <s v="Evolución del Ingreso Promedio Mensual por Alfabetismo en la comuna de Ninhue" u="1"/>
        <s v="Ingreso Promedio Mensual de Mujeres y Hombres en el año 2017 en la comuna de Peñaflor" u="1"/>
        <s v="Evolución del Ingreso Promedio Mensual por Etnia en la comuna de Illapel" u="1"/>
        <s v="Evolución del Ingreso Promedio Mensual por Persona en la comuna de Villa Alemana" u="1"/>
        <s v="Variación porcentual del Ingreso Promedio Mensual por Persona en la comuna de Calera de Tango" u="1"/>
        <s v="Comparativo de Ingreso Promedio Mensual entre personas con y sin alfabetización en la comuna de Monte Patria" u="1"/>
        <s v="Comparativo de Ingreso Promedio Mensual entre personas con y sin alfabetización en la comuna de Alto del Carmen" u="1"/>
        <s v="Evolución del Ingreso Promedio Mensual por Persona en la comuna de Quilleco" u="1"/>
        <s v="Evolución del Ingreso Promedio Mensual por Alfabetismo en la comuna de Concón" u="1"/>
        <s v="Diferencial de Ingreso Promedio Mensual de Hombres según Alfabetismo en la comuna de Cunco" u="1"/>
        <s v="Diferencial de Ingreso Promedio Mensual de Mujeres según Alfabetismo en la comuna de Cunco" u="1"/>
        <s v="Evolución del Ingreso Promedio Mensual por Persona para Mujeres y Hombres en la comuna de Vitacura" u="1"/>
        <s v="Variación del Ingreso Promedio Mensual por Etnia en la comuna de Concón" u="1"/>
        <s v="Variación del Ingreso Promedio Mensual por Etnia en la comuna de Los Angeles" u="1"/>
        <s v="Ingreso Promedio Mensual de Mujeres y Hombres en el año 2017 en la comuna de Peralillo" u="1"/>
        <s v="Ingreso Promedio Mensual al año 2017 por Etnia en la comuna de Olmué" u="1"/>
        <s v="Variación del Ingreso Promedio Mensual por Etnia en la comuna de La Florida" u="1"/>
        <s v="Evolución del Ingreso Promedio Mensual por Persona para la Región de Coquimbo" u="1"/>
        <s v="Evolución del Ingreso Promedio Mensual por Alfabetismo en la comuna de Nacimiento" u="1"/>
        <s v="Ingreso Promedio Mensual de Mujeres y Hombres en el año 2017 en la comuna de Chaitén" u="1"/>
        <s v="Variación del Ingreso Promedio Mensual por Etnia en la comuna de Osorno" u="1"/>
        <s v="Evolución del Ingreso Promedio Mensual por Persona en la comuna de Doñihue" u="1"/>
        <s v="Ingreso Promedio Mensual de Mujeres y Hombres en el año 2017 en la comuna de Coelemu" u="1"/>
        <s v="Variación del Ingreso Promedio Mensual por Etnia en la comuna de Colina" u="1"/>
        <s v="Evolución del Ingreso Promedio Mensual por Etnia en la comuna de Curacaví" u="1"/>
        <s v="Variación porcentual del Ingreso Promedio Mensual por Persona en la comuna de Curanilahue" u="1"/>
        <s v="Comparativo de Ingreso Promedio Mensual entre personas con y sin alfabetización en la comuna de Talagante" u="1"/>
        <s v="Ingreso Promedio Mensual al año 2017 por Etnia en la comuna de Castro" u="1"/>
        <s v="Evolución del Ingreso Promedio Mensual por Etnia en la comuna de Ñuñoa" u="1"/>
        <s v="Evolución del Ingreso Promedio Mensual por Persona para Mujeres y Hombres en la comuna de Futrono" u="1"/>
        <s v="Comparativo de Ingreso Promedio Mensual entre personas con y sin alfabetización en la comuna de Negrete" u="1"/>
        <s v="Evolución del Ingreso Promedio Mensual por Etnia en la comuna de Antuco" u="1"/>
        <s v="Evolución del Ingreso Promedio Mensual por Persona para Mujeres y Hombres en la comuna de El Tabo" u="1"/>
        <s v="Evolución del Ingreso Promedio Mensual por Persona para Mujeres y Hombres en la comuna de Quilleco" u="1"/>
        <s v="Comparativo de Ingreso Promedio Mensual entre personas con y sin alfabetización en la comuna de Llaillay" u="1"/>
        <s v="Evolución del Ingreso Promedio Mensual por Etnia en la comuna de Pumanque" u="1"/>
        <s v="Diferencial de Ingreso Promedio Mensual de Hombres según Alfabetismo en la comuna de Ñiquén" u="1"/>
        <s v="Diferencial de Ingreso Promedio Mensual de Mujeres según Alfabetismo en la comuna de Ñiquén" u="1"/>
        <s v="Comparativo de Ingreso Promedio Mensual entre personas con y sin alfabetización en la comuna de Futrono" u="1"/>
        <s v="Evolución del Ingreso Promedio Mensual por Persona en la comuna de Galvarino" u="1"/>
        <s v="Variación del Ingreso Promedio Mensual por Etnia en la comuna de Isla de Pascua" u="1"/>
        <s v="Ingreso Promedio Mensual de Mujeres y Hombres en el año 2017 en la comuna de Litueche" u="1"/>
        <s v="Evolución del Ingreso Promedio Mensual por Persona para Mujeres y Hombres en la comuna de Penco" u="1"/>
        <s v="Evolución del Ingreso Promedio Mensual por Etnia en la comuna de Buin" u="1"/>
        <s v="Variación del Ingreso Promedio Mensual por Etnia en la comuna de Ollagüe" u="1"/>
        <s v="Evolución del Ingreso Promedio Mensual por Persona para Mujeres y Hombres en la comuna de Ninhue" u="1"/>
        <s v="Ingreso Promedio Mensual al año 2017 por Etnia en la comuna de Lo Prado" u="1"/>
        <s v="Evolución del Ingreso Promedio Mensual por Persona para Mujeres y Hombres en la comuna de Concón" u="1"/>
        <s v="Evolución del Ingreso Promedio Mensual por Persona en la comuna de Calera" u="1"/>
        <s v="Variación del Ingreso Promedio Mensual por Etnia en la comuna de Santo Domingo" u="1"/>
        <s v="Variación del Ingreso Promedio Mensual por Etnia en la comuna de Corral" u="1"/>
        <s v="Diferencial de Ingreso Promedio Mensual de Hombres según Alfabetismo en la comuna de Peñaflor" u="1"/>
        <s v="Diferencial de Ingreso Promedio Mensual de Mujeres según Alfabetismo en la comuna de Peñaflor" u="1"/>
        <s v="Comparativo de Ingreso Promedio Mensual entre personas con y sin alfabetización en la comuna de Villa Alemana" u="1"/>
        <s v="Evolución del Ingreso Promedio Mensual por Persona en la comuna de Lolol" u="1"/>
        <s v="Variación porcentual del Ingreso Promedio Mensual por Persona en la comuna de Tomé" u="1"/>
        <s v="Variación porcentual del Ingreso Promedio Mensual por Persona en la comuna de Navidad" u="1"/>
        <s v="Variación porcentual del Ingreso Promedio Mensual por Persona en la comuna de Puchuncaví" u="1"/>
        <s v="Evolución del Ingreso Promedio Mensual por Alfabetismo en la comuna de Puerto Octay" u="1"/>
        <s v="Evolución del Ingreso Promedio Mensual por Persona para Mujeres y Hombres en la comuna de Nacimiento" u="1"/>
        <s v="Comparativo de Ingreso Promedio Mensual entre personas con y sin alfabetización en la comuna de Calle Larga" u="1"/>
        <s v="Evolución del Ingreso Promedio Mensual por Etnia en la comuna de Cartagena" u="1"/>
        <s v="Evolución del Ingreso Promedio Mensual por Etnia en la comuna de Frutillar" u="1"/>
        <s v="Evolución del Ingreso Promedio Mensual por Persona en la comuna de Ollagüe" u="1"/>
        <s v="Evolución del Ingreso Promedio Mensual por Alfabetismo en la comuna de Taltal" u="1"/>
        <s v="Evolución del Ingreso Promedio Mensual por Alfabetismo en la comuna de Saavedra" u="1"/>
        <s v="Comparativo de Ingreso Promedio Mensual entre personas con y sin alfabetización en la comuna de Gorbea" u="1"/>
        <s v="Variación porcentual del Ingreso Promedio Mensual por Persona en la comuna de Hualañé" u="1"/>
        <s v="Variación porcentual del Ingreso Promedio Mensual por Persona en la comuna de Tocopilla" u="1"/>
        <s v="Comparativo de Ingreso Promedio Mensual entre personas con y sin alfabetización en la comuna de Sierra Gorda" u="1"/>
        <s v="Evolución del Ingreso Promedio Mensual por Persona en la comuna de Tirúa" u="1"/>
        <s v="Evolución del Ingreso Promedio Mensual por Etnia en la comuna de San Carlos" u="1"/>
        <s v="Evolución del Ingreso Promedio Mensual por Alfabetismo en la comuna de Pumanque" u="1"/>
        <s v="Ingreso Promedio Mensual de Mujeres y Hombres en el año 2017 en la Región de Atacama" u="1"/>
        <s v="Diferencial de Ingreso Promedio Mensual de Hombres según Alfabetismo en la comuna de Rancagua" u="1"/>
        <s v="Diferencial de Ingreso Promedio Mensual de Mujeres según Alfabetismo en la comuna de Rancagua" u="1"/>
        <s v="Variación del Ingreso Promedio Mensual por Etnia en la comuna de Puqueldón" u="1"/>
        <s v="Evolución del Ingreso Promedio Mensual por Alfabetismo en la comuna de Rengo" u="1"/>
        <s v="Variación porcentual del Ingreso Promedio Mensual por Persona en la comuna de Retiro" u="1"/>
        <s v="Evolución del Ingreso Promedio Mensual por Etnia en la comuna de Tocopilla" u="1"/>
        <s v="Comparativo de Ingreso Promedio Mensual entre personas con y sin alfabetización en la comuna de Quillota" u="1"/>
        <s v="Comparativo de Ingreso Promedio Mensual entre personas con y sin alfabetización en la comuna de San Vicente" u="1"/>
        <s v="Comparativo de Ingreso Promedio Mensual entre personas con y sin alfabetización en la comuna de San Esteban" u="1"/>
        <s v="Evolución del Ingreso Promedio Mensual por Persona para la Región de Magallanes" u="1"/>
        <s v="Comparativo de Ingreso Promedio Mensual entre personas con y sin alfabetización en la comuna de Río Hurtado" u="1"/>
        <s v="Ingreso Promedio Mensual al año 2017 por Etnia en la comuna de Pica" u="1"/>
        <s v="Ingreso Promedio Mensual al año 2017 por Etnia en la comuna de Natales" u="1"/>
        <s v="Ingreso Promedio Mensual al año 2017 por Etnia en la comuna de El Quisco" u="1"/>
        <s v="Comparativo de Ingreso Promedio Mensual entre personas con y sin alfabetización en la comuna de Río Negro" u="1"/>
        <s v="Evolución del Ingreso Promedio Mensual por Etnia en la comuna de Pencahue" u="1"/>
        <s v="Variación porcentual del Ingreso Promedio Mensual por Persona en la comuna de Nogales" u="1"/>
        <s v="Diferencial de Ingreso Promedio Mensual de Hombres según Alfabetismo en la comuna de Santa Bárbara" u="1"/>
        <s v="Diferencial de Ingreso Promedio Mensual de Mujeres según Alfabetismo en la comuna de Santa Bárbara" u="1"/>
        <s v="Evolución del Ingreso Promedio Mensual por Persona para Mujeres y Hombres en la comuna de Puerto Octay" u="1"/>
        <s v="Variación del Ingreso Promedio Mensual por Etnia en la comuna de Maule" u="1"/>
        <s v="Variación del Ingreso Promedio Mensual por Etnia en la Región de Maule" u="1"/>
        <s v="Evolución del Ingreso Promedio Mensual por Alfabetismo en la comuna de Buin" u="1"/>
        <s v="Evolución del Ingreso Promedio Mensual por Alfabetismo en la comuna de Pinto" u="1"/>
        <s v="Diferencial de Ingreso Promedio Mensual de Hombres según Alfabetismo en la comuna de Tocopilla" u="1"/>
        <s v="Diferencial de Ingreso Promedio Mensual de Mujeres según Alfabetismo en la comuna de Tocopilla" u="1"/>
        <s v="Evolución del Ingreso Promedio Mensual por Persona para Mujeres y Hombres en la comuna de Taltal" u="1"/>
        <s v="Evolución del Ingreso Promedio Mensual por Persona para Mujeres y Hombres en la comuna de Saavedra" u="1"/>
        <s v="Comparativo de Ingreso Promedio Mensual entre personas con y sin alfabetización en la comuna de Ñuñoa" u="1"/>
        <s v="Ingreso Promedio Mensual al año 2017 por Etnia en la comuna de Catemu" u="1"/>
        <s v="Evolución del Ingreso Promedio Mensual por Persona en la comuna de La Granja" u="1"/>
        <s v="Comparativo de Ingreso Promedio Mensual entre personas con y sin alfabetización en la comuna de Santa Cruz" u="1"/>
        <s v="Diferencial de Ingreso Promedio Mensual de Hombres según Alfabetismo en la comuna de Pumanque" u="1"/>
        <s v="Diferencial de Ingreso Promedio Mensual de Mujeres según Alfabetismo en la comuna de Pumanque" u="1"/>
        <s v="Diferencial de Ingreso Promedio Mensual de Hombres según Alfabetismo en la comuna de Melipeuco" u="1"/>
        <s v="Diferencial de Ingreso Promedio Mensual de Mujeres según Alfabetismo en la comuna de Melipeuco" u="1"/>
        <s v="Ingreso Promedio Mensual al año 2017 por Etnia en la comuna de Pemuco" u="1"/>
        <s v="Variación del Ingreso Promedio Mensual por Etnia en la comuna de Quilaco" u="1"/>
        <s v="Evolución del Ingreso Promedio Mensual por Etnia en la comuna de Futaleufú" u="1"/>
        <s v="Ingreso Promedio Mensual de Mujeres y Hombres en el año 2017 en la comuna de Chimbarongo" u="1"/>
        <s v="Ingreso Promedio Mensual al año 2017 por Etnia en la comuna de Sagrada Familia" u="1"/>
        <s v="Evolución del Ingreso Promedio Mensual por Persona para Mujeres y Hombres en la comuna de Pumanque" u="1"/>
        <s v="Diferencial de Ingreso Promedio Mensual de Hombres según Alfabetismo en la Región de Arica y Parinacota" u="1"/>
        <s v="Diferencial de Ingreso Promedio Mensual de Mujeres según Alfabetismo en la Región de Arica y Parinacota" u="1"/>
        <s v="Variación porcentual del Ingreso Promedio Mensual por Persona en la Región de Magallanes" u="1"/>
        <s v="Comparativo de Ingreso Promedio Mensual entre personas con y sin alfabetización en la comuna de Santa Juana" u="1"/>
        <s v="Ingreso Promedio Mensual al año 2017 por Etnia en la comuna de Vilcún" u="1"/>
        <s v="Ingreso Promedio Mensual al año 2017 por Etnia en la comuna de Florida" u="1"/>
        <s v="Ingreso Promedio Mensual al año 2017 por Etnia en la comuna de Río Hurtado" u="1"/>
        <s v="Evolución del Ingreso Promedio Mensual por Persona para Mujeres y Hombres en la comuna de Rengo" u="1"/>
        <s v="Variación porcentual del Ingreso Promedio Mensual por Persona en la comuna de Angol" u="1"/>
        <s v="Comparativo de Ingreso Promedio Mensual entre personas con y sin alfabetización en la comuna de O'Higgins" u="1"/>
        <s v="Comparativo de Ingreso Promedio Mensual entre personas con y sin alfabetización en la Región de O'Higgins" u="1"/>
        <s v="Variación del Ingreso Promedio Mensual por Etnia en la comuna de Punta Arenas" u="1"/>
        <s v="Diferencial de Ingreso Promedio Mensual de Hombres según Alfabetismo en la comuna de Chaitén" u="1"/>
        <s v="Diferencial de Ingreso Promedio Mensual de Mujeres según Alfabetismo en la comuna de Chaitén" u="1"/>
        <s v="Evolución del Ingreso Promedio Mensual por Etnia en la comuna de Machalí" u="1"/>
        <s v="Evolución del Ingreso Promedio Mensual por Persona en la comuna de Ancud" u="1"/>
        <s v="Ingreso Promedio Mensual al año 2017 por Etnia en la comuna de San Carlos" u="1"/>
        <s v="Evolución del Ingreso Promedio Mensual por Etnia en la comuna de Pucón" u="1"/>
        <s v="Diferencial de Ingreso Promedio Mensual de Hombres según Alfabetismo en la comuna de Sagrada Familia" u="1"/>
        <s v="Diferencial de Ingreso Promedio Mensual de Mujeres según Alfabetismo en la comuna de Sagrada Familia" u="1"/>
        <s v="Variación del Ingreso Promedio Mensual por Etnia en la comuna de Loncoche" u="1"/>
        <s v="Evolución del Ingreso Promedio Mensual por Persona en la comuna de Palena" u="1"/>
        <s v="Evolución del Ingreso Promedio Mensual por Persona en la comuna de Paiguano" u="1"/>
        <s v="Diferencial de Ingreso Promedio Mensual de Hombres según Alfabetismo en la comuna de Coelemu" u="1"/>
        <s v="Diferencial de Ingreso Promedio Mensual de Mujeres según Alfabetismo en la comuna de Coelemu" u="1"/>
        <s v="Ingreso Promedio Mensual al año 2017 por Etnia en la comuna de San Vicente" u="1"/>
        <s v="Evolución del Ingreso Promedio Mensual por Persona en la comuna de La Reina" u="1"/>
        <s v="Comparativo de Ingreso Promedio Mensual entre personas con y sin alfabetización en la comuna de Huasco" u="1"/>
        <s v="Variación porcentual del Ingreso Promedio Mensual por Persona en la comuna de Freirina" u="1"/>
        <s v="Evolución del Ingreso Promedio Mensual por Persona para Mujeres y Hombres en la comuna de Buin" u="1"/>
        <s v="Evolución del Ingreso Promedio Mensual por Persona para Mujeres y Hombres en la comuna de Pinto" u="1"/>
        <s v="Ingreso Promedio Mensual al año 2017 por Etnia en la comuna de Temuco" u="1"/>
        <s v="Evolución del Ingreso Promedio Mensual por Persona en la comuna de Vicuña" u="1"/>
        <s v="Evolución del Ingreso Promedio Mensual por Alfabetismo en la comuna de Petorca" u="1"/>
        <s v="Evolución del Ingreso Promedio Mensual por Alfabetismo en la comuna de Chiguayante" u="1"/>
        <s v="Variación del Ingreso Promedio Mensual por Etnia en la comuna de Tortel" u="1"/>
        <s v="Variación porcentual del Ingreso Promedio Mensual por Persona en la Región de Arica y Parinacota" u="1"/>
        <s v="Variación porcentual del Ingreso Promedio Mensual por Persona en la comuna de Mostazal" u="1"/>
        <s v="Variación porcentual del Ingreso Promedio Mensual por Persona en la comuna de Puyehue" u="1"/>
        <s v="Diferencial de Ingreso Promedio Mensual de Hombres según Alfabetismo en la Región de Ñuble" u="1"/>
        <s v="Diferencial de Ingreso Promedio Mensual de Mujeres según Alfabetismo en la Región de Ñuble" u="1"/>
        <s v="Evolución del Ingreso Promedio Mensual por Etnia en la comuna de Cabrero" u="1"/>
        <s v="Variación porcentual del Ingreso Promedio Mensual por Persona en la comuna de San Clemente" u="1"/>
        <s v="Variación del Ingreso Promedio Mensual por Etnia en la comuna de Lumaco" u="1"/>
        <s v="Variación del Ingreso Promedio Mensual por Etnia en la comuna de Hualañé" u="1"/>
        <s v="Comparativo de Ingreso Promedio Mensual entre personas con y sin alfabetización en la comuna de La Unión" u="1"/>
        <s v="Diferencial de Ingreso Promedio Mensual de Hombres según Alfabetismo en la comuna de El Carmen" u="1"/>
        <s v="Diferencial de Ingreso Promedio Mensual de Hombres según Alfabetismo en la comuna de Lo Espejo" u="1"/>
        <s v="Diferencial de Ingreso Promedio Mensual de Mujeres según Alfabetismo en la comuna de El Carmen" u="1"/>
        <s v="Diferencial de Ingreso Promedio Mensual de Mujeres según Alfabetismo en la comuna de Lo Espejo" u="1"/>
        <s v="Diferencial de Ingreso Promedio Mensual de Hombres según Alfabetismo en la comuna de Puente Alto" u="1"/>
        <s v="Diferencial de Ingreso Promedio Mensual de Mujeres según Alfabetismo en la comuna de Puente Alto" u="1"/>
        <s v="Ingreso Promedio Mensual al año 2017 por Etnia en la comuna de Futaleufú" u="1"/>
        <s v="Ingreso Promedio Mensual al año 2017 por Etnia en la comuna de Talca" u="1"/>
        <s v="Evolución del Ingreso Promedio Mensual por Persona en la comuna de Calbuco" u="1"/>
        <s v="Diferencial de Ingreso Promedio Mensual de Hombres según Alfabetismo en la comuna de Estación Central" u="1"/>
        <s v="Diferencial de Ingreso Promedio Mensual de Mujeres según Alfabetismo en la comuna de Estación Central" u="1"/>
        <s v="Evolución del Ingreso Promedio Mensual por Alfabetismo en la comuna de Putaendo" u="1"/>
        <s v="Comparativo de Ingreso Promedio Mensual entre personas con y sin alfabetización en la comuna de La Ligua" u="1"/>
        <s v="Ingreso Promedio Mensual al año 2017 por Etnia en la comuna de San José de Maipo" u="1"/>
        <s v="Comparativo de Ingreso Promedio Mensual entre personas con y sin alfabetización en la comuna de Valdivia" u="1"/>
        <s v="Evolución del Ingreso Promedio Mensual por Alfabetismo en la comuna de San Esteban" u="1"/>
        <s v="Ingreso Promedio Mensual al año 2017 por Etnia en la Región del Biobío" u="1"/>
        <s v="Variación del Ingreso Promedio Mensual por Etnia en la comuna de Catemu" u="1"/>
        <s v="Ingreso Promedio Mensual de Mujeres y Hombres en el año 2017 en la comuna de Pichidegua" u="1"/>
        <s v="Evolución del Ingreso Promedio Mensual por Persona para Mujeres y Hombres en la comuna de Petorca" u="1"/>
        <s v="Diferencial de Ingreso Promedio Mensual de Hombres según Alfabetismo en la comuna de Ollagüe" u="1"/>
        <s v="Diferencial de Ingreso Promedio Mensual de Mujeres según Alfabetismo en la comuna de Ollagüe" u="1"/>
        <s v="Evolución del Ingreso Promedio Mensual por Etnia en la comuna de Nancagua" u="1"/>
        <s v="Evolución del Ingreso Promedio Mensual por Persona para Mujeres y Hombres en la comuna de Chiguayante" u="1"/>
        <s v="Diferencial de Ingreso Promedio Mensual de Hombres según Alfabetismo en la comuna de Litueche" u="1"/>
        <s v="Diferencial de Ingreso Promedio Mensual de Mujeres según Alfabetismo en la comuna de Litueche" u="1"/>
        <s v="Cantidad de mujeres atendidas en Establecimientos de Apoyo por procedimiento en la fase de Salida" u="1"/>
        <s v="Evolución del Ingreso Promedio Mensual por Persona en la comuna de Paine" u="1"/>
        <s v="Variación del Ingreso Promedio Mensual por Etnia en la comuna de Quinchao" u="1"/>
        <s v="Ingreso Promedio Mensual de Mujeres y Hombres en el año 2017 en la comuna de Vallenar" u="1"/>
        <s v="Variación porcentual del Ingreso Promedio Mensual por Persona en la comuna de Alto Hospicio" u="1"/>
        <s v="Evolución del Ingreso Promedio Mensual por Alfabetismo en la comuna de Papudo" u="1"/>
        <s v="Comparativo de Ingreso Promedio Mensual entre personas con y sin alfabetización en la comuna de Cabildo" u="1"/>
        <s v="Variación porcentual del Ingreso Promedio Mensual por Persona en la comuna de Licantén" u="1"/>
        <s v="Evolución del Ingreso Promedio Mensual por Persona en la comuna de San Joaquín" u="1"/>
        <s v="Variación del Ingreso Promedio Mensual por Etnia en la comuna de Diego de Almagro" u="1"/>
        <s v="Ingreso Promedio Mensual al año 2017 por Etnia en la comuna de San Nicolás" u="1"/>
        <s v="Evolución del Ingreso Promedio Mensual por Alfabetismo en la comuna de Los Sauces" u="1"/>
        <s v="Evolución del Ingreso Promedio Mensual por Alfabetismo en la comuna de Quinta de Tilcoco" u="1"/>
        <s v="Variación del Ingreso Promedio Mensual por Etnia en la comuna de Quemchi" u="1"/>
        <s v="Evolución del Ingreso Promedio Mensual por Alfabetismo en la comuna de Colina" u="1"/>
        <s v="Ingreso Promedio Mensual al año 2017 por Etnia en la comuna de Illapel" u="1"/>
        <s v="Evolución del Ingreso Promedio Mensual por Persona en la comuna de Río Bueno" u="1"/>
        <s v="Evolución del Ingreso Promedio Mensual por Persona para Mujeres y Hombres en la comuna de Putaendo" u="1"/>
        <s v="Ingreso Promedio Mensual al año 2017 por Etnia en la comuna de Traiguén" u="1"/>
        <s v="Comparativo de Ingreso Promedio Mensual entre personas con y sin alfabetización en la comuna de San Felipe" u="1"/>
        <s v="Evolución del Ingreso Promedio Mensual por Persona para Mujeres y Hombres en la comuna de San Esteban" u="1"/>
        <s v="Ingreso Promedio Mensual al año 2017 por Etnia en la comuna de La Serena" u="1"/>
        <s v="Variación del Ingreso Promedio Mensual por Etnia en la comuna de Victoria" u="1"/>
        <s v="Diferencial de Ingreso Promedio Mensual de Hombres según Alfabetismo en la comuna de San Rafael" u="1"/>
        <s v="Diferencial de Ingreso Promedio Mensual de Mujeres según Alfabetismo en la comuna de San Rafael" u="1"/>
        <s v="Diferencial de Ingreso Promedio Mensual de Hombres según Alfabetismo en la comuna de Lota" u="1"/>
        <s v="Diferencial de Ingreso Promedio Mensual de Mujeres según Alfabetismo en la comuna de Lota" u="1"/>
        <s v="Comparativo de Ingreso Promedio Mensual entre personas con y sin alfabetización en la comuna de San Pedro de la Paz" u="1"/>
        <s v="Ingreso Promedio Mensual de Mujeres y Hombres en el año 2017 en la comuna de Peumo" u="1"/>
        <s v="Comparativo de Ingreso Promedio Mensual entre personas con y sin alfabetización en la comuna de Ovalle" u="1"/>
        <s v="Ingreso Promedio Mensual de Mujeres y Hombres en el año 2017 en la comuna de La Cisterna" u="1"/>
        <s v="Variación porcentual del Ingreso Promedio Mensual por Persona en la comuna de Chimbarongo" u="1"/>
        <s v="Evolución del Ingreso Promedio Mensual por Persona para Mujeres y Hombres en la comuna de Papudo" u="1"/>
        <s v="Evolución del Ingreso Promedio Mensual por Etnia en la comuna de Colchane" u="1"/>
        <s v="Comparativo de Ingreso Promedio Mensual entre personas con y sin alfabetización en la comuna de Peñalolén" u="1"/>
        <s v="Evolución del Ingreso Promedio Mensual por Etnia en la comuna de Maullín" u="1"/>
        <s v="Comparativo de Ingreso Promedio Mensual entre personas con y sin alfabetización en la comuna de Nogales" u="1"/>
        <s v="Variación del Ingreso Promedio Mensual por Etnia en la comuna de General Lagos" u="1"/>
        <s v="Variación porcentual del Ingreso Promedio Mensual por Persona en la comuna de Santo Domingo" u="1"/>
        <s v="Evolución del Ingreso Promedio Mensual por Persona en la comuna de Antuco" u="1"/>
        <s v="Evolución del Ingreso Promedio Mensual por Alfabetismo en la comuna de Peñaflor" u="1"/>
        <s v="Variación porcentual del Ingreso Promedio Mensual por Persona en la comuna de Yungay" u="1"/>
        <s v="Evolución del Ingreso Promedio Mensual por Persona para Mujeres y Hombres en la comuna de Los Sauces" u="1"/>
        <s v="Evolución del Ingreso Promedio Mensual por Persona para Mujeres y Hombres en la comuna de Quinta de Tilcoco" u="1"/>
        <s v="Evolución del Ingreso Promedio Mensual por Persona en la comuna de Cabo de Hornos" u="1"/>
        <s v="Ingreso Promedio Mensual al año 2017 por Etnia en la comuna de Toltén" u="1"/>
        <s v="Diferencial de Ingreso Promedio Mensual de Hombres según Alfabetismo en la comuna de San Carlos" u="1"/>
        <s v="Diferencial de Ingreso Promedio Mensual de Mujeres según Alfabetismo en la comuna de San Carlos" u="1"/>
        <s v="Evolución del Ingreso Promedio Mensual por Persona para Mujeres y Hombres en la comuna de Colina" u="1"/>
        <s v="Comparativo de Ingreso Promedio Mensual entre personas con y sin alfabetización en la comuna de Buin" u="1"/>
        <s v="Evolución del Ingreso Promedio Mensual por Etnia en la comuna de Renaico" u="1"/>
        <s v="Variación porcentual del Ingreso Promedio Mensual por Persona en la comuna de Aisén" u="1"/>
        <s v="Evolución del Ingreso Promedio Mensual por Etnia en la comuna de Curaco de Vélez" u="1"/>
        <s v="Evolución del Ingreso Promedio Mensual por Alfabetismo en la comuna de Teodoro Schmidt" u="1"/>
        <s v="Variación porcentual del Ingreso Promedio Mensual por Persona en la comuna de Parral" u="1"/>
        <s v="Variación del Ingreso Promedio Mensual por Etnia en la comuna de Toltén" u="1"/>
        <s v="Diferencial de Ingreso Promedio Mensual de Hombres según Alfabetismo en la comuna de Cobquecura" u="1"/>
        <s v="Diferencial de Ingreso Promedio Mensual de Mujeres según Alfabetismo en la comuna de Cobquecura" u="1"/>
        <s v="Comparativo de Ingreso Promedio Mensual entre personas con y sin alfabetización en la comuna de Cochamó" u="1"/>
        <s v="Ingreso Promedio Mensual al año 2017 por Etnia en la comuna de Ñiquén" u="1"/>
        <s v="Evolución del Ingreso Promedio Mensual por Etnia en la comuna de Quinta de Tilcoco" u="1"/>
        <s v="Ingreso Promedio Mensual de Mujeres y Hombres en el año 2017 en la comuna de Mostazal" u="1"/>
        <s v="Evolución del Ingreso Promedio Mensual por Etnia en la comuna de Lanco" u="1"/>
        <s v="Evolución del Ingreso Promedio Mensual por Etnia en la comuna de La Cruz" u="1"/>
        <s v="Evolución del Ingreso Promedio Mensual por Etnia en la comuna de San Vicente" u="1"/>
        <s v="Evolución del Ingreso Promedio Mensual por Persona para la Región de Antofagasta" u="1"/>
        <s v="Variación del Ingreso Promedio Mensual por Etnia en la comuna de Rengo" u="1"/>
        <s v="Variación del Ingreso Promedio Mensual por Etnia en la comuna de Hualqui" u="1"/>
        <s v="Variación del Ingreso Promedio Mensual por Etnia en la comuna de La Higuera" u="1"/>
        <s v="Evolución del Ingreso Promedio Mensual por Alfabetismo en la comuna de San Rafael" u="1"/>
        <s v="Ingreso Promedio Mensual al año 2017 por Etnia en la comuna de Osorno" u="1"/>
        <s v="Variación del Ingreso Promedio Mensual por Etnia en la comuna de Casablanca" u="1"/>
        <s v="Ingreso Promedio Mensual de Mujeres y Hombres en el año 2017 en la comuna de Pucón" u="1"/>
        <s v="Ingreso Promedio Mensual al año 2017 por Etnia en la comuna de Colina" u="1"/>
        <s v="Evolución del Ingreso Promedio Mensual por Persona para Mujeres y Hombres en la comuna de Peñaflor" u="1"/>
        <s v="Comparativo de Ingreso Promedio Mensual entre personas con y sin alfabetización en la comuna de Olivar" u="1"/>
        <s v="Variación del Ingreso Promedio Mensual por Etnia en la comuna de San Clemente" u="1"/>
        <s v="Variación porcentual del Ingreso Promedio Mensual por Persona en la comuna de San Gregorio" u="1"/>
        <s v="Diferencial de Ingreso Promedio Mensual de Hombres según Alfabetismo en la Región de La Araucanía" u="1"/>
        <s v="Diferencial de Ingreso Promedio Mensual de Mujeres según Alfabetismo en la Región de La Araucanía" u="1"/>
        <s v="Diferencial de Ingreso Promedio Mensual de Hombres según Alfabetismo en la comuna de Quinta Normal" u="1"/>
        <s v="Diferencial de Ingreso Promedio Mensual de Mujeres según Alfabetismo en la comuna de Quinta Normal" u="1"/>
        <s v="Ingreso Promedio Mensual al año 2017 por Etnia en la comuna de Cisnes" u="1"/>
        <s v="Ingreso Promedio Mensual al año 2017 por Etnia en la comuna de San Javier" u="1"/>
        <s v="Evolución del Ingreso Promedio Mensual por Alfabetismo en la comuna de Freire" u="1"/>
        <s v="Evolución del Ingreso Promedio Mensual por Persona para Mujeres y Hombres en la comuna de Teodoro Schmidt" u="1"/>
        <s v="Evolución del Ingreso Promedio Mensual por Alfabetismo en la comuna de Santa Cruz" u="1"/>
        <s v="Diferencial de Ingreso Promedio Mensual de Hombres según Alfabetismo en la comuna de Pozo Almonte" u="1"/>
        <s v="Diferencial de Ingreso Promedio Mensual de Mujeres según Alfabetismo en la comuna de Pozo Almonte" u="1"/>
        <s v="Ingreso Promedio Mensual al año 2017 por Etnia en la comuna de Quintero" u="1"/>
        <s v="Evolución del Ingreso Promedio Mensual por Etnia en la comuna de Castro" u="1"/>
        <s v="Ingreso Promedio Mensual de Mujeres y Hombres en el año 2017 en la comuna de El Tabo" u="1"/>
        <s v="Diferencial de Ingreso Promedio Mensual de Hombres según Alfabetismo en la comuna de Santo Domingo" u="1"/>
        <s v="Diferencial de Ingreso Promedio Mensual de Mujeres según Alfabetismo en la comuna de Santo Domingo" u="1"/>
        <s v="Variación porcentual del Ingreso Promedio Mensual por Persona en la comuna de Bulnes" u="1"/>
        <s v="Ingreso Promedio Mensual de Mujeres y Hombres en el año 2017 en la comuna de Chiguayante" u="1"/>
        <s v="Evolución del Ingreso Promedio Mensual por Persona para Mujeres y Hombres en la comuna de San Rafael" u="1"/>
        <s v="Evolución del Ingreso Promedio Mensual por Etnia en la comuna de Retiro" u="1"/>
        <s v="Ingreso Promedio Mensual al año 2017 por Etnia en la comuna de Pelluhue" u="1"/>
        <s v="Variación porcentual del Ingreso Promedio Mensual por Persona en la comuna de La Higuera" u="1"/>
        <s v="Comparativo de Ingreso Promedio Mensual entre personas con y sin alfabetización en la comuna de Curarrehue" u="1"/>
        <s v="Comparativo de Ingreso Promedio Mensual entre personas con y sin alfabetización en la comuna de Los Muermos" u="1"/>
        <s v="Diferencial de Ingreso Promedio Mensual de Hombres según Alfabetismo en la comuna de Andacollo" u="1"/>
        <s v="Diferencial de Ingreso Promedio Mensual de Mujeres según Alfabetismo en la comuna de Andacollo" u="1"/>
        <s v="Evolución del Ingreso Promedio Mensual por Etnia en la comuna de Ancud" u="1"/>
        <s v="Cantidad de mujeres atendidas en Establecimientos de Apoyo por procedimiento en la fase de Ingreso" u="1"/>
        <s v="Diferencial de Ingreso Promedio Mensual de Hombres según Alfabetismo en la comuna de Ancud" u="1"/>
        <s v="Diferencial de Ingreso Promedio Mensual de Mujeres según Alfabetismo en la comuna de Ancud" u="1"/>
        <s v="Diferencial de Ingreso Promedio Mensual de Hombres según Alfabetismo en la Región de Atacama" u="1"/>
        <s v="Diferencial de Ingreso Promedio Mensual de Mujeres según Alfabetismo en la Región de Atacama" u="1"/>
        <s v="Evolución del Ingreso Promedio Mensual por Persona para Mujeres y Hombres en la comuna de Freire" u="1"/>
        <s v="Comparativo de Ingreso Promedio Mensual entre personas con y sin alfabetización en la comuna de Paillaco" u="1"/>
        <s v="Comparativo de Ingreso Promedio Mensual entre personas con y sin alfabetización en la comuna de Chépica" u="1"/>
        <s v="Diferencial de Ingreso Promedio Mensual de Hombres según Alfabetismo en la comuna de Paine" u="1"/>
        <s v="Diferencial de Ingreso Promedio Mensual de Mujeres según Alfabetismo en la comuna de Paine" u="1"/>
        <s v="Evolución del Ingreso Promedio Mensual por Persona para Mujeres y Hombres en la comuna de Santa Cruz" u="1"/>
        <s v="Evolución del Ingreso Promedio Mensual por Etnia en la comuna de Codegua" u="1"/>
        <s v="Ingreso Promedio Mensual de Mujeres y Hombres en el año 2017 en la comuna de Los Sauces" u="1"/>
        <s v="Ingreso Promedio Mensual al año 2017 por Etnia en la comuna de Quilpué" u="1"/>
        <s v="Ingreso Promedio Mensual al año 2017 por Etnia en la comuna de Curacaví" u="1"/>
        <s v="Variación del Ingreso Promedio Mensual por Etnia en la comuna de María Elena" u="1"/>
        <s v="Diferencial de Ingreso Promedio Mensual de Hombres según Alfabetismo en la comuna de Curacaví" u="1"/>
        <s v="Diferencial de Ingreso Promedio Mensual de Mujeres según Alfabetismo en la comuna de Curacaví" u="1"/>
        <s v="Diferencial de Ingreso Promedio Mensual de Hombres según Alfabetismo en la comuna de Villarrica" u="1"/>
        <s v="Diferencial de Ingreso Promedio Mensual de Mujeres según Alfabetismo en la comuna de Villarrica" u="1"/>
        <s v="Variación porcentual del Ingreso Promedio Mensual por Persona en la comuna de San Pedro" u="1"/>
        <s v="Evolución del Ingreso Promedio Mensual por Persona en la comuna de Coltauco" u="1"/>
        <s v="Ingreso Promedio Mensual al año 2017 por Etnia en la comuna de Valparaíso" u="1"/>
        <s v="Ingreso Promedio Mensual al año 2017 por Etnia en la Región de Valparaíso" u="1"/>
        <s v="Evolución del Ingreso Promedio Mensual por Persona en la comuna de Limache" u="1"/>
        <s v="Diferencial de Ingreso Promedio Mensual de Hombres según Alfabetismo en la comuna de Nancagua" u="1"/>
        <s v="Diferencial de Ingreso Promedio Mensual de Mujeres según Alfabetismo en la comuna de Nancagua" u="1"/>
        <s v="Comparativo de Ingreso Promedio Mensual entre personas con y sin alfabetización en la comuna de Chañaral" u="1"/>
        <s v="Evolución del Ingreso Promedio Mensual por Persona en la comuna de Río Hurtado" u="1"/>
        <s v="Evolución del Ingreso Promedio Mensual por Persona para la Región Metropolitana" u="1"/>
        <s v="Evolución del Ingreso Promedio Mensual por Etnia en la comuna de Quilleco" u="1"/>
        <s v="Comparativo de Ingreso Promedio Mensual entre personas con y sin alfabetización en la comuna de Tocopilla" u="1"/>
        <s v="Variación del Ingreso Promedio Mensual por Etnia en la comuna de Temuco" u="1"/>
        <s v="Ingreso Promedio Mensual de Mujeres y Hombres en el año 2017 en la comuna de Alhué" u="1"/>
        <s v="Comparativo de Ingreso Promedio Mensual entre personas con y sin alfabetización en la comuna de Viña del Mar" u="1"/>
        <s v="Evolución del Ingreso Promedio Mensual por Alfabetismo en la comuna de Cochamó" u="1"/>
        <s v="Ingreso Promedio Mensual de Mujeres y Hombres en el año 2017 en la comuna de Licantén" u="1"/>
        <s v="Variación porcentual del Ingreso Promedio Mensual por Persona en la comuna de Santiago" u="1"/>
        <s v="Comparativo de Ingreso Promedio Mensual entre personas con y sin alfabetización en la comuna de La Higuera" u="1"/>
        <s v="Ingreso Promedio Mensual al año 2017 por Etnia en la comuna de Requínoa" u="1"/>
        <s v="Variación del Ingreso Promedio Mensual por Etnia en la comuna de Dalcahue" u="1"/>
        <s v="Variación del Ingreso Promedio Mensual por Etnia en la comuna de Las Cabras" u="1"/>
        <s v="Comparativo de Ingreso Promedio Mensual entre personas con y sin alfabetización en la comuna de Recoleta" u="1"/>
        <s v="Ingreso Promedio Mensual al año 2017 por Etnia en la comuna de San Clemente" u="1"/>
        <s v="Ingreso Promedio Mensual al año 2017 por Etnia en la comuna de Molina" u="1"/>
        <s v="Ingreso Promedio Mensual al año 2017 por Etnia en la comuna de Valdivia" u="1"/>
        <s v="Variación porcentual del Ingreso Promedio Mensual por Persona en la comuna de Peralillo" u="1"/>
        <s v="Evolución del Ingreso Promedio Mensual por Persona en la comuna de Canela" u="1"/>
        <s v="Evolución del Ingreso Promedio Mensual por Persona en la comuna de Curarrehue" u="1"/>
        <s v="Ingreso Promedio Mensual de Mujeres y Hombres en el año 2017 en la comuna de Frutillar" u="1"/>
        <s v="Comparativo de Ingreso Promedio Mensual entre personas con y sin alfabetización en la Región Metropolitana" u="1"/>
        <s v="Evolución del Ingreso Promedio Mensual por Alfabetismo en la comuna de Salamanca" u="1"/>
        <s v="Diferencial de Ingreso Promedio Mensual de Hombres según Alfabetismo en la comuna de Collipulli" u="1"/>
        <s v="Diferencial de Ingreso Promedio Mensual de Mujeres según Alfabetismo en la comuna de Collipulli" u="1"/>
        <s v="Diferencial de Ingreso Promedio Mensual de Hombres según Alfabetismo en la comuna de Hualañé" u="1"/>
        <s v="Diferencial de Ingreso Promedio Mensual de Mujeres según Alfabetismo en la comuna de Hualañé" u="1"/>
        <s v="Variación porcentual del Ingreso Promedio Mensual por Persona en la comuna de Ovalle" u="1"/>
        <s v="Diferencial de Ingreso Promedio Mensual de Hombres según Alfabetismo en la comuna de Hualqui" u="1"/>
        <s v="Diferencial de Ingreso Promedio Mensual de Mujeres según Alfabetismo en la comuna de Hualqui" u="1"/>
        <s v="Variación del Ingreso Promedio Mensual por Etnia en la comuna de Peñaflor" u="1"/>
        <s v="Ingreso Promedio Mensual de Mujeres y Hombres en el año 2017 en la comuna de Toltén" u="1"/>
        <s v="Ingreso Promedio Mensual al año 2017 por Etnia en la comuna de Cochamó" u="1"/>
        <s v="Evolución del Ingreso Promedio Mensual por Persona en la comuna de Padre Hurtado" u="1"/>
        <s v="Ingreso Promedio Mensual al año 2017 por Etnia en la comuna de Carahue" u="1"/>
        <s v="Variación del Ingreso Promedio Mensual por Etnia en la comuna de Santa Cruz" u="1"/>
        <s v="Ingreso Promedio Mensual de Mujeres y Hombres en el año 2017 en la comuna de Longaví" u="1"/>
        <s v="Ingreso Promedio Mensual de Mujeres y Hombres en el año 2017 en la comuna de Río Claro" u="1"/>
        <s v="Variación del Ingreso Promedio Mensual por Etnia en la comuna de Navidad" u="1"/>
        <s v="Comparativo de Ingreso Promedio Mensual entre personas con y sin alfabetización en la comuna de Portezuelo" u="1"/>
        <s v="Evolución del Ingreso Promedio Mensual por Persona en la comuna de Pirque" u="1"/>
        <s v="Evolución del Ingreso Promedio Mensual por Etnia en la comuna de Curanilahue" u="1"/>
        <s v="Evolución del Ingreso Promedio Mensual por Alfabetismo en la comuna de Cabo de Hornos" u="1"/>
        <s v="Evolución del Ingreso Promedio Mensual por Persona para Mujeres y Hombres en la comuna de Cochamó" u="1"/>
        <s v="Diferencial de Ingreso Promedio Mensual de Hombres según Alfabetismo en la comuna de Chile Chico" u="1"/>
        <s v="Diferencial de Ingreso Promedio Mensual de Mujeres según Alfabetismo en la comuna de Chile Chico" u="1"/>
        <s v="Comparativo de Ingreso Promedio Mensual entre personas con y sin alfabetización en la comuna de Pinto" u="1"/>
        <s v="Diferencial de Ingreso Promedio Mensual de Hombres según Alfabetismo en la comuna de Vichuquén" u="1"/>
        <s v="Diferencial de Ingreso Promedio Mensual de Mujeres según Alfabetismo en la comuna de Vichuquén" u="1"/>
        <s v="Evolución del Ingreso Promedio Mensual por Persona para Mujeres y Hombres en la comuna de Salamanca" u="1"/>
        <s v="Ingreso Promedio Mensual al año 2017 por Etnia en la comuna de Lautaro" u="1"/>
        <s v="Diferencial de Ingreso Promedio Mensual de Hombres según Alfabetismo en la comuna de Putaendo" u="1"/>
        <s v="Diferencial de Ingreso Promedio Mensual de Mujeres según Alfabetismo en la comuna de Putaendo" u="1"/>
        <s v="Evolución del Ingreso Promedio Mensual por Persona en la comuna de Curacautín" u="1"/>
        <s v="Variación porcentual del Ingreso Promedio Mensual por Persona en la comuna de Cholchol" u="1"/>
        <s v="Comparativo de Ingreso Promedio Mensual entre personas con y sin alfabetización en la comuna de Pica" u="1"/>
        <s v="Variación del Ingreso Promedio Mensual por Etnia en la comuna de Papudo" u="1"/>
        <s v="Ingreso Promedio Mensual al año 2017 por Etnia en la comuna de Cauquenes" u="1"/>
        <s v="Evolución del Ingreso Promedio Mensual por Alfabetismo en la comuna de Monte Patria" u="1"/>
        <s v="Comparativo de Ingreso Promedio Mensual entre personas con y sin alfabetización en la comuna de Catemu" u="1"/>
        <s v="Comparativo de Ingreso Promedio Mensual entre personas con y sin alfabetización en la comuna de La Pintana" u="1"/>
        <s v="Evolución del Ingreso Promedio Mensual por Persona en la comuna de Independencia" u="1"/>
        <s v="Ingreso Promedio Mensual de Mujeres y Hombres en el año 2017 en la comuna de Salamanca" u="1"/>
        <s v="Variación del Ingreso Promedio Mensual por Etnia en la comuna de Requínoa" u="1"/>
        <s v="Diferencial de Ingreso Promedio Mensual de Hombres según Alfabetismo en la comuna de Puerto Octay" u="1"/>
        <s v="Diferencial de Ingreso Promedio Mensual de Mujeres según Alfabetismo en la comuna de Puerto Octay" u="1"/>
        <s v="Comparativo de Ingreso Promedio Mensual entre personas con y sin alfabetización en la comuna de Mejillones" u="1"/>
        <s v="Diferencial de Ingreso Promedio Mensual de Hombres según Alfabetismo en la comuna de Santa Cruz" u="1"/>
        <s v="Diferencial de Ingreso Promedio Mensual de Mujeres según Alfabetismo en la comuna de Santa Cruz" u="1"/>
        <s v="Evolución del Ingreso Promedio Mensual por Etnia en la comuna de Curicó" u="1"/>
        <s v="Evolución del Ingreso Promedio Mensual por Persona en la comuna de Calama" u="1"/>
        <s v="Evolución del Ingreso Promedio Mensual por Persona para Mujeres y Hombres en la comuna de Cabo de Hornos" u="1"/>
        <s v="Variación porcentual del Ingreso Promedio Mensual por Persona en la comuna de Melipeuco" u="1"/>
        <s v="Evolución del Ingreso Promedio Mensual por Persona en la comuna de Nacimiento" u="1"/>
        <s v="Variación del Ingreso Promedio Mensual por Etnia en la comuna de Pedro Aguirre Cerda" u="1"/>
        <s v="Evolución del Ingreso Promedio Mensual por Persona en la comuna de San Vicente" u="1"/>
        <s v="Ingreso Promedio Mensual de Mujeres y Hombres en el año 2017 en la comuna de Isla de Maipo" u="1"/>
        <s v="Variación del Ingreso Promedio Mensual por Etnia en la comuna de Peñalolén" u="1"/>
        <s v="Variación del Ingreso Promedio Mensual por Etnia en la comuna de San José de Maipo" u="1"/>
        <s v="Ingreso Promedio Mensual de Mujeres y Hombres en el año 2017 en la comuna de Alto Hospicio" u="1"/>
        <s v="Ingreso Promedio Mensual de Mujeres y Hombres en el año 2017 en la comuna de Contulmo" u="1"/>
        <s v="Variación porcentual del Ingreso Promedio Mensual por Persona en la Región de Los Ríos" u="1"/>
        <s v="Variación del Ingreso Promedio Mensual por Etnia en la comuna de Vilcún" u="1"/>
        <s v="Ingreso Promedio Mensual al año 2017 por Etnia en la comuna de San Joaquín" u="1"/>
        <s v="Evolución del Ingreso Promedio Mensual por Persona en la comuna de Pichilemu" u="1"/>
        <s v="Ingreso Promedio Mensual de Mujeres y Hombres en el año 2017 en la comuna de Isla de Pascua" u="1"/>
        <s v="Variación del Ingreso Promedio Mensual por Etnia en la comuna de Curepto" u="1"/>
        <s v="Variación porcentual del Ingreso Promedio Mensual por Persona en la comuna de Puente Alto" u="1"/>
        <s v="Evolución del Ingreso Promedio Mensual por Persona en la comuna de Chonchi" u="1"/>
        <s v="Variación del Ingreso Promedio Mensual por Etnia en la comuna de Vichuquén" u="1"/>
        <s v="Diferencial de Ingreso Promedio Mensual de Hombres según Alfabetismo en la comuna de Purranque" u="1"/>
        <s v="Diferencial de Ingreso Promedio Mensual de Mujeres según Alfabetismo en la comuna de Purranque" u="1"/>
        <s v="Cantidad de mujeres atendidas en Establecimientos de Apoyo por procedimiento en la fase de Atención" u="1"/>
        <s v="Comparativo de Ingreso Promedio Mensual entre personas con y sin alfabetización en la comuna de Arica" u="1"/>
        <s v="Variación del Ingreso Promedio Mensual por Etnia en la comuna de Primavera" u="1"/>
        <s v="Variación porcentual del Ingreso Promedio Mensual por Persona en la comuna de Santa Juana" u="1"/>
        <s v="Evolución del Ingreso Promedio Mensual por Persona para Mujeres y Hombres en la comuna de Monte Patria" u="1"/>
        <s v="Ingreso Promedio Mensual al año 2017 por Etnia en la comuna de Tierra Amarilla" u="1"/>
        <s v="Ingreso Promedio Mensual al año 2017 por Etnia en la comuna de Panguipulli" u="1"/>
        <s v="Variación porcentual del Ingreso Promedio Mensual por Persona en la comuna de Huasco" u="1"/>
        <s v="Comparativo de Ingreso Promedio Mensual entre personas con y sin alfabetización en la comuna de San Carlos" u="1"/>
        <s v="Variación del Ingreso Promedio Mensual por Etnia en la comuna de La Granja" u="1"/>
        <s v="Diferencial de Ingreso Promedio Mensual de Hombres según Alfabetismo en la comuna de Cauquenes" u="1"/>
        <s v="Diferencial de Ingreso Promedio Mensual de Mujeres según Alfabetismo en la comuna de Cauquenes" u="1"/>
        <s v="Ingreso Promedio Mensual de Mujeres y Hombres en el año 2017 en la comuna de Calera" u="1"/>
        <s v="Variación porcentual del Ingreso Promedio Mensual por Persona en la comuna de Cerro Navia" u="1"/>
        <s v="Ingreso Promedio Mensual de Mujeres y Hombres en el año 2017 en la comuna de Calera de Tango" u="1"/>
        <s v="Ingreso Promedio Mensual de Mujeres y Hombres en el año 2017 en la comuna de Coihueco" u="1"/>
        <s v="Diferencial de Ingreso Promedio Mensual de Hombres según Alfabetismo en la comuna de Santa María" u="1"/>
        <s v="Diferencial de Ingreso Promedio Mensual de Mujeres según Alfabetismo en la comuna de Santa María" u="1"/>
        <s v="Ingreso Promedio Mensual de Mujeres y Hombres en el año 2017 en la comuna de Quintero" u="1"/>
        <s v="Ingreso Promedio Mensual al año 2017 por Etnia en la comuna de Iquique" u="1"/>
        <s v="Evolución del Ingreso Promedio Mensual por Etnia en la comuna de La Unión" u="1"/>
        <s v="Ingreso Promedio Mensual de Mujeres y Hombres en el año 2017 en la comuna de Curanilahue" u="1"/>
        <s v="Ingreso Promedio Mensual al año 2017 por Etnia en la Región de Ñuble" u="1"/>
        <s v="Evolución del Ingreso Promedio Mensual por Etnia en la comuna de Cañete" u="1"/>
        <s v="Ingreso Promedio Mensual al año 2017 por Etnia en la comuna de Curicó" u="1"/>
        <s v="Comparativo de Ingreso Promedio Mensual entre personas con y sin alfabetización en la comuna de Mariquina" u="1"/>
        <s v="Evolución del Ingreso Promedio Mensual por Etnia en la comuna de Coinco" u="1"/>
        <s v="Evolución del Ingreso Promedio Mensual por Alfabetismo en la comuna de Coquimbo" u="1"/>
        <s v="Evolución del Ingreso Promedio Mensual por Alfabetismo en la Región de Coquimbo" u="1"/>
        <s v="Evolución del Ingreso Promedio Mensual por Alfabetismo en la comuna de San José de Maipo" u="1"/>
        <s v="Comparativo de Ingreso Promedio Mensual entre personas con y sin alfabetización en la comuna de Lumaco" u="1"/>
        <s v="Comparativo de Ingreso Promedio Mensual entre personas con y sin alfabetización en la comuna de La Estrella" u="1"/>
        <s v="Evolución del Ingreso Promedio Mensual por Etnia en la comuna de Penco" u="1"/>
        <s v="Diferencial de Ingreso Promedio Mensual de Hombres según Alfabetismo en la comuna de Alto Hospicio" u="1"/>
        <s v="Diferencial de Ingreso Promedio Mensual de Mujeres según Alfabetismo en la comuna de Alto Hospicio" u="1"/>
        <s v="Comparativo de Ingreso Promedio Mensual entre personas con y sin alfabetización en la comuna de Curacautín" u="1"/>
        <s v="Ingreso Promedio Mensual al año 2017 por Etnia en la Región de Tarapacá" u="1"/>
        <s v="Evolución del Ingreso Promedio Mensual por Etnia en la comuna de Pudahuel" u="1"/>
        <s v="Ingreso Promedio Mensual al año 2017 por Etnia en la comuna de El Tabo" u="1"/>
        <s v="Ingreso Promedio Mensual de Mujeres y Hombres en el año 2017 en la comuna de Doñihue" u="1"/>
        <s v="Ingreso Promedio Mensual de Mujeres y Hombres en el año 2017 en la comuna de Colchane" u="1"/>
        <s v="Ingreso Promedio Mensual de Mujeres y Hombres en el año 2017 en la comuna de Los Alamos" u="1"/>
        <s v="Comparativo de Ingreso Promedio Mensual entre personas con y sin alfabetización en la comuna de Machalí" u="1"/>
        <s v="Variación porcentual del Ingreso Promedio Mensual por Persona en la comuna de Yerbas Buenas" u="1"/>
        <s v="Diferencial de Ingreso Promedio Mensual de Hombres según Alfabetismo en la comuna de Calbuco" u="1"/>
        <s v="Diferencial de Ingreso Promedio Mensual de Mujeres según Alfabetismo en la comuna de Calbuco" u="1"/>
        <s v="Evolución del Ingreso Promedio Mensual por Alfabetismo en la comuna de Chile Chico" u="1"/>
        <s v="Variación porcentual del Ingreso Promedio Mensual por Persona en la comuna de Petorca" u="1"/>
        <s v="Comparativo de Ingreso Promedio Mensual entre personas con y sin alfabetización en la comuna de Lampa" u="1"/>
        <s v="Evolución del Ingreso Promedio Mensual por Persona en la comuna de Curepto" u="1"/>
        <s v="Ingreso Promedio Mensual de Mujeres y Hombres en el año 2017 en la comuna de Cisnes" u="1"/>
        <s v="Variación porcentual del Ingreso Promedio Mensual por Persona en la comuna de Quinta de Tilcoco" u="1"/>
        <s v="Comparativo de Ingreso Promedio Mensual entre personas con y sin alfabetización en la comuna de Paiguano" u="1"/>
        <s v="Variación del Ingreso Promedio Mensual por Etnia en la comuna de Alto Hospicio" u="1"/>
        <s v="Variación del Ingreso Promedio Mensual por Etnia en la comuna de Palena" u="1"/>
        <s v="Ingreso Promedio Mensual al año 2017 por Etnia en la comuna de La Reina" u="1"/>
        <s v="Variación del Ingreso Promedio Mensual por Etnia en la comuna de Talagante" u="1"/>
        <s v="Evolución del Ingreso Promedio Mensual por Alfabetismo en la comuna de Lo Espejo" u="1"/>
        <s v="Variación porcentual del Ingreso Promedio Mensual por Persona en la comuna de Pucón" u="1"/>
        <s v="Ingreso Promedio Mensual de Mujeres y Hombres en el año 2017 en la comuna de La Serena" u="1"/>
        <s v="Evolución del Ingreso Promedio Mensual por Etnia en la comuna de Calera de Tango" u="1"/>
        <s v="Evolución del Ingreso Promedio Mensual por Persona en la comuna de Putre" u="1"/>
        <s v="Evolución del Ingreso Promedio Mensual por Alfabetismo en la comuna de Molina" u="1"/>
        <s v="Evolución del Ingreso Promedio Mensual por Persona en la comuna de Sierra Gorda" u="1"/>
        <s v="Diferencial de Ingreso Promedio Mensual de Hombres según Alfabetismo en la comuna de Concepción" u="1"/>
        <s v="Diferencial de Ingreso Promedio Mensual de Mujeres según Alfabetismo en la comuna de Concepción" u="1"/>
        <s v="Ingreso Promedio Mensual de Mujeres y Hombres en el año 2017 en la comuna de Tiltil" u="1"/>
        <s v="Evolución del Ingreso Promedio Mensual por Persona para Mujeres y Hombres en la comuna de Coquimbo" u="1"/>
        <s v="Evolución del Ingreso Promedio Mensual por Persona para Mujeres y Hombres en la Región de Coquimbo" u="1"/>
        <s v="Evolución del Ingreso Promedio Mensual por Persona para Mujeres y Hombres en la comuna de San José de Maipo" u="1"/>
        <s v="Variación del Ingreso Promedio Mensual por Etnia en la comuna de Olmué" u="1"/>
        <s v="Evolución del Ingreso Promedio Mensual por Etnia en la comuna de Placilla" u="1"/>
        <s v="Variación del Ingreso Promedio Mensual por Etnia en la comuna de La Cisterna" u="1"/>
        <s v="Variación del Ingreso Promedio Mensual por Etnia en la comuna de Algarrobo" u="1"/>
        <s v="Variación porcentual del Ingreso Promedio Mensual por Persona en la comuna de Camiña" u="1"/>
        <s v="Variación porcentual del Ingreso Promedio Mensual por Persona en la comuna de Machalí" u="1"/>
        <s v="Evolución del Ingreso Promedio Mensual por Persona en la comuna de Ránquil" u="1"/>
        <s v="Ingreso Promedio Mensual de Mujeres y Hombres en el año 2017 en la comuna de Cerro Navia" u="1"/>
        <s v="Diferencial de Ingreso Promedio Mensual de Hombres según Alfabetismo en la comuna de Torres del Paine" u="1"/>
        <s v="Diferencial de Ingreso Promedio Mensual de Mujeres según Alfabetismo en la comuna de Torres del Paine" u="1"/>
        <s v="Evolución del Ingreso Promedio Mensual por Etnia en la comuna de Isla de Maipo" u="1"/>
        <s v="Variación porcentual del Ingreso Promedio Mensual por Persona en la comuna de Puqueldón" u="1"/>
        <s v="Ingreso Promedio Mensual de Mujeres y Hombres en el año 2017 en la comuna de San Rosendo" u="1"/>
        <s v="Comparativo de Ingreso Promedio Mensual entre personas con y sin alfabetización en la comuna de Graneros" u="1"/>
        <s v="Evolución del Ingreso Promedio Mensual por Persona para Mujeres y Hombres en la comuna de Chile Chico" u="1"/>
        <s v="Variación del Ingreso Promedio Mensual por Etnia en la comuna de Galvarino" u="1"/>
        <s v="Variación porcentual del Ingreso Promedio Mensual por Persona en la comuna de San Felipe" u="1"/>
        <s v="Evolución del Ingreso Promedio Mensual por Persona en la comuna de Ninhue" u="1"/>
        <s v="Variación del Ingreso Promedio Mensual por Etnia en la comuna de Freire" u="1"/>
        <s v="Comparativo de Ingreso Promedio Mensual entre personas con y sin alfabetización en la comuna de Paredones" u="1"/>
        <s v="Ingreso Promedio Mensual de Mujeres y Hombres en el año 2017 en la comuna de Lonquimay" u="1"/>
        <s v="Evolución del Ingreso Promedio Mensual por Persona para Mujeres y Hombres en la comuna de Lo Espejo" u="1"/>
        <s v="Evolución del Ingreso Promedio Mensual por Persona en la comuna de Puente Alto" u="1"/>
        <s v="Comparativo de Ingreso Promedio Mensual entre personas con y sin alfabetización en la comuna de Coihaique" u="1"/>
        <s v="Evolución del Ingreso Promedio Mensual por Persona en la comuna de Alhué" u="1"/>
        <s v="Evolución del Ingreso Promedio Mensual por Alfabetismo en la comuna de Contulmo" u="1"/>
        <s v="Variación porcentual del Ingreso Promedio Mensual por Persona en la comuna de San Antonio" u="1"/>
        <s v="Evolución del Ingreso Promedio Mensual por Persona para Mujeres y Hombres en la comuna de Molina" u="1"/>
        <s v="Comparativo de Ingreso Promedio Mensual entre personas con y sin alfabetización en la comuna de Vichuquén" u="1"/>
        <s v="Diferencial de Ingreso Promedio Mensual de Hombres según Alfabetismo en la comuna de San Bernardo" u="1"/>
        <s v="Diferencial de Ingreso Promedio Mensual de Mujeres según Alfabetismo en la comuna de San Bernardo" u="1"/>
        <s v="Comparativo de Ingreso Promedio Mensual entre personas con y sin alfabetización en la comuna de El Bosque" u="1"/>
        <s v="Comparativo de Ingreso Promedio Mensual entre personas con y sin alfabetización en la comuna de Pitrufquén" u="1"/>
        <s v="Evolución del Ingreso Promedio Mensual por Alfabetismo en la comuna de Timaukel" u="1"/>
        <s v="Diferencial de Ingreso Promedio Mensual de Hombres según Alfabetismo en la comuna de Tucapel" u="1"/>
        <s v="Diferencial de Ingreso Promedio Mensual de Mujeres según Alfabetismo en la comuna de Tucapel" u="1"/>
        <s v="Evolución del Ingreso Promedio Mensual por Etnia en la comuna de San Nicolás" u="1"/>
        <s v="Ingreso Promedio Mensual al año 2017 por Etnia en la comuna de Lanco" u="1"/>
        <s v="Evolución del Ingreso Promedio Mensual por Alfabetismo en la comuna de Talcahuano" u="1"/>
        <s v="Variación porcentual del Ingreso Promedio Mensual por Persona en la comuna de Portezuelo" u="1"/>
        <s v="Evolución del Ingreso Promedio Mensual por Etnia en la comuna de Lago Ranco" u="1"/>
        <s v="Evolución del Ingreso Promedio Mensual por Persona en la comuna de Maullín" u="1"/>
        <s v="Ingreso Promedio Mensual al año 2017 por Etnia en la comuna de Cochrane" u="1"/>
        <s v="Evolución del Ingreso Promedio Mensual por Alfabetismo en la comuna de Laja" u="1"/>
        <s v="Ingreso Promedio Mensual al año 2017 por Etnia en la comuna de Cartagena" u="1"/>
        <s v="Variación del Ingreso Promedio Mensual por Etnia en la comuna de Cabo de Hornos" u="1"/>
        <s v="Evolución del Ingreso Promedio Mensual por Etnia en la Región Metropolitana" u="1"/>
        <s v="Evolución del Ingreso Promedio Mensual por Alfabetismo en la comuna de Talagante" u="1"/>
        <s v="Evolución del Ingreso Promedio Mensual por Alfabetismo en la comuna de Villa Alegre" u="1"/>
        <s v="Evolución del Ingreso Promedio Mensual por Alfabetismo en la comuna de Panquehue" u="1"/>
        <s v="Ingreso Promedio Mensual de Mujeres y Hombres en el año 2017 a Escala Nacional" u="1"/>
        <s v="Evolución del Ingreso Promedio Mensual por Alfabetismo en la comuna de Los Muermos" u="1"/>
        <s v="Variación porcentual del Ingreso Promedio Mensual por Persona en la comuna de Lolol" u="1"/>
        <s v="Diferencial de Ingreso Promedio Mensual de Hombres según Alfabetismo en la comuna de La Higuera" u="1"/>
        <s v="Diferencial de Ingreso Promedio Mensual de Mujeres según Alfabetismo en la comuna de La Higuera" u="1"/>
        <s v="Evolución del Ingreso Promedio Mensual por Persona para Mujeres y Hombres en la comuna de Contulmo" u="1"/>
        <s v="Comparativo de Ingreso Promedio Mensual entre personas con y sin alfabetización en la comuna de Colbún" u="1"/>
        <s v="Variación del Ingreso Promedio Mensual por Etnia en la comuna de Ñiquén" u="1"/>
        <s v="Evolución del Ingreso Promedio Mensual por Etnia en la comuna de Licantén" u="1"/>
        <s v="Variación porcentual del Ingreso Promedio Mensual por Persona en la comuna de Ollagüe" u="1"/>
        <s v="Ingreso Promedio Mensual de Mujeres y Hombres en el año 2017 en la comuna de San José de Maipo" u="1"/>
        <s v="Ingreso Promedio Mensual de Mujeres y Hombres en el año 2017 en la comuna de Treguaco" u="1"/>
        <s v="Evolución del Ingreso Promedio Mensual por Persona para Mujeres y Hombres en la comuna de Timaukel" u="1"/>
        <s v="Evolución del Ingreso Promedio Mensual por Persona en la comuna de Maipú" u="1"/>
        <s v="Evolución del Ingreso Promedio Mensual por Etnia en la Región de La Araucanía" u="1"/>
        <s v="Evolución del Ingreso Promedio Mensual por Alfabetismo en la comuna de Mulchén" u="1"/>
        <s v="Diferencial de Ingreso Promedio Mensual de Hombres según Alfabetismo en la comuna de Lo Barnechea" u="1"/>
        <s v="Diferencial de Ingreso Promedio Mensual de Mujeres según Alfabetismo en la comuna de Lo Barnechea" u="1"/>
        <s v="Evolución del Ingreso Promedio Mensual por Etnia en la comuna de Macul" u="1"/>
        <s v="Ingreso Promedio Mensual al año 2017 por Etnia en la comuna de Quilleco" u="1"/>
        <s v="Ingreso Promedio Mensual de Mujeres y Hombres en el año 2017 en la comuna de Retiro" u="1"/>
        <s v="Evolución del Ingreso Promedio Mensual por Persona para Mujeres y Hombres en la comuna de Talcahuano" u="1"/>
        <s v="Comparativo de Ingreso Promedio Mensual entre personas con y sin alfabetización en la comuna de Ñiquén" u="1"/>
        <s v="Variación del Ingreso Promedio Mensual por Etnia en la comuna de Quinta Normal" u="1"/>
        <s v="Evolución del Ingreso Promedio Mensual por Persona en la comuna de Pozo Almonte" u="1"/>
        <s v="Ingreso Promedio Mensual al año 2017 por Etnia en la comuna de Queilén" u="1"/>
        <s v="Diferencial de Ingreso Promedio Mensual de Hombres según Alfabetismo en la comuna de Renca" u="1"/>
        <s v="Diferencial de Ingreso Promedio Mensual de Mujeres según Alfabetismo en la comuna de Renca" u="1"/>
        <s v="Evolución del Ingreso Promedio Mensual por Etnia en la comuna de Pozo Almonte" u="1"/>
        <s v="Evolución del Ingreso Promedio Mensual por Persona para Mujeres y Hombres en la comuna de Laja" u="1"/>
        <s v="Variación del Ingreso Promedio Mensual por Etnia en la comuna de Huasco" u="1"/>
        <s v="Evolución del Ingreso Promedio Mensual por Persona en la comuna de San Pedro" u="1"/>
        <s v="Variación porcentual del Ingreso Promedio Mensual por Persona en la comuna de Vicuña" u="1"/>
        <s v="Comparativo de Ingreso Promedio Mensual entre personas con y sin alfabetización en la comuna de Peñaflor" u="1"/>
        <s v="Ingreso Promedio Mensual al año 2017 por Etnia en la comuna de Malloa" u="1"/>
        <s v="Evolución del Ingreso Promedio Mensual por Persona para Mujeres y Hombres en la comuna de Talagante" u="1"/>
        <s v="Evolución del Ingreso Promedio Mensual por Persona para Mujeres y Hombres en la comuna de Villa Alegre" u="1"/>
        <s v="Variación porcentual del Ingreso Promedio Mensual por Persona en la comuna de Paine" u="1"/>
        <s v="Variación porcentual del Ingreso Promedio Mensual por Persona en la comuna de San Bernardo" u="1"/>
        <s v="Evolución del Ingreso Promedio Mensual por Persona para Mujeres y Hombres en la comuna de Panquehue" u="1"/>
        <s v="Comparativo de Ingreso Promedio Mensual entre personas con y sin alfabetización en la comuna de Peralillo" u="1"/>
        <s v="Evolución del Ingreso Promedio Mensual por Persona en la comuna de Peñalolén" u="1"/>
        <s v="Evolución del Ingreso Promedio Mensual por Persona en la comuna de Casablanca" u="1"/>
        <s v="Comparativo de Ingreso Promedio Mensual entre personas con y sin alfabetización en la comuna de Chaitén" u="1"/>
        <s v="Evolución del Ingreso Promedio Mensual por Etnia en la comuna de Tucapel" u="1"/>
        <s v="Evolución del Ingreso Promedio Mensual por Persona para Mujeres y Hombres en la comuna de Los Muermos" u="1"/>
        <s v="Diferencial de Ingreso Promedio Mensual de Hombres según Alfabetismo en la comuna de Antuco" u="1"/>
        <s v="Diferencial de Ingreso Promedio Mensual de Mujeres según Alfabetismo en la comuna de Antuco" u="1"/>
        <s v="Comparativo de Ingreso Promedio Mensual entre personas con y sin alfabetización en la comuna de Coelemu" u="1"/>
        <s v="Variación del Ingreso Promedio Mensual por Etnia en la comuna de Cabildo" u="1"/>
        <s v="Evolución del Ingreso Promedio Mensual por Etnia en la comuna de Los Andes" u="1"/>
        <s v="Variación del Ingreso Promedio Mensual por Etnia en la comuna de Calama" u="1"/>
        <s v="Ingreso Promedio Mensual de Mujeres y Hombres en el año 2017 en la comuna de Yumbel" u="1"/>
        <s v="Variación porcentual del Ingreso Promedio Mensual por Persona en la comuna de Antuco" u="1"/>
        <s v="Evolución del Ingreso Promedio Mensual por Persona para Mujeres y Hombres en la comuna de Mulchén" u="1"/>
        <s v="Comparativo de Ingreso Promedio Mensual entre personas con y sin alfabetización en la comuna de Litueche" u="1"/>
        <s v="Evolución del Ingreso Promedio Mensual por Persona en la comuna de Cerro Navia" u="1"/>
        <s v="Evolución del Ingreso Promedio Mensual por Alfabetismo en la comuna de Calle Larga" u="1"/>
        <s v="Ingreso Promedio Mensual de Mujeres y Hombres en el año 2017 en la comuna de San Antonio" u="1"/>
        <s v="Variación porcentual del Ingreso Promedio Mensual por Persona en la comuna de San Fabián" u="1"/>
        <s v="Variación porcentual del Ingreso Promedio Mensual por Persona en la comuna de Constitución" u="1"/>
        <s v="Evolución del Ingreso Promedio Mensual por Etnia en la comuna de Providencia" u="1"/>
        <s v="Evolución del Ingreso Promedio Mensual por Alfabetismo en la comuna de Padre Hurtado" u="1"/>
        <s v="Variación porcentual del Ingreso Promedio Mensual por Persona en la comuna de Pichidegua" u="1"/>
        <s v="Diferencial de Ingreso Promedio Mensual de Hombres según Alfabetismo en la comuna de Limache" u="1"/>
        <s v="Diferencial de Ingreso Promedio Mensual de Mujeres según Alfabetismo en la comuna de Limache" u="1"/>
        <s v="Diferencial de Ingreso Promedio Mensual de Hombres según Alfabetismo en la comuna de Mariquina" u="1"/>
        <s v="Diferencial de Ingreso Promedio Mensual de Mujeres según Alfabetismo en la comuna de Mariquina" u="1"/>
        <s v="Evolución del Ingreso Promedio Mensual por Etnia en la comuna de Lolol" u="1"/>
        <s v="Ingreso Promedio Mensual al año 2017 por Etnia en la comuna de Paiguano" u="1"/>
        <s v="Variación del Ingreso Promedio Mensual por Etnia en la comuna de Traiguén" u="1"/>
        <s v="Evolución del Ingreso Promedio Mensual por Etnia en la comuna de Santa Juana" u="1"/>
        <s v="Evolución del Ingreso Promedio Mensual por Etnia en la comuna de Rancagua" u="1"/>
        <s v="Variación porcentual del Ingreso Promedio Mensual por Persona en la comuna de Talcahuano" u="1"/>
        <s v="Evolución del Ingreso Promedio Mensual por Etnia en la comuna de Quirihue" u="1"/>
        <s v="Ingreso Promedio Mensual al año 2017 por Etnia en la Región Metropolitana" u="1"/>
        <s v="Evolución del Ingreso Promedio Mensual por Persona en la comuna de Huechuraba" u="1"/>
        <s v="Comparativo de Ingreso Promedio Mensual entre personas con y sin alfabetización en la Región de Atacama" u="1"/>
        <s v="Evolución del Ingreso Promedio Mensual por Persona en la comuna de Gorbea" u="1"/>
        <s v="Variación del Ingreso Promedio Mensual por Etnia en la comuna de Constitución" u="1"/>
        <s v="Variación del Ingreso Promedio Mensual por Etnia en la comuna de San Fernando" u="1"/>
        <s v="Evolución del Ingreso Promedio Mensual por Etnia en la comuna de Freirina" u="1"/>
        <s v="Evolución del Ingreso Promedio Mensual por Alfabetismo en la comuna de Corral" u="1"/>
        <s v="Variación porcentual del Ingreso Promedio Mensual por Persona en la comuna de Río Verde" u="1"/>
        <s v="Variación del Ingreso Promedio Mensual por Etnia en la comuna de Chaitén" u="1"/>
        <s v="Evolución del Ingreso Promedio Mensual por Persona para Mujeres y Hombres en la comuna de Calle Larga" u="1"/>
        <s v="Ingreso Promedio Mensual al año 2017 por Etnia en la comuna de Maule" u="1"/>
        <s v="Ingreso Promedio Mensual al año 2017 por Etnia en la Región de Maule" u="1"/>
        <s v="Evolución del Ingreso Promedio Mensual por Etnia en la comuna de Putre" u="1"/>
        <s v="Variación del Ingreso Promedio Mensual por Etnia en la comuna de Coihueco" u="1"/>
        <s v="Evolución del Ingreso Promedio Mensual por Persona en la comuna de Curacaví" u="1"/>
        <s v="Evolución del Ingreso Promedio Mensual por Alfabetismo en la comuna de Tiltil" u="1"/>
        <s v="Variación porcentual del Ingreso Promedio Mensual por Persona en la comuna de Chonchi" u="1"/>
        <s v="Evolución del Ingreso Promedio Mensual por Persona en la comuna de Alto Biobío" u="1"/>
        <s v="Evolución del Ingreso Promedio Mensual por Alfabetismo en la comuna de Andacollo" u="1"/>
        <s v="Variación porcentual del Ingreso Promedio Mensual por Persona en la comuna de Los Vilos" u="1"/>
        <s v="Ingreso Promedio Mensual de Mujeres y Hombres en el año 2017 en la comuna de Rinconada" u="1"/>
        <s v="Variación porcentual del Ingreso Promedio Mensual por Persona en la comuna de Llaillay" u="1"/>
        <s v="Diferencial de Ingreso Promedio Mensual de Hombres según Alfabetismo en la comuna de San Pedro" u="1"/>
        <s v="Diferencial de Ingreso Promedio Mensual de Mujeres según Alfabetismo en la comuna de San Pedro" u="1"/>
        <s v="Evolución del Ingreso Promedio Mensual por Persona en la comuna de Valparaíso" u="1"/>
        <s v="Evolución del Ingreso Promedio Mensual por Persona para Mujeres y Hombres en la comuna de Padre Hurtado" u="1"/>
        <s v="Evolución del Ingreso Promedio Mensual por Etnia en la Región del Biobío" u="1"/>
        <s v="Ingreso Promedio Mensual al año 2017 por Etnia en la comuna de Coronel" u="1"/>
        <s v="Evolución del Ingreso Promedio Mensual por Etnia en la comuna de Lago Verde" u="1"/>
        <s v="Evolución del Ingreso Promedio Mensual por Persona en la comuna de María Pinto" u="1"/>
        <s v="Variación porcentual del Ingreso Promedio Mensual por Persona en la comuna de Curepto" u="1"/>
        <s v="Evolución del Ingreso Promedio Mensual por Etnia en la comuna de Natales" u="1"/>
        <s v="Evolución del Ingreso Promedio Mensual por Persona en la comuna de Rengo" u="1"/>
        <s v="Variación porcentual del Ingreso Promedio Mensual por Persona en la comuna de Los Muermos" u="1"/>
        <s v="Evolución del Ingreso Promedio Mensual por Alfabetismo en la comuna de Tocopilla" u="1"/>
        <s v="Comparativo de Ingreso Promedio Mensual entre personas con y sin alfabetización en la comuna de Chimbarongo" u="1"/>
        <s v="Evolución del Ingreso Promedio Mensual por Persona en la comuna de Lampa" u="1"/>
        <s v="Evolución del Ingreso Promedio Mensual por Persona en la comuna de San Antonio" u="1"/>
        <s v="Ingreso Promedio Mensual de Mujeres y Hombres en el año 2017 en la comuna de Pirque" u="1"/>
        <s v="Ingreso Promedio Mensual de Mujeres y Hombres en el año 2017 en la comuna de Laja" u="1"/>
        <s v="Variación porcentual del Ingreso Promedio Mensual por Persona en la comuna de Alhué" u="1"/>
        <s v="Evolución del Ingreso Promedio Mensual por Persona para Mujeres y Hombres en la comuna de Corral" u="1"/>
        <s v="Evolución del Ingreso Promedio Mensual por Alfabetismo en la comuna de Purranque" u="1"/>
        <s v="Ingreso Promedio Mensual de Mujeres y Hombres en el año 2017 en la comuna de Corral" u="1"/>
        <s v="Ingreso Promedio Mensual al año 2017 por Etnia en la comuna de Nueva Imperial" u="1"/>
        <s v="Evolución del Ingreso Promedio Mensual por Persona en la comuna de Saavedra" u="1"/>
        <s v="Evolución del Ingreso Promedio Mensual por Alfabetismo en la comuna de San Ignacio" u="1"/>
        <s v="Evolución del Ingreso Promedio Mensual por Persona para Mujeres y Hombres en la comuna de Tiltil" u="1"/>
        <s v="Evolución del Ingreso Promedio Mensual por Persona para Mujeres y Hombres en la comuna de Andacollo" u="1"/>
        <s v="Evolución del Ingreso Promedio Mensual por Alfabetismo en la comuna de Independencia" u="1"/>
        <s v="Ingreso Promedio Mensual de Mujeres y Hombres en el año 2017 en la comuna de Cabo de Hornos" u="1"/>
        <s v="Evolución del Ingreso Promedio Mensual por Persona en la comuna de Purén" u="1"/>
        <s v="Ingreso Promedio Mensual de Mujeres y Hombres en el año 2017 en la comuna de Cholchol" u="1"/>
        <s v="Variación del Ingreso Promedio Mensual por Etnia en la comuna de Lota" u="1"/>
        <s v="Diferencial de Ingreso Promedio Mensual de Hombres según Alfabetismo en la comuna de Puerto Montt" u="1"/>
        <s v="Diferencial de Ingreso Promedio Mensual de Mujeres según Alfabetismo en la comuna de Puerto Montt" u="1"/>
        <s v="Evolución del Ingreso Promedio Mensual por Alfabetismo en la comuna de Lebu" u="1"/>
        <s v="Variación del Ingreso Promedio Mensual por Etnia en la comuna de Puerto Octay" u="1"/>
        <s v="Evolución del Ingreso Promedio Mensual por Etnia en la comuna de Negrete" u="1"/>
        <s v="Evolución del Ingreso Promedio Mensual por Alfabetismo en la comuna de Huara" u="1"/>
        <s v="Evolución del Ingreso Promedio Mensual por Persona para la Región de Tarapacá" u="1"/>
        <s v="Evolución del Ingreso Promedio Mensual por Alfabetismo en la comuna de San Joaquín" u="1"/>
        <s v="Variación porcentual del Ingreso Promedio Mensual por Persona en la comuna de Vichuquén" u="1"/>
        <s v="Evolución del Ingreso Promedio Mensual por Etnia en la comuna de Combarbalá" u="1"/>
        <s v="Evolución del Ingreso Promedio Mensual por Persona en la comuna de Futaleufú" u="1"/>
        <s v="Evolución del Ingreso Promedio Mensual por Persona en la comuna de Chiguayante" u="1"/>
        <s v="Ingreso Promedio Mensual de Mujeres y Hombres en el año 2017 en la Región de Arica y Parinacota" u="1"/>
        <s v="Evolución del Ingreso Promedio Mensual por Persona para Mujeres y Hombres en la comuna de Tocopilla" u="1"/>
        <s v="Ingreso Promedio Mensual de Mujeres y Hombres en el año 2017 en la comuna de Taltal" u="1"/>
        <s v="Evolución del Ingreso Promedio Mensual por Alfabetismo en la Región de Atacama" u="1"/>
        <s v="Ingreso Promedio Mensual de Mujeres y Hombres en el año 2017 en la comuna de Arauco" u="1"/>
        <s v="Evolución del Ingreso Promedio Mensual por Persona para la Región de Atacama" u="1"/>
        <s v="Diferencial de Ingreso Promedio Mensual de Hombres según Alfabetismo en la comuna de Río Ibáñez" u="1"/>
        <s v="Diferencial de Ingreso Promedio Mensual de Mujeres según Alfabetismo en la comuna de Río Ibáñez" u="1"/>
        <s v="Variación porcentual del Ingreso Promedio Mensual por Persona en la comuna de Lampa" u="1"/>
        <s v="Diferencial de Ingreso Promedio Mensual de Hombres según Alfabetismo en la Región del Biobío" u="1"/>
        <s v="Diferencial de Ingreso Promedio Mensual de Mujeres según Alfabetismo en la Región del Biobío" u="1"/>
        <s v="Evolución del Ingreso Promedio Mensual por Etnia en la comuna de Caldera" u="1"/>
        <s v="Variación porcentual del Ingreso Promedio Mensual por Persona en la comuna de Putaendo" u="1"/>
        <s v="Diferencial de Ingreso Promedio Mensual de Hombres según Alfabetismo en la comuna de Vallenar" u="1"/>
        <s v="Diferencial de Ingreso Promedio Mensual de Mujeres según Alfabetismo en la comuna de Vallenar" u="1"/>
        <s v="Evolución del Ingreso Promedio Mensual por Persona para Mujeres y Hombres en la comuna de Purranque" u="1"/>
        <s v="Evolución del Ingreso Promedio Mensual por Etnia en la comuna de Río Negro" u="1"/>
        <s v="Diferencial de Ingreso Promedio Mensual de Hombres según Alfabetismo en la comuna de Freirina" u="1"/>
        <s v="Diferencial de Ingreso Promedio Mensual de Mujeres según Alfabetismo en la comuna de Freirina" u="1"/>
        <s v="Evolución del Ingreso Promedio Mensual por Persona para Mujeres y Hombres en la comuna de San Ignacio" u="1"/>
        <s v="Evolución del Ingreso Promedio Mensual por Etnia en la comuna de Contulmo" u="1"/>
        <s v="Variación del Ingreso Promedio Mensual por Etnia en la comuna de Peralillo" u="1"/>
        <s v="Evolución del Ingreso Promedio Mensual por Alfabetismo en la Región de Tarapacá" u="1"/>
        <s v="Evolución del Ingreso Promedio Mensual por Persona para Mujeres y Hombres en la comuna de Independencia" u="1"/>
        <s v="Evolución del Ingreso Promedio Mensual por Alfabetismo en la comuna de Río Bueno" u="1"/>
        <s v="Ingreso Promedio Mensual al año 2017 por Etnia en la comuna de Río Claro" u="1"/>
        <s v="Ingreso Promedio Mensual al año 2017 por Etnia en la comuna de San Pablo" u="1"/>
        <s v="Variación del Ingreso Promedio Mensual por Etnia en la comuna de San Rafael" u="1"/>
        <s v="Evolución del Ingreso Promedio Mensual por Etnia en la comuna de Independencia" u="1"/>
        <s v="Variación del Ingreso Promedio Mensual por Etnia en la comuna de San Pedro de la Paz" u="1"/>
        <s v="Evolución del Ingreso Promedio Mensual por Persona en la comuna de Pelluhue" u="1"/>
        <s v="Evolución del Ingreso Promedio Mensual por Persona en la comuna de María Elena" u="1"/>
        <s v="Evolución del Ingreso Promedio Mensual por Etnia en la comuna de Limache" u="1"/>
        <s v="Evolución del Ingreso Promedio Mensual por Persona para Mujeres y Hombres en la comuna de Lebu" u="1"/>
        <s v="Evolución del Ingreso Promedio Mensual por Persona para Mujeres y Hombres en la comuna de Huara" u="1"/>
        <s v="Evolución del Ingreso Promedio Mensual por Persona para Mujeres y Hombres en la comuna de San Joaquín" u="1"/>
        <s v="Comparativo de Ingreso Promedio Mensual entre personas con y sin alfabetización en la comuna de Pichidegua" u="1"/>
        <s v="Variación del Ingreso Promedio Mensual por Etnia en la comuna de Purén" u="1"/>
        <s v="Ingreso Promedio Mensual al año 2017 por Etnia en la comuna de Los Andes" u="1"/>
        <s v="Variación del Ingreso Promedio Mensual por Etnia en la comuna de Chillán Viejo" u="1"/>
        <s v="Variación del Ingreso Promedio Mensual por Etnia en la comuna de Los Lagos" u="1"/>
        <s v="Variación del Ingreso Promedio Mensual por Etnia en la comuna de Marchihue" u="1"/>
        <s v="Variación del Ingreso Promedio Mensual por Etnia en la Región de Los Lagos" u="1"/>
        <s v="Evolución del Ingreso Promedio Mensual por Persona en la comuna de Renca" u="1"/>
        <s v="Evolución del Ingreso Promedio Mensual por Alfabetismo en la comuna de Tomé" u="1"/>
        <s v="Evolución del Ingreso Promedio Mensual por Persona en la comuna de Chillán Viejo" u="1"/>
        <s v="Ingreso Promedio Mensual de Mujeres y Hombres en el año 2017 en la comuna de Putre" u="1"/>
        <s v="Evolución del Ingreso Promedio Mensual por Persona para Mujeres y Hombres en la Región de Atacama" u="1"/>
        <s v="Comparativo de Ingreso Promedio Mensual entre personas con y sin alfabetización en la comuna de Vallenar" u="1"/>
        <s v="Variación del Ingreso Promedio Mensual por Etnia en la comuna de Angol" u="1"/>
        <s v="Evolución del Ingreso Promedio Mensual por Etnia en la comuna de Ercilla" u="1"/>
        <s v="Evolución del Ingreso Promedio Mensual por Alfabetismo en la comuna de Huasco" u="1"/>
        <s v="Ingreso Promedio Mensual al año 2017 por Etnia en la comuna de Torres del Paine" u="1"/>
        <s v="Evolución del Ingreso Promedio Mensual por Etnia en la comuna de San Pablo" u="1"/>
        <s v="Evolución del Ingreso Promedio Mensual por Alfabetismo en la comuna de La Florida" u="1"/>
        <s v="Variación porcentual del Ingreso Promedio Mensual por Persona en la comuna de Hijuelas" u="1"/>
        <s v="Variación porcentual del Ingreso Promedio Mensual por Persona en la comuna de Rinconada" u="1"/>
        <s v="Diferencial de Ingreso Promedio Mensual de Hombres según Alfabetismo en la comuna de Teodoro Schmidt" u="1"/>
        <s v="Diferencial de Ingreso Promedio Mensual de Mujeres según Alfabetismo en la comuna de Teodoro Schmidt" u="1"/>
        <s v="Variación porcentual del Ingreso Promedio Mensual por Persona en la comuna de Cañete" u="1"/>
        <s v="Variación porcentual del Ingreso Promedio Mensual por Persona en la comuna de Fresia" u="1"/>
        <s v="Ingreso Promedio Mensual de Mujeres y Hombres en el año 2017 en la comuna de Quilleco" u="1"/>
        <s v="Diferencial de Ingreso Promedio Mensual de Hombres según Alfabetismo en la comuna de Lago Ranco" u="1"/>
        <s v="Diferencial de Ingreso Promedio Mensual de Mujeres según Alfabetismo en la comuna de Lago Ranco" u="1"/>
        <s v="Evolución del Ingreso Promedio Mensual por Persona para Mujeres y Hombres en la Región de Tarapacá" u="1"/>
        <s v="Evolución del Ingreso Promedio Mensual por Persona para Mujeres y Hombres en la comuna de Río Bueno" u="1"/>
        <s v="Evolución del Ingreso Promedio Mensual por Etnia en la comuna de San Ignacio" u="1"/>
        <s v="Ingreso Promedio Mensual de Mujeres y Hombres en el año 2017 en la comuna de María Elena" u="1"/>
        <s v="Evolución del Ingreso Promedio Mensual por Etnia en la comuna de Chanco" u="1"/>
        <s v="Variación del Ingreso Promedio Mensual por Etnia en la comuna de La Reina" u="1"/>
        <s v="Variación porcentual del Ingreso Promedio Mensual por Persona en la comuna de La Cruz" u="1"/>
        <s v="Variación del Ingreso Promedio Mensual por Etnia en la comuna de Chépica" u="1"/>
        <s v="Ingreso Promedio Mensual de Mujeres y Hombres en el año 2017 en la comuna de Puchuncaví" u="1"/>
        <s v="Variación porcentual del Ingreso Promedio Mensual por Persona en la comuna de El Carmen" u="1"/>
        <s v="Diferencial de Ingreso Promedio Mensual de Hombres según Alfabetismo en la comuna de Cerro Navia" u="1"/>
        <s v="Diferencial de Ingreso Promedio Mensual de Mujeres según Alfabetismo en la comuna de Cerro Navia" u="1"/>
        <s v="Ingreso Promedio Mensual al año 2017 por Etnia en la comuna de Pencahue" u="1"/>
        <s v="Ingreso Promedio Mensual al año 2017 por Etnia en la comuna de Peñalolén" u="1"/>
        <s v="Evolución del Ingreso Promedio Mensual por Persona en la comuna de Copiapó" u="1"/>
        <s v="Variación del Ingreso Promedio Mensual por Etnia en la comuna de Quilicura" u="1"/>
        <s v="Evolución del Ingreso Promedio Mensual por Etnia en la comuna de Talcahuano" u="1"/>
        <s v="Evolución del Ingreso Promedio Mensual por Persona para Mujeres y Hombres en la comuna de Tomé" u="1"/>
        <s v="Comparativo de Ingreso Promedio Mensual entre personas con y sin alfabetización en la comuna de Peumo" u="1"/>
        <s v="Ingreso Promedio Mensual de Mujeres y Hombres en el año 2017 en la comuna de Malloa" u="1"/>
        <s v="Comparativo de Ingreso Promedio Mensual entre personas con y sin alfabetización en la comuna de La Cisterna" u="1"/>
        <s v="Evolución del Ingreso Promedio Mensual por Persona en la comuna de Chillán" u="1"/>
        <s v="Evolución del Ingreso Promedio Mensual por Alfabetismo en la comuna de Copiapó" u="1"/>
        <s v="Evolución del Ingreso Promedio Mensual por Persona para Mujeres y Hombres en la comuna de Huasco" u="1"/>
        <s v="Ingreso Promedio Mensual al año 2017 por Etnia en la comuna de Chaitén" u="1"/>
        <s v="Diferencial de Ingreso Promedio Mensual de Hombres según Alfabetismo en la comuna de Curicó" u="1"/>
        <s v="Diferencial de Ingreso Promedio Mensual de Mujeres según Alfabetismo en la comuna de Curicó" u="1"/>
        <s v="Evolución del Ingreso Promedio Mensual por Persona para Mujeres y Hombres en la comuna de La Florida" u="1"/>
        <s v="Evolución del Ingreso Promedio Mensual por Persona en la comuna de Coelemu" u="1"/>
        <s v="Evolución del Ingreso Promedio Mensual por Etnia en la comuna de Concepción" u="1"/>
        <s v="Diferencial de Ingreso Promedio Mensual de Hombres según Alfabetismo en la comuna de Pitrufquén" u="1"/>
        <s v="Diferencial de Ingreso Promedio Mensual de Mujeres según Alfabetismo en la comuna de Pitrufquén" u="1"/>
        <s v="Variación del Ingreso Promedio Mensual por Etnia en la comuna de Chañaral" u="1"/>
        <s v="Variación del Ingreso Promedio Mensual por Etnia en la comuna de Zapallar" u="1"/>
        <s v="Ingreso Promedio Mensual de Mujeres y Hombres en el año 2017 en la comuna de Maullín" u="1"/>
        <s v="Diferencial de Ingreso Promedio Mensual de Hombres según Alfabetismo en la comuna de Pelluhue" u="1"/>
        <s v="Diferencial de Ingreso Promedio Mensual de Mujeres según Alfabetismo en la comuna de Pelluhue" u="1"/>
        <s v="Ingreso Promedio Mensual al año 2017 por Etnia en la comuna de Concepción" u="1"/>
        <s v="Ingreso Promedio Mensual de Mujeres y Hombres en el año 2017 en la comuna de Puyehue" u="1"/>
        <s v="Ingreso Promedio Mensual al año 2017 por Etnia en la comuna de Ercilla" u="1"/>
        <s v="Variación del Ingreso Promedio Mensual por Etnia en la comuna de La Estrella" u="1"/>
        <s v="Evolución del Ingreso Promedio Mensual por Etnia en la comuna de Lo Barnechea" u="1"/>
        <s v="Evolución del Ingreso Promedio Mensual por Etnia en la comuna de Pinto" u="1"/>
        <s v="Evolución del Ingreso Promedio Mensual por Persona en la comuna de Santo Domingo" u="1"/>
        <s v="Ingreso Promedio Mensual de Mujeres y Hombres en el año 2017 en la comuna de Quilaco" u="1"/>
        <s v="Ingreso Promedio Mensual al año 2017 por Etnia en la comuna de Lo Espejo" u="1"/>
        <s v="Evolución del Ingreso Promedio Mensual por Persona en la comuna de Lumaco" u="1"/>
        <s v="Evolución del Ingreso Promedio Mensual por Etnia en la comuna de Los Vilos" u="1"/>
        <s v="Evolución del Ingreso Promedio Mensual por Alfabetismo en la comuna de San Carlos" u="1"/>
        <s v="Variación porcentual del Ingreso Promedio Mensual por Persona en la comuna de Las Cabras" u="1"/>
        <s v="Comparativo de Ingreso Promedio Mensual entre personas con y sin alfabetización en la comuna de Mostazal" u="1"/>
        <s v="Evolución del Ingreso Promedio Mensual por Etnia en la comuna de Hualaihué" u="1"/>
        <s v="Diferencial de Ingreso Promedio Mensual de Hombres según Alfabetismo en la comuna de Victoria" u="1"/>
        <s v="Diferencial de Ingreso Promedio Mensual de Mujeres según Alfabetismo en la comuna de Victoria" u="1"/>
        <s v="Evolución del Ingreso Promedio Mensual por Alfabetismo en la comuna de Paine" u="1"/>
        <s v="Ingreso Promedio Mensual de Mujeres y Hombres en el año 2017 en la comuna de Vicuña" u="1"/>
        <s v="Variación porcentual del Ingreso Promedio Mensual por Persona en la comuna de Teodoro Schmidt" u="1"/>
        <s v="Evolución del Ingreso Promedio Mensual por Persona para Mujeres y Hombres en la comuna de Copiapó" u="1"/>
        <s v="Diferencial de Ingreso Promedio Mensual de Hombres según Alfabetismo en la comuna de Puqueldón" u="1"/>
        <s v="Diferencial de Ingreso Promedio Mensual de Mujeres según Alfabetismo en la comuna de Puqueldón" u="1"/>
        <s v="Evolución del Ingreso Promedio Mensual por Alfabetismo en la comuna de Conchalí" u="1"/>
        <s v="Variación porcentual del Ingreso Promedio Mensual por Persona en la comuna de Purranque" u="1"/>
        <s v="Comparativo de Ingreso Promedio Mensual entre personas con y sin alfabetización en la comuna de Pucón" u="1"/>
        <s v="Evolución del Ingreso Promedio Mensual por Alfabetismo en la comuna de Lolol" u="1"/>
        <s v="Ingreso Promedio Mensual de Mujeres y Hombres en el año 2017 en la comuna de El Monte" u="1"/>
        <s v="Diferencial de Ingreso Promedio Mensual de Hombres según Alfabetismo en la comuna de Río Bueno" u="1"/>
        <s v="Diferencial de Ingreso Promedio Mensual de Mujeres según Alfabetismo en la comuna de Río Bueno" u="1"/>
        <s v="Evolución del Ingreso Promedio Mensual por Persona en la comuna de Cañete" u="1"/>
        <s v="Evolución del Ingreso Promedio Mensual por Alfabetismo en la comuna de La Ligua" u="1"/>
        <s v="Variación porcentual del Ingreso Promedio Mensual por Persona en la comuna de Futrono" u="1"/>
        <s v="Diferencial de Ingreso Promedio Mensual de Hombres según Alfabetismo en la comuna de Panguipulli" u="1"/>
        <s v="Diferencial de Ingreso Promedio Mensual de Mujeres según Alfabetismo en la comuna de Panguipulli" u="1"/>
        <s v="Ingreso Promedio Mensual al año 2017 por Etnia en la comuna de Caldera" u="1"/>
        <s v="Ingreso Promedio Mensual al año 2017 por Etnia en la comuna de Melipilla" u="1"/>
        <s v="Evolución del Ingreso Promedio Mensual por Etnia en la comuna de Chile Chico" u="1"/>
        <s v="Diferencial de Ingreso Promedio Mensual de Hombres según Alfabetismo en la comuna de San Ramón" u="1"/>
        <s v="Diferencial de Ingreso Promedio Mensual de Mujeres según Alfabetismo en la comuna de San Ramón" u="1"/>
        <s v="Evolución del Ingreso Promedio Mensual por Persona en la comuna de Fresia" u="1"/>
        <s v="Ingreso Promedio Mensual de Mujeres y Hombres en el año 2017 en la comuna de El Carmen" u="1"/>
        <s v="Variación porcentual del Ingreso Promedio Mensual por Persona en la comuna de Panquehue" u="1"/>
        <s v="Variación del Ingreso Promedio Mensual por Etnia en la comuna de Lampa" u="1"/>
        <s v="Evolución del Ingreso Promedio Mensual por Persona en la comuna de Linares" u="1"/>
        <s v="Evolución del Ingreso Promedio Mensual por Etnia en la comuna de San Joaquín" u="1"/>
        <s v="Ingreso Promedio Mensual de Mujeres y Hombres en el año 2017 en la comuna de Colina" u="1"/>
        <s v="Evolución del Ingreso Promedio Mensual por Persona para Mujeres y Hombres en la comuna de San Carlos" u="1"/>
        <s v="Diferencial de Ingreso Promedio Mensual de Hombres según Alfabetismo en la comuna de Coronel" u="1"/>
        <s v="Diferencial de Ingreso Promedio Mensual de Hombres según Alfabetismo en la comuna de Natales" u="1"/>
        <s v="Diferencial de Ingreso Promedio Mensual de Mujeres según Alfabetismo en la comuna de Coronel" u="1"/>
        <s v="Diferencial de Ingreso Promedio Mensual de Mujeres según Alfabetismo en la comuna de Natales" u="1"/>
        <s v="Diferencial de Ingreso Promedio Mensual de Hombres según Alfabetismo en la comuna de Curanilahue" u="1"/>
        <s v="Diferencial de Ingreso Promedio Mensual de Mujeres según Alfabetismo en la comuna de Curanilahue" u="1"/>
        <s v="Evolución del Ingreso Promedio Mensual por Etnia a Escala Nacional" u="1"/>
        <s v="Evolución del Ingreso Promedio Mensual por Persona en la comuna de Tucapel" u="1"/>
        <s v="Evolución del Ingreso Promedio Mensual por Persona en la comuna de Cobquecura" u="1"/>
        <s v="Comparativo de Ingreso Promedio Mensual entre personas con y sin alfabetización en la comuna de El Tabo" u="1"/>
        <s v="Variación porcentual del Ingreso Promedio Mensual por Persona en la comuna de Lota" u="1"/>
        <s v="Variación porcentual del Ingreso Promedio Mensual por Persona en la comuna de Tiltil" u="1"/>
        <s v="Variación del Ingreso Promedio Mensual por Etnia en la comuna de La Serena" u="1"/>
        <s v="Evolución del Ingreso Promedio Mensual por Persona en la comuna de Isla de Pascua" u="1"/>
        <s v="Evolución del Ingreso Promedio Mensual por Persona para Mujeres y Hombres en la comuna de Paine" u="1"/>
        <s v="Comparativo de Ingreso Promedio Mensual entre personas con y sin alfabetización en la comuna de Chiguayante" u="1"/>
        <s v="Evolución del Ingreso Promedio Mensual por Alfabetismo en la comuna de Laguna Blanca" u="1"/>
        <s v="Diferencial de Ingreso Promedio Mensual de Hombres según Alfabetismo en la comuna de Antofagasta" u="1"/>
        <s v="Diferencial de Ingreso Promedio Mensual de Hombres según Alfabetismo en la Región de Antofagasta" u="1"/>
        <s v="Diferencial de Ingreso Promedio Mensual de Mujeres según Alfabetismo en la comuna de Antofagasta" u="1"/>
        <s v="Diferencial de Ingreso Promedio Mensual de Mujeres según Alfabetismo en la Región de Antofagasta" u="1"/>
        <s v="Diferencial de Ingreso Promedio Mensual de Hombres según Alfabetismo en la comuna de San Ignacio" u="1"/>
        <s v="Diferencial de Ingreso Promedio Mensual de Mujeres según Alfabetismo en la comuna de San Ignacio" u="1"/>
        <s v="Ingreso Promedio Mensual de Mujeres y Hombres en el año 2017 en la comuna de Canela" u="1"/>
        <s v="Ingreso Promedio Mensual de Mujeres y Hombres en el año 2017 en la comuna de Temuco" u="1"/>
        <s v="Evolución del Ingreso Promedio Mensual por Persona para Mujeres y Hombres en la comuna de Conchalí" u="1"/>
        <s v="Ingreso Promedio Mensual de Mujeres y Hombres en el año 2017 en la comuna de Tirúa" u="1"/>
        <s v="Evolución del Ingreso Promedio Mensual por Persona para Mujeres y Hombres en la comuna de Lolol" u="1"/>
        <s v="Variación del Ingreso Promedio Mensual por Etnia en la comuna de Vicuña" u="1"/>
        <s v="Evolución del Ingreso Promedio Mensual por Persona en la comuna de Papudo" u="1"/>
        <s v="Ingreso Promedio Mensual al año 2017 por Etnia en la comuna de Cabo de Hornos" u="1"/>
        <s v="Variación porcentual del Ingreso Promedio Mensual por Persona en la comuna de Litueche" u="1"/>
        <s v="Variación porcentual del Ingreso Promedio Mensual por Persona en la comuna de Quillota" u="1"/>
        <s v="Diferencial de Ingreso Promedio Mensual de Hombres según Alfabetismo en la comuna de Peumo" u="1"/>
        <s v="Diferencial de Ingreso Promedio Mensual de Mujeres según Alfabetismo en la comuna de Peumo" u="1"/>
        <s v="Evolución del Ingreso Promedio Mensual por Persona en la comuna de Rauco" u="1"/>
        <s v="Evolución del Ingreso Promedio Mensual por Alfabetismo en la comuna de El Quisco" u="1"/>
        <s v="Evolución del Ingreso Promedio Mensual por Persona para Mujeres y Hombres en la comuna de La Ligua" u="1"/>
        <s v="Diferencial de Ingreso Promedio Mensual de Hombres según Alfabetismo en la comuna de Peralillo" u="1"/>
        <s v="Diferencial de Ingreso Promedio Mensual de Mujeres según Alfabetismo en la comuna de Peralillo" u="1"/>
        <s v="Ingreso Promedio Mensual de Mujeres y Hombres en el año 2017 en la comuna de Rengo" u="1"/>
        <s v="Variación porcentual del Ingreso Promedio Mensual por Persona en la comuna de Torres del Paine" u="1"/>
        <s v="Comparativo de Ingreso Promedio Mensual entre personas con y sin alfabetización en la comuna de Los Sauces" u="1"/>
        <s v="Ingreso Promedio Mensual de Mujeres y Hombres en el año 2017 en la comuna de Placilla" u="1"/>
        <s v="Evolución del Ingreso Promedio Mensual por Etnia en la comuna de Rinconada" u="1"/>
        <s v="Evolución del Ingreso Promedio Mensual por Persona en la comuna de Quemchi" u="1"/>
        <s v="Ingreso Promedio Mensual de Mujeres y Hombres en el año 2017 en la comuna de Padre las Casas" u="1"/>
        <s v="Evolución del Ingreso Promedio Mensual por Etnia en la comuna de Pichilemu" u="1"/>
        <s v="Ingreso Promedio Mensual al año 2017 por Etnia en la comuna de Nacimiento" u="1"/>
        <s v="Variación porcentual del Ingreso Promedio Mensual por Persona en la comuna de Chanco" u="1"/>
        <s v="Ingreso Promedio Mensual al año 2017 por Etnia en la comuna de Codegua" u="1"/>
        <s v="Ingreso Promedio Mensual al año 2017 por Etnia en la comuna de Quilaco" u="1"/>
        <s v="Evolución del Ingreso Promedio Mensual por Persona en la comuna de Quellón" u="1"/>
        <s v="Ingreso Promedio Mensual de Mujeres y Hombres en el año 2017 en la comuna de Lebu" u="1"/>
        <s v="Evolución del Ingreso Promedio Mensual por Persona para Mujeres y Hombres en la comuna de Laguna Blanca" u="1"/>
        <s v="Evolución del Ingreso Promedio Mensual por Persona en la comuna de La Cruz" u="1"/>
        <s v="Ingreso Promedio Mensual al año 2017 por Etnia en la comuna de Alto Biobío" u="1"/>
        <s v="Ingreso Promedio Mensual de Mujeres y Hombres en el año 2017 en la comuna de Río Verde" u="1"/>
        <s v="Comparativo de Ingreso Promedio Mensual entre personas con y sin alfabetización en la comuna de Alhué" u="1"/>
        <s v="Comparativo de Ingreso Promedio Mensual entre personas con y sin alfabetización en la comuna de Licantén" u="1"/>
        <s v="Evolución del Ingreso Promedio Mensual por Etnia en la comuna de Río Claro" u="1"/>
        <s v="Evolución del Ingreso Promedio Mensual por Etnia en la comuna de Canela" u="1"/>
        <s v="Ingreso Promedio Mensual al año 2017 por Etnia en la comuna de Longaví" u="1"/>
        <s v="Ingreso Promedio Mensual de Mujeres y Hombres en el año 2017 en la comuna de Pelarco" u="1"/>
        <s v="Evolución del Ingreso Promedio Mensual por Persona en la comuna de O'Higgins" u="1"/>
        <s v="Variación porcentual del Ingreso Promedio Mensual por Persona en la comuna de Cabildo" u="1"/>
        <s v="Evolución del Ingreso Promedio Mensual por Persona para Mujeres y Hombres en la comuna de El Quisco" u="1"/>
        <s v="Comparativo de Ingreso Promedio Mensual entre personas con y sin alfabetización en la comuna de Frutillar" u="1"/>
        <s v="Variación del Ingreso Promedio Mensual por Etnia en la comuna de Arauco" u="1"/>
        <s v="Ingreso Promedio Mensual de Mujeres y Hombres en el año 2017 en la comuna de Conchalí" u="1"/>
        <s v="Evolución del Ingreso Promedio Mensual por Etnia en la comuna de Petorca" u="1"/>
        <s v="Ingreso Promedio Mensual al año 2017 por Etnia en la comuna de Llanquihue" u="1"/>
        <s v="Evolución del Ingreso Promedio Mensual por Etnia en la comuna de Melipilla" u="1"/>
        <s v="Evolución del Ingreso Promedio Mensual por Persona en la comuna de Quilicura" u="1"/>
        <s v="Evolución del Ingreso Promedio Mensual por Alfabetismo en la comuna de Quillota" u="1"/>
        <s v="Evolución del Ingreso Promedio Mensual por Alfabetismo en la comuna de Puchuncaví" u="1"/>
        <s v="Evolución del Ingreso Promedio Mensual por Persona en la comuna de Cauquenes" u="1"/>
        <s v="Evolución del Ingreso Promedio Mensual por Alfabetismo en la comuna de Pichidegua" u="1"/>
        <s v="Variación porcentual del Ingreso Promedio Mensual por Persona en la comuna de Conchalí" u="1"/>
        <s v="Ingreso Promedio Mensual de Mujeres y Hombres en el año 2017 en la comuna de Puerto Montt" u="1"/>
        <s v="Variación porcentual del Ingreso Promedio Mensual por Persona en la comuna de Hualqui" u="1"/>
        <s v="Evolución del Ingreso Promedio Mensual por Alfabetismo en la comuna de San Pedro de la Paz" u="1"/>
        <s v="Ingreso Promedio Mensual de Mujeres y Hombres en el año 2017 en la comuna de Pemuco" u="1"/>
        <s v="Diferencial de Ingreso Promedio Mensual de Hombres según Alfabetismo en la comuna de Pichilemu" u="1"/>
        <s v="Diferencial de Ingreso Promedio Mensual de Mujeres según Alfabetismo en la comuna de Pichilemu" u="1"/>
        <s v="Comparativo de Ingreso Promedio Mensual entre personas con y sin alfabetización en la comuna de Toltén" u="1"/>
        <s v="Evolución del Ingreso Promedio Mensual por Etnia en la comuna de El Bosque" u="1"/>
        <s v="Comparativo de Ingreso Promedio Mensual entre personas con y sin alfabetización en la comuna de Longaví" u="1"/>
        <s v="Variación porcentual del Ingreso Promedio Mensual por Persona en la comuna de Talagante" u="1"/>
        <s v="Comparativo de Ingreso Promedio Mensual entre personas con y sin alfabetización en la comuna de Río Claro" u="1"/>
        <s v="Evolución del Ingreso Promedio Mensual por Persona en la comuna de Taltal" u="1"/>
        <s v="Variación del Ingreso Promedio Mensual por Etnia en la comuna de Curarrehue" u="1"/>
        <s v="Evolución del Ingreso Promedio Mensual por Etnia en la comuna de Santa Bárbara" u="1"/>
        <s v="Variación del Ingreso Promedio Mensual por Etnia en la comuna de Hualpén" u="1"/>
        <s v="Ingreso Promedio Mensual de Mujeres y Hombres en el año 2017 en la comuna de Los Lagos" u="1"/>
        <s v="Ingreso Promedio Mensual de Mujeres y Hombres en el año 2017 en la Región de Los Lagos" u="1"/>
        <s v="Evolución del Ingreso Promedio Mensual por Etnia en la comuna de Ninhue" u="1"/>
        <s v="Ingreso Promedio Mensual al año 2017 por Etnia en la comuna de La Florida" u="1"/>
        <s v="Variación porcentual del Ingreso Promedio Mensual por Persona en la comuna de Zapallar" u="1"/>
        <s v="Evolución del Ingreso Promedio Mensual por Etnia en la comuna de Cisnes" u="1"/>
        <s v="Ingreso Promedio Mensual al año 2017 por Etnia en la comuna de Villa Alemana" u="1"/>
        <s v="Evolución del Ingreso Promedio Mensual por Alfabetismo en la comuna de Iquique" u="1"/>
        <s v="Evolución del Ingreso Promedio Mensual por Persona en la comuna de Pinto" u="1"/>
        <s v="Diferencial de Ingreso Promedio Mensual de Hombres según Alfabetismo en la comuna de Chimbarongo" u="1"/>
        <s v="Diferencial de Ingreso Promedio Mensual de Mujeres según Alfabetismo en la comuna de Chimbarongo" u="1"/>
        <s v="Evolución del Ingreso Promedio Mensual por Persona para Mujeres y Hombres en la comuna de Quillota" u="1"/>
        <s v="Evolución del Ingreso Promedio Mensual por Persona para Mujeres y Hombres en la comuna de Puchuncaví" u="1"/>
        <s v="Evolución del Ingreso Promedio Mensual por Persona para Mujeres y Hombres en la comuna de Pichidegua" u="1"/>
        <s v="Variación del Ingreso Promedio Mensual por Etnia en la comuna de Saavedra" u="1"/>
        <s v="Evolución del Ingreso Promedio Mensual por Persona para Mujeres y Hombres en la comuna de San Pedro de la Paz" u="1"/>
        <s v="Ingreso Promedio Mensual de Mujeres y Hombres en el año 2017 en la comuna de Torres del Paine" u="1"/>
        <s v="Evolución del Ingreso Promedio Mensual por Alfabetismo en la comuna de Empedrado" u="1"/>
        <s v="Comparativo de Ingreso Promedio Mensual entre personas con y sin alfabetización en la comuna de Salamanca" u="1"/>
        <s v="Variación del Ingreso Promedio Mensual por Etnia en la comuna de Melipeuco" u="1"/>
        <s v="Evolución del Ingreso Promedio Mensual por Persona en la comuna de Melipeuco" u="1"/>
        <s v="Variación del Ingreso Promedio Mensual por Etnia en la comuna de Lo Prado" u="1"/>
        <s v="Ingreso Promedio Mensual de Mujeres y Hombres en el año 2017 en la Región de Ñuble" u="1"/>
        <s v="Ingreso Promedio Mensual de Mujeres y Hombres en el año 2017 en la comuna de Puente Alto" u="1"/>
        <s v="Variación porcentual del Ingreso Promedio Mensual por Persona en la comuna de Laguna Blanca" u="1"/>
        <s v="Evolución del Ingreso Promedio Mensual por Alfabetismo en la comuna de Río Verde" u="1"/>
        <s v="Variación porcentual del Ingreso Promedio Mensual por Persona en la comuna de Frutillar" u="1"/>
        <s v="Ingreso Promedio Mensual al año 2017 por Etnia en la comuna de Santo Domingo" u="1"/>
        <s v="Comparativo de Ingreso Promedio Mensual entre personas con y sin alfabetización en la comuna de Isla de Maipo" u="1"/>
        <s v="Ingreso Promedio Mensual al año 2017 por Etnia en la comuna de San Miguel" u="1"/>
        <s v="Evolución del Ingreso Promedio Mensual por Alfabetismo en la comuna de Curicó" u="1"/>
        <s v="Evolución del Ingreso Promedio Mensual por Alfabetismo en la comuna de Río Hurtado" u="1"/>
        <s v="Ingreso Promedio Mensual de Mujeres y Hombres en el año 2017 en la comuna de Ollagüe" u="1"/>
        <s v="Comparativo de Ingreso Promedio Mensual entre personas con y sin alfabetización en la comuna de Alto Hospicio" u="1"/>
        <s v="Diferencial de Ingreso Promedio Mensual de Hombres según Alfabetismo en la comuna de Chanco" u="1"/>
        <s v="Diferencial de Ingreso Promedio Mensual de Mujeres según Alfabetismo en la comuna de Chanco" u="1"/>
        <s v="Evolución del Ingreso Promedio Mensual por Etnia en la comuna de Treguaco" u="1"/>
        <s v="Diferencial de Ingreso Promedio Mensual de Hombres según Alfabetismo en la comuna de Ercilla" u="1"/>
        <s v="Diferencial de Ingreso Promedio Mensual de Mujeres según Alfabetismo en la comuna de Ercilla" u="1"/>
        <s v="Comparativo de Ingreso Promedio Mensual entre personas con y sin alfabetización en la comuna de Contulmo" u="1"/>
        <s v="Ingreso Promedio Mensual al año 2017 por Etnia en la comuna de Calera" u="1"/>
        <s v="Evolución del Ingreso Promedio Mensual por Persona para Mujeres y Hombres en la comuna de Iquique" u="1"/>
        <s v="Comparativo de Ingreso Promedio Mensual entre personas con y sin alfabetización en la comuna de Isla de Pascua" u="1"/>
        <s v="Ingreso Promedio Mensual al año 2017 por Etnia en la comuna de Casablanca" u="1"/>
        <s v="Diferencial de Ingreso Promedio Mensual de Hombres según Alfabetismo en la comuna de Mostazal" u="1"/>
        <s v="Diferencial de Ingreso Promedio Mensual de Mujeres según Alfabetismo en la comuna de Mostazal" u="1"/>
        <s v="Ingreso Promedio Mensual al año 2017 por Etnia en la comuna de Tirúa" u="1"/>
        <s v="Variación porcentual del Ingreso Promedio Mensual por Persona en la comuna de Arica" u="1"/>
        <s v="Evolución del Ingreso Promedio Mensual por Etnia en la comuna de Perquenco" u="1"/>
        <s v="Evolución del Ingreso Promedio Mensual por Alfabetismo en la comuna de Angol" u="1"/>
        <s v="Evolución del Ingreso Promedio Mensual por Persona para Mujeres y Hombres en la comuna de Empedrado" u="1"/>
        <s v="Evolución del Ingreso Promedio Mensual por Persona en la comuna de Teno" u="1"/>
        <s v="Variación porcentual del Ingreso Promedio Mensual por Persona en la comuna de Puerto Montt" u="1"/>
        <s v="Ingreso Promedio Mensual de Mujeres y Hombres en el año 2017 en la comuna de Casablanca" u="1"/>
        <s v="Evolución del Ingreso Promedio Mensual por Alfabetismo en la comuna de Lo Barnechea" u="1"/>
        <s v="Ingreso Promedio Mensual al año 2017 por Etnia en la comuna de Río Ibáñez" u="1"/>
        <s v="Evolución del Ingreso Promedio Mensual por Persona para Mujeres y Hombres en la comuna de Río Verde" u="1"/>
        <s v="Ingreso Promedio Mensual al año 2017 por Etnia en la comuna de Porvenir" u="1"/>
        <s v="Evolución del Ingreso Promedio Mensual por Persona en la comuna de Colbún" u="1"/>
        <s v="Evolución del Ingreso Promedio Mensual por Etnia en la comuna de Santa María" u="1"/>
        <s v="Evolución del Ingreso Promedio Mensual por Persona en la comuna de Coquimbo" u="1"/>
        <s v="Variación del Ingreso Promedio Mensual por Etnia en la comuna de Collipulli" u="1"/>
        <s v="Comparativo de Ingreso Promedio Mensual entre personas con y sin alfabetización en la comuna de Calera" u="1"/>
        <s v="Evolución del Ingreso Promedio Mensual por Etnia en la comuna de Parral" u="1"/>
        <s v="Evolución del Ingreso Promedio Mensual por Persona para Mujeres y Hombres en la comuna de Curicó" u="1"/>
        <s v="Evolución del Ingreso Promedio Mensual por Persona para Mujeres y Hombres en la comuna de Río Hurtado" u="1"/>
        <s v="Comparativo de Ingreso Promedio Mensual entre personas con y sin alfabetización en la comuna de Calera de Tango" u="1"/>
        <s v="Ingreso Promedio Mensual de Mujeres y Hombres en el año 2017 en la comuna de San Ramón" u="1"/>
        <s v="Comparativo de Ingreso Promedio Mensual entre personas con y sin alfabetización en la comuna de Coihueco" u="1"/>
        <s v="Evolución del Ingreso Promedio Mensual por Persona a Escala Nacional" u="1"/>
        <s v="Ingreso Promedio Mensual al año 2017 por Etnia en la comuna de Ancud" u="1"/>
        <s v="Evolución del Ingreso Promedio Mensual por Alfabetismo en la comuna de La Higuera" u="1"/>
        <s v="Comparativo de Ingreso Promedio Mensual entre personas con y sin alfabetización en la comuna de Quintero" u="1"/>
        <s v="Evolución del Ingreso Promedio Mensual por Etnia en la comuna de Cochrane" u="1"/>
        <s v="Variación del Ingreso Promedio Mensual por Etnia en la comuna de Punitaqui" u="1"/>
        <s v="Variación porcentual del Ingreso Promedio Mensual por Persona en la comuna de Olmué" u="1"/>
        <s v="Ingreso Promedio Mensual al año 2017 por Etnia en la comuna de Palena" u="1"/>
        <s v="Evolución del Ingreso Promedio Mensual por Etnia en la comuna de Maipú" u="1"/>
        <s v="Evolución del Ingreso Promedio Mensual por Etnia en la comuna de Coelemu" u="1"/>
        <s v="Ingreso Promedio Mensual al año 2017 por Etnia en la comuna de Pichilemu" u="1"/>
        <s v="Evolución del Ingreso Promedio Mensual por Alfabetismo en la comuna de Traiguén" u="1"/>
        <s v="Comparativo de Ingreso Promedio Mensual entre personas con y sin alfabetización en la comuna de Curanilahue" u="1"/>
        <s v="Variación del Ingreso Promedio Mensual por Etnia en la comuna de Nogales" u="1"/>
        <s v="Evolución del Ingreso Promedio Mensual por Persona en la comuna de La Higuera" u="1"/>
        <s v="Ingreso Promedio Mensual de Mujeres y Hombres en el año 2017 en la comuna de Hualqui" u="1"/>
        <s v="Evolución del Ingreso Promedio Mensual por Etnia en la comuna de Doñihue" u="1"/>
        <s v="Variación porcentual del Ingreso Promedio Mensual por Persona en la comuna de Castro" u="1"/>
        <s v="Variación del Ingreso Promedio Mensual por Etnia en la comuna de Río Bueno" u="1"/>
        <s v="Evolución del Ingreso Promedio Mensual por Persona en la comuna de Pedro Aguirre Cerda" u="1"/>
        <s v="Variación del Ingreso Promedio Mensual por Etnia en la comuna de Antofagasta" u="1"/>
        <s v="Variación del Ingreso Promedio Mensual por Etnia en la Región de Antofagasta" u="1"/>
        <s v="Evolución del Ingreso Promedio Mensual por Alfabetismo en la comuna de O'Higgins" u="1"/>
        <s v="Evolución del Ingreso Promedio Mensual por Alfabetismo en la Región de O'Higgins" u="1"/>
        <s v="Evolución del Ingreso Promedio Mensual por Persona para Mujeres y Hombres en la comuna de Angol" u="1"/>
        <s v="Variación del Ingreso Promedio Mensual por Etnia en la comuna de San Rosendo" u="1"/>
        <s v="Ingreso Promedio Mensual al año 2017 por Etnia en la comuna de Calbuco" u="1"/>
        <s v="Evolución del Ingreso Promedio Mensual por Etnia en la comuna de Villa Alegre" u="1"/>
        <s v="Evolución del Ingreso Promedio Mensual por Persona para Mujeres y Hombres en la comuna de Lo Barnechea" u="1"/>
        <s v="Evolución del Ingreso Promedio Mensual por Persona en la comuna de Santa Cruz" u="1"/>
        <s v="Comparativo de Ingreso Promedio Mensual entre personas con y sin alfabetización en la comuna de Doñihue" u="1"/>
        <s v="Comparativo de Ingreso Promedio Mensual entre personas con y sin alfabetización en la comuna de Colchane" u="1"/>
        <s v="Comparativo de Ingreso Promedio Mensual entre personas con y sin alfabetización en la comuna de Los Alamos" u="1"/>
        <s v="Evolución del Ingreso Promedio Mensual por Etnia en la comuna de Rauco" u="1"/>
        <s v="Evolución del Ingreso Promedio Mensual por Alfabetismo en la comuna de Los Lagos" u="1"/>
        <s v="Evolución del Ingreso Promedio Mensual por Alfabetismo en la Región de Los Lagos" u="1"/>
        <s v="Comparativo de Ingreso Promedio Mensual entre personas con y sin alfabetización en la comuna de Cisnes" u="1"/>
        <s v="Evolución del Ingreso Promedio Mensual por Alfabetismo en la comuna de Maullín" u="1"/>
        <s v="Evolución del Ingreso Promedio Mensual por Persona para Mujeres y Hombres en la comuna de La Higuera" u="1"/>
        <s v="Evolución del Ingreso Promedio Mensual por Persona en la comuna de Cunco" u="1"/>
        <s v="Diferencial de Ingreso Promedio Mensual de Hombres según Alfabetismo en la comuna de Pucón" u="1"/>
        <s v="Diferencial de Ingreso Promedio Mensual de Mujeres según Alfabetismo en la comuna de Pucón" u="1"/>
        <s v="Evolución del Ingreso Promedio Mensual por Persona para Mujeres y Hombres en la comuna de Traiguén" u="1"/>
        <s v="Comparativo de Ingreso Promedio Mensual entre personas con y sin alfabetización en la comuna de La Serena" u="1"/>
        <s v="Variación porcentual del Ingreso Promedio Mensual por Persona en la comuna de Catemu" u="1"/>
        <s v="Evolución del Ingreso Promedio Mensual por Alfabetismo en la comuna de Sagrada Familia" u="1"/>
        <s v="Variación porcentual del Ingreso Promedio Mensual por Persona en la comuna de Vilcún" u="1"/>
        <s v="Comparativo de Ingreso Promedio Mensual entre personas con y sin alfabetización en la comuna de Tiltil" u="1"/>
        <s v="Evolución del Ingreso Promedio Mensual por Persona para Mujeres y Hombres en la comuna de O'Higgins" u="1"/>
        <s v="Evolución del Ingreso Promedio Mensual por Persona para Mujeres y Hombres en la Región de O'Higgins" u="1"/>
        <s v="Evolución del Ingreso Promedio Mensual por Alfabetismo en la comuna de San Bernardo" u="1"/>
        <s v="Variación porcentual del Ingreso Promedio Mensual por Persona en la comuna de San Pedro de la Paz" u="1"/>
        <s v="Evolución del Ingreso Promedio Mensual por Persona para la Región de Maule" u="1"/>
        <s v="Evolución del Ingreso Promedio Mensual por Etnia en la comuna de Salamanca" u="1"/>
        <s v="Evolución del Ingreso Promedio Mensual por Persona en la comuna de Río Claro" u="1"/>
        <s v="Comparativo de Ingreso Promedio Mensual entre personas con y sin alfabetización en la comuna de Cerro Navia" u="1"/>
        <s v="Ingreso Promedio Mensual de Mujeres y Hombres en el año 2017 en la comuna de Renca" u="1"/>
        <s v="Evolución del Ingreso Promedio Mensual por Alfabetismo en la comuna de San Fernando" u="1"/>
        <s v="Variación porcentual del Ingreso Promedio Mensual por Persona en la comuna de San Vicente" u="1"/>
        <s v="Comparativo de Ingreso Promedio Mensual entre personas con y sin alfabetización en la comuna de San Rosendo" u="1"/>
        <s v="Evolución del Ingreso Promedio Mensual por Etnia en la comuna de Las Condes" u="1"/>
        <s v="Diferencial de Ingreso Promedio Mensual de Hombres según Alfabetismo en la comuna de Petorca" u="1"/>
        <s v="Diferencial de Ingreso Promedio Mensual de Mujeres según Alfabetismo en la comuna de Petorca" u="1"/>
        <s v="Evolución del Ingreso Promedio Mensual por Persona para Mujeres y Hombres en la comuna de Los Lagos" u="1"/>
        <s v="Evolución del Ingreso Promedio Mensual por Persona para Mujeres y Hombres en la Región de Los Lagos" u="1"/>
        <s v="Evolución del Ingreso Promedio Mensual por Persona para Mujeres y Hombres en la comuna de Maullín" u="1"/>
        <s v="Variación porcentual del Ingreso Promedio Mensual por Persona en la comuna de Futaleufú" u="1"/>
        <s v="Ingreso Promedio Mensual de Mujeres y Hombres en el año 2017 en la comuna de Limache" u="1"/>
        <s v="Comparativo de Ingreso Promedio Mensual entre personas con y sin alfabetización en la comuna de Lonquimay" u="1"/>
        <s v="Evolución del Ingreso Promedio Mensual por Etnia en la comuna de Tomé" u="1"/>
        <s v="Evolución del Ingreso Promedio Mensual por Persona en la comuna de Combarbalá" u="1"/>
        <s v="Diferencial de Ingreso Promedio Mensual de Hombres según Alfabetismo en la comuna de Perquenco" u="1"/>
        <s v="Diferencial de Ingreso Promedio Mensual de Mujeres según Alfabetismo en la comuna de Perquenco" u="1"/>
        <s v="Variación del Ingreso Promedio Mensual por Etnia en la comuna de Villa Alemana" u="1"/>
        <s v="Evolución del Ingreso Promedio Mensual por Persona para Mujeres y Hombres en la comuna de Sagrada Familia" u="1"/>
        <s v="Evolución del Ingreso Promedio Mensual por Alfabetismo en la comuna de Primavera" u="1"/>
        <s v="Evolución del Ingreso Promedio Mensual por Etnia en la comuna de Alto Biobío" u="1"/>
        <s v="Ingreso Promedio Mensual de Mujeres y Hombres en el año 2017 en la comuna de Puerto Varas" u="1"/>
        <s v="Ingreso Promedio Mensual de Mujeres y Hombres en el año 2017 en la comuna de Padre Hurtado" u="1"/>
        <s v="Ingreso Promedio Mensual al año 2017 por Etnia en la comuna de Pozo Almonte" u="1"/>
        <s v="Evolución del Ingreso Promedio Mensual por Persona para Mujeres y Hombres en la comuna de San Bernardo" u="1"/>
        <s v="Ingreso Promedio Mensual al año 2017 por Etnia en la comuna de Vitacura" u="1"/>
        <s v="Variación del Ingreso Promedio Mensual por Etnia en la comuna de Camiña" u="1"/>
        <s v="Evolución del Ingreso Promedio Mensual por Etnia en la comuna de Río Hurtado" u="1"/>
        <s v="Diferencial de Ingreso Promedio Mensual de Hombres según Alfabetismo en la comuna de Camarones" u="1"/>
        <s v="Diferencial de Ingreso Promedio Mensual de Mujeres según Alfabetismo en la comuna de Camarones" u="1"/>
        <s v="Variación porcentual del Ingreso Promedio Mensual por Persona en la comuna de Traiguén" u="1"/>
        <s v="Ingreso Promedio Mensual al año 2017 por Etnia en la comuna de Antofagasta" u="1"/>
        <s v="Ingreso Promedio Mensual al año 2017 por Etnia en la Región de Antofagasta" u="1"/>
        <s v="Evolución del Ingreso Promedio Mensual por Etnia en la comuna de Puerto Varas" u="1"/>
        <s v="Evolución del Ingreso Promedio Mensual por Persona para Mujeres y Hombres en la comuna de San Fernando" u="1"/>
        <s v="Ingreso Promedio Mensual de Mujeres y Hombres en el año 2017 en la Región del Biobío" u="1"/>
        <s v="Variación porcentual del Ingreso Promedio Mensual por Persona en la comuna de La Serena" u="1"/>
        <s v="Diferencial de Ingreso Promedio Mensual de Hombres según Alfabetismo en la comuna de Primavera" u="1"/>
        <s v="Diferencial de Ingreso Promedio Mensual de Mujeres según Alfabetismo en la comuna de Primavera" u="1"/>
        <s v="Diferencial de Ingreso Promedio Mensual de Hombres según Alfabetismo en la comuna de Futaleufú" u="1"/>
        <s v="Diferencial de Ingreso Promedio Mensual de Mujeres según Alfabetismo en la comuna de Futaleufú" u="1"/>
        <s v="Diferencial de Ingreso Promedio Mensual de Hombres según Alfabetismo en la comuna de Constitución" u="1"/>
        <s v="Diferencial de Ingreso Promedio Mensual de Mujeres según Alfabetismo en la comuna de Constitución" u="1"/>
        <s v="Evolución del Ingreso Promedio Mensual por Alfabetismo en la comuna de Ollagüe" u="1"/>
        <s v="Diferencial de Ingreso Promedio Mensual de Hombres según Alfabetismo en la comuna de Calera de Tango" u="1"/>
        <s v="Diferencial de Ingreso Promedio Mensual de Mujeres según Alfabetismo en la comuna de Calera de Tango" u="1"/>
        <s v="Ingreso Promedio Mensual al año 2017 por Etnia en la comuna de Canela" u="1"/>
        <s v="Evolución del Ingreso Promedio Mensual por Alfabetismo en la comuna de Nogales" u="1"/>
        <s v="Evolución del Ingreso Promedio Mensual por Alfabetismo en la comuna de Loncoche" u="1"/>
        <s v="Evolución del Ingreso Promedio Mensual por Persona en la comuna de Lebu" u="1"/>
        <s v="Diferencial de Ingreso Promedio Mensual de Hombres según Alfabetismo en la comuna de La Granja" u="1"/>
        <s v="Diferencial de Ingreso Promedio Mensual de Mujeres según Alfabetismo en la comuna de La Granja" u="1"/>
        <s v="Evolución del Ingreso Promedio Mensual por Etnia en la Región de Aysén" u="1"/>
        <s v="Evolución del Ingreso Promedio Mensual por Alfabetismo en la comuna de Panguipulli" u="1"/>
        <s v="Ingreso Promedio Mensual de Mujeres y Hombres en el año 2017 en la comuna de Hualaihué" u="1"/>
        <s v="Comparativo de Ingreso Promedio Mensual entre personas con y sin alfabetización a Escala Nacional" u="1"/>
        <s v="Variación del Ingreso Promedio Mensual por Etnia en la comuna de Colbún" u="1"/>
        <s v="Evolución del Ingreso Promedio Mensual por Alfabetismo en la comuna de Vallenar" u="1"/>
        <s v="Ingreso Promedio Mensual de Mujeres y Hombres en el año 2017 en la comuna de Curicó" u="1"/>
        <s v="Variación porcentual del Ingreso Promedio Mensual por Persona en la comuna de Ñiquén" u="1"/>
        <s v="Evolución del Ingreso Promedio Mensual por Persona en la comuna de Penco" u="1"/>
        <s v="Evolución del Ingreso Promedio Mensual por Alfabetismo en la comuna de Quilpué" u="1"/>
        <s v="Evolución del Ingreso Promedio Mensual por Persona para Mujeres y Hombres en la comuna de Primavera" u="1"/>
        <s v="Ingreso Promedio Mensual de Mujeres y Hombres en el año 2017 en la comuna de Pelluhue" u="1"/>
        <s v="Comparativo de Ingreso Promedio Mensual entre personas con y sin alfabetización en la comuna de San José de Maipo" u="1"/>
        <s v="Ingreso Promedio Mensual al año 2017 por Etnia en la comuna de Pirque" u="1"/>
        <s v="Evolución del Ingreso Promedio Mensual por Persona en la comuna de Concón" u="1"/>
        <s v="Evolución del Ingreso Promedio Mensual por Etnia en la comuna de Los Sauces" u="1"/>
        <s v="Variación porcentual del Ingreso Promedio Mensual por Persona en la comuna de Colina" u="1"/>
        <s v="Comparativo de Ingreso Promedio Mensual entre personas con y sin alfabetización en la comuna de Treguaco" u="1"/>
        <s v="Evolución del Ingreso Promedio Mensual por Alfabetismo en la comuna de San Vicente" u="1"/>
        <s v="Diferencial de Ingreso Promedio Mensual de Hombres según Alfabetismo en la comuna de Coinco" u="1"/>
        <s v="Diferencial de Ingreso Promedio Mensual de Mujeres según Alfabetismo en la comuna de Coinco" u="1"/>
        <s v="Ingreso Promedio Mensual de Mujeres y Hombres en el año 2017 en la comuna de Concepción" u="1"/>
        <s v="Comparativo de Ingreso Promedio Mensual entre personas con y sin alfabetización en la comuna de Retiro" u="1"/>
        <s v="Evolución del Ingreso Promedio Mensual por Etnia en la comuna de Graneros" u="1"/>
        <s v="Variación del Ingreso Promedio Mensual por Etnia en la comuna de Teodoro Schmidt" u="1"/>
        <s v="Ingreso Promedio Mensual de Mujeres y Hombres en el año 2017 en la comuna de Coronel" u="1"/>
        <s v="Ingreso Promedio Mensual de Mujeres y Hombres en el año 2017 en la comuna de Natales" u="1"/>
        <s v="Ingreso Promedio Mensual al año 2017 por Etnia en la comuna de Contulmo" u="1"/>
        <s v="Evolución del Ingreso Promedio Mensual por Persona en la comuna de Futrono" u="1"/>
        <s v="Evolución del Ingreso Promedio Mensual por Alfabetismo en la comuna de Pencahue" u="1"/>
        <s v="Variación porcentual del Ingreso Promedio Mensual por Persona en la comuna de Quintero" u="1"/>
        <s v="Diferencial de Ingreso Promedio Mensual de Hombres según Alfabetismo en la comuna de El Tabo" u="1"/>
        <s v="Diferencial de Ingreso Promedio Mensual de Mujeres según Alfabetismo en la comuna de El Tabo" u="1"/>
        <s v="Evolución del Ingreso Promedio Mensual por Etnia en la Región de Ñuble" u="1"/>
        <s v="Variación del Ingreso Promedio Mensual por Etnia en la comuna de Panguipulli" u="1"/>
        <s v="Evolución del Ingreso Promedio Mensual por Alfabetismo en la comuna de Melipeuco" u="1"/>
        <s v="Ingreso Promedio Mensual al año 2017 por Etnia en la comuna de Calama" u="1"/>
        <s v="Variación porcentual del Ingreso Promedio Mensual por Persona en la comuna de Pelluhue" u="1"/>
        <s v="Evolución del Ingreso Promedio Mensual por Etnia en la comuna de Alhué" u="1"/>
        <s v="Evolución del Ingreso Promedio Mensual por Persona para Mujeres y Hombres en la comuna de Ollagüe" u="1"/>
        <s v="Evolución del Ingreso Promedio Mensual por Persona para Mujeres y Hombres en la comuna de Nogales" u="1"/>
        <s v="Evolución del Ingreso Promedio Mensual por Persona para Mujeres y Hombres en la comuna de Loncoche" u="1"/>
        <s v="Diferencial de Ingreso Promedio Mensual de Hombres según Alfabetismo en la comuna de La Reina" u="1"/>
        <s v="Diferencial de Ingreso Promedio Mensual de Mujeres según Alfabetismo en la comuna de La Reina" u="1"/>
        <s v="Diferencial de Ingreso Promedio Mensual de Hombres según Alfabetismo en la comuna de Curarrehue" u="1"/>
        <s v="Diferencial de Ingreso Promedio Mensual de Mujeres según Alfabetismo en la comuna de Curarrehue" u="1"/>
        <s v="Evolución del Ingreso Promedio Mensual por Persona en la comuna de San Ramón" u="1"/>
        <s v="Variación porcentual del Ingreso Promedio Mensual por Persona en la comuna de Quilpué" u="1"/>
        <s v="Evolución del Ingreso Promedio Mensual por Persona para Mujeres y Hombres en la comuna de Panguipulli" u="1"/>
        <s v="Evolución del Ingreso Promedio Mensual por Alfabetismo en la comuna de Yumbel" u="1"/>
        <s v="Evolución del Ingreso Promedio Mensual por Persona para Mujeres y Hombres en la comuna de Vallenar" u="1"/>
        <s v="Evolución del Ingreso Promedio Mensual por Persona en la comuna de Contulmo" u="1"/>
        <s v="Evolución del Ingreso Promedio Mensual por Persona para Mujeres y Hombres en la comuna de Quilpué" u="1"/>
        <s v="Variación porcentual del Ingreso Promedio Mensual por Persona en la comuna de Valparaíso" u="1"/>
        <s v="Variación porcentual del Ingreso Promedio Mensual por Persona en la Región de Valparaíso" u="1"/>
        <s v="Comparativo de Ingreso Promedio Mensual entre personas con y sin alfabetización en la comuna de Yumbel" u="1"/>
        <s v="Evolución del Ingreso Promedio Mensual por Etnia en la comuna de Laguna Blanca" u="1"/>
        <s v="Variación porcentual del Ingreso Promedio Mensual por Persona en la comuna de Molina" u="1"/>
        <s v="Variación porcentual del Ingreso Promedio Mensual por Persona en la comuna de Requínoa" u="1"/>
        <s v="Evolución del Ingreso Promedio Mensual por Persona para Mujeres y Hombres en la comuna de San Vicente" u="1"/>
        <s v="Variación del Ingreso Promedio Mensual por Etnia en la comuna de Molina" u="1"/>
        <s v="Evolución del Ingreso Promedio Mensual por Etnia en la comuna de El Monte" u="1"/>
        <s v="Evolución del Ingreso Promedio Mensual por Alfabetismo en la comuna de San Miguel" u="1"/>
        <s v="Diferencial de Ingreso Promedio Mensual de Hombres según Alfabetismo en la comuna de Hualpén" u="1"/>
        <s v="Diferencial de Ingreso Promedio Mensual de Mujeres según Alfabetismo en la comuna de Hualpén" u="1"/>
        <s v="Evolución del Ingreso Promedio Mensual por Persona para Mujeres y Hombres en la comuna de Pencahue" u="1"/>
        <s v="Comparativo de Ingreso Promedio Mensual entre personas con y sin alfabetización en la comuna de San Antonio" u="1"/>
        <s v="Evolución del Ingreso Promedio Mensual por Persona en la comuna de Máfil" u="1"/>
        <s v="Evolución del Ingreso Promedio Mensual por Persona para Mujeres y Hombres en la comuna de Melipeuco" u="1"/>
        <s v="Variación porcentual del Ingreso Promedio Mensual por Persona en la comuna de Carahue" u="1"/>
      </sharedItems>
    </cacheField>
    <cacheField name="descripcion_larga" numFmtId="0">
      <sharedItems longText="1"/>
    </cacheField>
    <cacheField name="visualizacion" numFmtId="0">
      <sharedItems/>
    </cacheField>
    <cacheField name="tag" numFmtId="0">
      <sharedItems/>
    </cacheField>
    <cacheField name="url" numFmtId="0">
      <sharedItems count="4639">
        <s v="https://analytics.zoho.com/open-view/2395394000006849343"/>
        <s v="https://analytics.zoho.com/open-view/2395394000008621922?ZOHO_CRITERIA=%2227.11%22.%22C%C3%B3digo_Regi%C3%B3n%22%20%3D%201"/>
        <s v="https://analytics.zoho.com/open-view/2395394000008621922?ZOHO_CRITERIA=%2227.11%22.%22C%C3%B3digo_Regi%C3%B3n%22%20%3D%202"/>
        <s v="https://analytics.zoho.com/open-view/2395394000008621922?ZOHO_CRITERIA=%2227.11%22.%22C%C3%B3digo_Regi%C3%B3n%22%20%3D%203"/>
        <s v="https://analytics.zoho.com/open-view/2395394000008621922?ZOHO_CRITERIA=%2227.11%22.%22C%C3%B3digo_Regi%C3%B3n%22%20%3D%204"/>
        <s v="https://analytics.zoho.com/open-view/2395394000008621922?ZOHO_CRITERIA=%2227.11%22.%22C%C3%B3digo_Regi%C3%B3n%22%20%3D%205"/>
        <s v="https://analytics.zoho.com/open-view/2395394000008621922?ZOHO_CRITERIA=%2227.11%22.%22C%C3%B3digo_Regi%C3%B3n%22%20%3D%206"/>
        <s v="https://analytics.zoho.com/open-view/2395394000008621922?ZOHO_CRITERIA=%2227.11%22.%22C%C3%B3digo_Regi%C3%B3n%22%20%3D%207"/>
        <s v="https://analytics.zoho.com/open-view/2395394000008621922?ZOHO_CRITERIA=%2227.11%22.%22C%C3%B3digo_Regi%C3%B3n%22%20%3D%208"/>
        <s v="https://analytics.zoho.com/open-view/2395394000008621922?ZOHO_CRITERIA=%2227.11%22.%22C%C3%B3digo_Regi%C3%B3n%22%20%3D%209"/>
        <s v="https://analytics.zoho.com/open-view/2395394000008621922?ZOHO_CRITERIA=%2227.11%22.%22C%C3%B3digo_Regi%C3%B3n%22%20%3D%2010"/>
        <s v="https://analytics.zoho.com/open-view/2395394000008621922?ZOHO_CRITERIA=%2227.11%22.%22C%C3%B3digo_Regi%C3%B3n%22%20%3D%2011"/>
        <s v="https://analytics.zoho.com/open-view/2395394000008621922?ZOHO_CRITERIA=%2227.11%22.%22C%C3%B3digo_Regi%C3%B3n%22%20%3D%2012"/>
        <s v="https://analytics.zoho.com/open-view/2395394000008621922?ZOHO_CRITERIA=%2227.11%22.%22C%C3%B3digo_Regi%C3%B3n%22%20%3D%2013"/>
        <s v="https://analytics.zoho.com/open-view/2395394000008621922?ZOHO_CRITERIA=%2227.11%22.%22C%C3%B3digo_Regi%C3%B3n%22%20%3D%2014"/>
        <s v="https://analytics.zoho.com/open-view/2395394000008621922?ZOHO_CRITERIA=%2227.11%22.%22C%C3%B3digo_Regi%C3%B3n%22%20%3D%2015"/>
        <s v="https://analytics.zoho.com/open-view/2395394000008621922?ZOHO_CRITERIA=%2227.11%22.%22C%C3%B3digo_Regi%C3%B3n%22%20%3D%2016"/>
        <s v="https://analytics.zoho.com/open-view/2395394000008621848?ZOHO_CRITERIA=%2227.11%22.%22C%C3%B3digo_Regi%C3%B3n%22%20%3D%201"/>
        <s v="https://analytics.zoho.com/open-view/2395394000008621848?ZOHO_CRITERIA=%2227.11%22.%22C%C3%B3digo_Regi%C3%B3n%22%20%3D%202"/>
        <s v="https://analytics.zoho.com/open-view/2395394000008621848?ZOHO_CRITERIA=%2227.11%22.%22C%C3%B3digo_Regi%C3%B3n%22%20%3D%203"/>
        <s v="https://analytics.zoho.com/open-view/2395394000008621848?ZOHO_CRITERIA=%2227.11%22.%22C%C3%B3digo_Regi%C3%B3n%22%20%3D%204"/>
        <s v="https://analytics.zoho.com/open-view/2395394000008621848?ZOHO_CRITERIA=%2227.11%22.%22C%C3%B3digo_Regi%C3%B3n%22%20%3D%205"/>
        <s v="https://analytics.zoho.com/open-view/2395394000008621848?ZOHO_CRITERIA=%2227.11%22.%22C%C3%B3digo_Regi%C3%B3n%22%20%3D%206"/>
        <s v="https://analytics.zoho.com/open-view/2395394000008621848?ZOHO_CRITERIA=%2227.11%22.%22C%C3%B3digo_Regi%C3%B3n%22%20%3D%207"/>
        <s v="https://analytics.zoho.com/open-view/2395394000008621848?ZOHO_CRITERIA=%2227.11%22.%22C%C3%B3digo_Regi%C3%B3n%22%20%3D%208"/>
        <s v="https://analytics.zoho.com/open-view/2395394000008621848?ZOHO_CRITERIA=%2227.11%22.%22C%C3%B3digo_Regi%C3%B3n%22%20%3D%209"/>
        <s v="https://analytics.zoho.com/open-view/2395394000008621848?ZOHO_CRITERIA=%2227.11%22.%22C%C3%B3digo_Regi%C3%B3n%22%20%3D%2010"/>
        <s v="https://analytics.zoho.com/open-view/2395394000008621848?ZOHO_CRITERIA=%2227.11%22.%22C%C3%B3digo_Regi%C3%B3n%22%20%3D%2011"/>
        <s v="https://analytics.zoho.com/open-view/2395394000008621848?ZOHO_CRITERIA=%2227.11%22.%22C%C3%B3digo_Regi%C3%B3n%22%20%3D%2012"/>
        <s v="https://analytics.zoho.com/open-view/2395394000008621848?ZOHO_CRITERIA=%2227.11%22.%22C%C3%B3digo_Regi%C3%B3n%22%20%3D%2013"/>
        <s v="https://analytics.zoho.com/open-view/2395394000008621848?ZOHO_CRITERIA=%2227.11%22.%22C%C3%B3digo_Regi%C3%B3n%22%20%3D%2014"/>
        <s v="https://analytics.zoho.com/open-view/2395394000008621848?ZOHO_CRITERIA=%2227.11%22.%22C%C3%B3digo_Regi%C3%B3n%22%20%3D%2015"/>
        <s v="https://analytics.zoho.com/open-view/2395394000008621848?ZOHO_CRITERIA=%2227.11%22.%22C%C3%B3digo_Regi%C3%B3n%22%20%3D%2016"/>
        <s v="https://analytics.zoho.com/open-view/2395394000007114973?ZOHO_CRITERIA=%2227.12%22.%22C%C3%B3digo_Regi%C3%B3n%22%20%3D%205"/>
        <s v="https://analytics.zoho.com/open-view/2395394000007114973?ZOHO_CRITERIA=%2227.12%22.%22C%C3%B3digo_Regi%C3%B3n%22%20%3D%2013"/>
        <s v="https://analytics.zoho.com/open-view/2395394000007114973?ZOHO_CRITERIA=%2227.12%22.%22C%C3%B3digo_Regi%C3%B3n%22%20%3D%208"/>
        <s v="https://analytics.zoho.com/open-view/2395394000007117231?ZOHO_CRITERIA=%2227.12%22.%22Id_Categor%C3%ADa%22%20%3D%20270110001%0A"/>
        <s v="https://analytics.zoho.com/open-view/2395394000007117231?ZOHO_CRITERIA=%2227.12%22.%22Id_Categor%C3%ADa%22%20%3D%20270110002%0A"/>
        <s v="https://analytics.zoho.com/open-view/2395394000007117231?ZOHO_CRITERIA=%2227.12%22.%22Id_Categor%C3%ADa%22%20%3D%20270110003%0A"/>
        <s v="https://analytics.zoho.com/open-view/2395394000007149310"/>
        <s v="https://analytics.zoho.com/open-view/2395394000006929198?ZOHO_CRITERIA=%22Trasposicion_27.14%22.%22Id_producto%22%20%3D%20270108%0A"/>
        <s v="https://analytics.zoho.com/open-view/2395394000006929198?ZOHO_CRITERIA=%22Trasposicion_27.14%22.%22Id_producto%22%20%3D%20270109%0A"/>
        <s v="https://analytics.zoho.com/open-view/2395394000006929327?ZOHO_CRITERIA=%22Trasposicion_27.14%22.%22Id_producto%22%20%3D%20270109%0A"/>
        <s v="https://analytics.zoho.com/open-view/2395394000006929327?ZOHO_CRITERIA=%22Trasposicion_27.14%22.%22Id_producto%22%20%3D%20270108%0A"/>
        <s v="https://analytics.zoho.com/open-view/2395394000006929437?ZOHO_CRITERIA=%22Trasposicion_27.14%22.%22Id_Tipo_de_Procedimiento%22%20%3D%201%0A"/>
        <s v="https://analytics.zoho.com/open-view/2395394000006929437?ZOHO_CRITERIA=%22Trasposicion_27.14%22.%22Id_Tipo_de_Procedimiento%22%20%3D%202%0A"/>
        <s v="https://analytics.zoho.com/open-view/2395394000006929437?ZOHO_CRITERIA=%22Trasposicion_27.14%22.%22Id_Tipo_de_Procedimiento%22%20%3D%203%0A"/>
        <s v="https://analytics.zoho.com/open-view/2395394000006929437?ZOHO_CRITERIA=%22Trasposicion_27.14%22.%22Id_Tipo_de_Procedimiento%22%20%3D%204%0A"/>
        <s v="https://analytics.zoho.com/open-view/2395394000006849227"/>
        <s v="https://analytics.zoho.com/open-view/2395394000006849284"/>
        <s v="https://analytics.zoho.com/open-view/2395394000007166769"/>
        <s v="https://analytics.zoho.com/open-view/2395394000007166733"/>
        <s v="https://analytics.zoho.com/open-view/2395394000007166697"/>
        <s v="https://analytics.zoho.com/open-view/2395394000007166209?ZOHO_CRITERIA=%22Localiza%20CL%22.%22Codreg%22%3D1"/>
        <s v="https://analytics.zoho.com/open-view/2395394000007166209?ZOHO_CRITERIA=%22Localiza%20CL%22.%22Codreg%22%3D2"/>
        <s v="https://analytics.zoho.com/open-view/2395394000007166209?ZOHO_CRITERIA=%22Localiza%20CL%22.%22Codreg%22%3D3"/>
        <s v="https://analytics.zoho.com/open-view/2395394000007166209?ZOHO_CRITERIA=%22Localiza%20CL%22.%22Codreg%22%3D4"/>
        <s v="https://analytics.zoho.com/open-view/2395394000007166209?ZOHO_CRITERIA=%22Localiza%20CL%22.%22Codreg%22%3D5"/>
        <s v="https://analytics.zoho.com/open-view/2395394000007166209?ZOHO_CRITERIA=%22Localiza%20CL%22.%22Codreg%22%3D6"/>
        <s v="https://analytics.zoho.com/open-view/2395394000007166209?ZOHO_CRITERIA=%22Localiza%20CL%22.%22Codreg%22%3D7"/>
        <s v="https://analytics.zoho.com/open-view/2395394000007166209?ZOHO_CRITERIA=%22Localiza%20CL%22.%22Codreg%22%3D8"/>
        <s v="https://analytics.zoho.com/open-view/2395394000007166209?ZOHO_CRITERIA=%22Localiza%20CL%22.%22Codreg%22%3D9"/>
        <s v="https://analytics.zoho.com/open-view/2395394000007166209?ZOHO_CRITERIA=%22Localiza%20CL%22.%22Codreg%22%3D10"/>
        <s v="https://analytics.zoho.com/open-view/2395394000007166209?ZOHO_CRITERIA=%22Localiza%20CL%22.%22Codreg%22%3D11"/>
        <s v="https://analytics.zoho.com/open-view/2395394000007166209?ZOHO_CRITERIA=%22Localiza%20CL%22.%22Codreg%22%3D12"/>
        <s v="https://analytics.zoho.com/open-view/2395394000007166209?ZOHO_CRITERIA=%22Localiza%20CL%22.%22Codreg%22%3D13"/>
        <s v="https://analytics.zoho.com/open-view/2395394000007166209?ZOHO_CRITERIA=%22Localiza%20CL%22.%22Codreg%22%3D14"/>
        <s v="https://analytics.zoho.com/open-view/2395394000007166209?ZOHO_CRITERIA=%22Localiza%20CL%22.%22Codreg%22%3D15"/>
        <s v="https://analytics.zoho.com/open-view/2395394000007166209?ZOHO_CRITERIA=%22Localiza%20CL%22.%22Codreg%22%3D16"/>
        <s v="https://analytics.zoho.com/open-view/2395394000007130420?ZOHO_CRITERIA=%22Localiza%20CL%22.%22Codreg%22%3D1"/>
        <s v="https://analytics.zoho.com/open-view/2395394000007130420?ZOHO_CRITERIA=%22Localiza%20CL%22.%22Codreg%22%3D2"/>
        <s v="https://analytics.zoho.com/open-view/2395394000007130420?ZOHO_CRITERIA=%22Localiza%20CL%22.%22Codreg%22%3D3"/>
        <s v="https://analytics.zoho.com/open-view/2395394000007130420?ZOHO_CRITERIA=%22Localiza%20CL%22.%22Codreg%22%3D4"/>
        <s v="https://analytics.zoho.com/open-view/2395394000007130420?ZOHO_CRITERIA=%22Localiza%20CL%22.%22Codreg%22%3D5"/>
        <s v="https://analytics.zoho.com/open-view/2395394000007130420?ZOHO_CRITERIA=%22Localiza%20CL%22.%22Codreg%22%3D6"/>
        <s v="https://analytics.zoho.com/open-view/2395394000007130420?ZOHO_CRITERIA=%22Localiza%20CL%22.%22Codreg%22%3D7"/>
        <s v="https://analytics.zoho.com/open-view/2395394000007130420?ZOHO_CRITERIA=%22Localiza%20CL%22.%22Codreg%22%3D8"/>
        <s v="https://analytics.zoho.com/open-view/2395394000007130420?ZOHO_CRITERIA=%22Localiza%20CL%22.%22Codreg%22%3D9"/>
        <s v="https://analytics.zoho.com/open-view/2395394000007130420?ZOHO_CRITERIA=%22Localiza%20CL%22.%22Codreg%22%3D10"/>
        <s v="https://analytics.zoho.com/open-view/2395394000007130420?ZOHO_CRITERIA=%22Localiza%20CL%22.%22Codreg%22%3D11"/>
        <s v="https://analytics.zoho.com/open-view/2395394000007130420?ZOHO_CRITERIA=%22Localiza%20CL%22.%22Codreg%22%3D12"/>
        <s v="https://analytics.zoho.com/open-view/2395394000007130420?ZOHO_CRITERIA=%22Localiza%20CL%22.%22Codreg%22%3D13"/>
        <s v="https://analytics.zoho.com/open-view/2395394000007130420?ZOHO_CRITERIA=%22Localiza%20CL%22.%22Codreg%22%3D14"/>
        <s v="https://analytics.zoho.com/open-view/2395394000007130420?ZOHO_CRITERIA=%22Localiza%20CL%22.%22Codreg%22%3D15"/>
        <s v="https://analytics.zoho.com/open-view/2395394000007130420?ZOHO_CRITERIA=%22Localiza%20CL%22.%22Codreg%22%3D16"/>
        <s v="https://analytics.zoho.com/open-view/2395394000007166809?ZOHO_CRITERIA=%22Localiza%20CL%22.%22Codreg%22%3D1"/>
        <s v="https://analytics.zoho.com/open-view/2395394000007166809?ZOHO_CRITERIA=%22Localiza%20CL%22.%22Codreg%22%3D2"/>
        <s v="https://analytics.zoho.com/open-view/2395394000007166809?ZOHO_CRITERIA=%22Localiza%20CL%22.%22Codreg%22%3D3"/>
        <s v="https://analytics.zoho.com/open-view/2395394000007166809?ZOHO_CRITERIA=%22Localiza%20CL%22.%22Codreg%22%3D4"/>
        <s v="https://analytics.zoho.com/open-view/2395394000007166809?ZOHO_CRITERIA=%22Localiza%20CL%22.%22Codreg%22%3D5"/>
        <s v="https://analytics.zoho.com/open-view/2395394000007166809?ZOHO_CRITERIA=%22Localiza%20CL%22.%22Codreg%22%3D6"/>
        <s v="https://analytics.zoho.com/open-view/2395394000007166809?ZOHO_CRITERIA=%22Localiza%20CL%22.%22Codreg%22%3D7"/>
        <s v="https://analytics.zoho.com/open-view/2395394000007166809?ZOHO_CRITERIA=%22Localiza%20CL%22.%22Codreg%22%3D8"/>
        <s v="https://analytics.zoho.com/open-view/2395394000007166809?ZOHO_CRITERIA=%22Localiza%20CL%22.%22Codreg%22%3D9"/>
        <s v="https://analytics.zoho.com/open-view/2395394000007166809?ZOHO_CRITERIA=%22Localiza%20CL%22.%22Codreg%22%3D10"/>
        <s v="https://analytics.zoho.com/open-view/2395394000007166809?ZOHO_CRITERIA=%22Localiza%20CL%22.%22Codreg%22%3D11"/>
        <s v="https://analytics.zoho.com/open-view/2395394000007166809?ZOHO_CRITERIA=%22Localiza%20CL%22.%22Codreg%22%3D12"/>
        <s v="https://analytics.zoho.com/open-view/2395394000007166809?ZOHO_CRITERIA=%22Localiza%20CL%22.%22Codreg%22%3D13"/>
        <s v="https://analytics.zoho.com/open-view/2395394000007166809?ZOHO_CRITERIA=%22Localiza%20CL%22.%22Codreg%22%3D14"/>
        <s v="https://analytics.zoho.com/open-view/2395394000007166809?ZOHO_CRITERIA=%22Localiza%20CL%22.%22Codreg%22%3D15"/>
        <s v="https://analytics.zoho.com/open-view/2395394000007166809?ZOHO_CRITERIA=%22Localiza%20CL%22.%22Codreg%22%3D16"/>
        <s v="https://analytics.zoho.com/open-view/2395394000007166659?ZOHO_CRITERIA=%22Trasposicion_27.15%22.%22Id_Juzgado_Garant%C3%ADa%22%3D1"/>
        <s v="https://analytics.zoho.com/open-view/2395394000007166659?ZOHO_CRITERIA=%22Trasposicion_27.15%22.%22Id_Juzgado_Garant%C3%ADa%22%3D2"/>
        <s v="https://analytics.zoho.com/open-view/2395394000007166659?ZOHO_CRITERIA=%22Trasposicion_27.15%22.%22Id_Juzgado_Garant%C3%ADa%22%3D3"/>
        <s v="https://analytics.zoho.com/open-view/2395394000007166659?ZOHO_CRITERIA=%22Trasposicion_27.15%22.%22Id_Juzgado_Garant%C3%ADa%22%3D4"/>
        <s v="https://analytics.zoho.com/open-view/2395394000007166659?ZOHO_CRITERIA=%22Trasposicion_27.15%22.%22Id_Juzgado_Garant%C3%ADa%22%3D5"/>
        <s v="https://analytics.zoho.com/open-view/2395394000007166659?ZOHO_CRITERIA=%22Trasposicion_27.15%22.%22Id_Juzgado_Garant%C3%ADa%22%3D6"/>
        <s v="https://analytics.zoho.com/open-view/2395394000007166659?ZOHO_CRITERIA=%22Trasposicion_27.15%22.%22Id_Juzgado_Garant%C3%ADa%22%3D7"/>
        <s v="https://analytics.zoho.com/open-view/2395394000007166659?ZOHO_CRITERIA=%22Trasposicion_27.15%22.%22Id_Juzgado_Garant%C3%ADa%22%3D8"/>
        <s v="https://analytics.zoho.com/open-view/2395394000007166659?ZOHO_CRITERIA=%22Trasposicion_27.15%22.%22Id_Juzgado_Garant%C3%ADa%22%3D9"/>
        <s v="https://analytics.zoho.com/open-view/2395394000007166659?ZOHO_CRITERIA=%22Trasposicion_27.15%22.%22Id_Juzgado_Garant%C3%ADa%22%3D10"/>
        <s v="https://analytics.zoho.com/open-view/2395394000007166659?ZOHO_CRITERIA=%22Trasposicion_27.15%22.%22Id_Juzgado_Garant%C3%ADa%22%3D11"/>
        <s v="https://analytics.zoho.com/open-view/2395394000007166659?ZOHO_CRITERIA=%22Trasposicion_27.15%22.%22Id_Juzgado_Garant%C3%ADa%22%3D12"/>
        <s v="https://analytics.zoho.com/open-view/2395394000007166659?ZOHO_CRITERIA=%22Trasposicion_27.15%22.%22Id_Juzgado_Garant%C3%ADa%22%3D13"/>
        <s v="https://analytics.zoho.com/open-view/2395394000007166659?ZOHO_CRITERIA=%22Trasposicion_27.15%22.%22Id_Juzgado_Garant%C3%ADa%22%3D14"/>
        <s v="https://analytics.zoho.com/open-view/2395394000007166659?ZOHO_CRITERIA=%22Trasposicion_27.15%22.%22Id_Juzgado_Garant%C3%ADa%22%3D15"/>
        <s v="https://analytics.zoho.com/open-view/2395394000007166659?ZOHO_CRITERIA=%22Trasposicion_27.15%22.%22Id_Juzgado_Garant%C3%ADa%22%3D16"/>
        <s v="https://analytics.zoho.com/open-view/2395394000007166659?ZOHO_CRITERIA=%22Trasposicion_27.15%22.%22Id_Juzgado_Garant%C3%ADa%22%3D17"/>
        <s v="https://analytics.zoho.com/open-view/2395394000007166659?ZOHO_CRITERIA=%22Trasposicion_27.15%22.%22Id_Juzgado_Garant%C3%ADa%22%3D18"/>
        <s v="https://analytics.zoho.com/open-view/2395394000007166659?ZOHO_CRITERIA=%22Trasposicion_27.15%22.%22Id_Juzgado_Garant%C3%ADa%22%3D19"/>
        <s v="https://analytics.zoho.com/open-view/2395394000007166659?ZOHO_CRITERIA=%22Trasposicion_27.15%22.%22Id_Juzgado_Garant%C3%ADa%22%3D20"/>
        <s v="https://analytics.zoho.com/open-view/2395394000007166659?ZOHO_CRITERIA=%22Trasposicion_27.15%22.%22Id_Juzgado_Garant%C3%ADa%22%3D21"/>
        <s v="https://analytics.zoho.com/open-view/2395394000007166659?ZOHO_CRITERIA=%22Trasposicion_27.15%22.%22Id_Juzgado_Garant%C3%ADa%22%3D22"/>
        <s v="https://analytics.zoho.com/open-view/2395394000007166659?ZOHO_CRITERIA=%22Trasposicion_27.15%22.%22Id_Juzgado_Garant%C3%ADa%22%3D23"/>
        <s v="https://analytics.zoho.com/open-view/2395394000007166659?ZOHO_CRITERIA=%22Trasposicion_27.15%22.%22Id_Juzgado_Garant%C3%ADa%22%3D24"/>
        <s v="https://analytics.zoho.com/open-view/2395394000007166659?ZOHO_CRITERIA=%22Trasposicion_27.15%22.%22Id_Juzgado_Garant%C3%ADa%22%3D25"/>
        <s v="https://analytics.zoho.com/open-view/2395394000007166659?ZOHO_CRITERIA=%22Trasposicion_27.15%22.%22Id_Juzgado_Garant%C3%ADa%22%3D26"/>
        <s v="https://analytics.zoho.com/open-view/2395394000007166659?ZOHO_CRITERIA=%22Trasposicion_27.15%22.%22Id_Juzgado_Garant%C3%ADa%22%3D27"/>
        <s v="https://analytics.zoho.com/open-view/2395394000007166659?ZOHO_CRITERIA=%22Trasposicion_27.15%22.%22Id_Juzgado_Garant%C3%ADa%22%3D28"/>
        <s v="https://analytics.zoho.com/open-view/2395394000007166659?ZOHO_CRITERIA=%22Trasposicion_27.15%22.%22Id_Juzgado_Garant%C3%ADa%22%3D29"/>
        <s v="https://analytics.zoho.com/open-view/2395394000007166659?ZOHO_CRITERIA=%22Trasposicion_27.15%22.%22Id_Juzgado_Garant%C3%ADa%22%3D30"/>
        <s v="https://analytics.zoho.com/open-view/2395394000007166659?ZOHO_CRITERIA=%22Trasposicion_27.15%22.%22Id_Juzgado_Garant%C3%ADa%22%3D31"/>
        <s v="https://analytics.zoho.com/open-view/2395394000007166659?ZOHO_CRITERIA=%22Trasposicion_27.15%22.%22Id_Juzgado_Garant%C3%ADa%22%3D32"/>
        <s v="https://analytics.zoho.com/open-view/2395394000007166659?ZOHO_CRITERIA=%22Trasposicion_27.15%22.%22Id_Juzgado_Garant%C3%ADa%22%3D33"/>
        <s v="https://analytics.zoho.com/open-view/2395394000007166659?ZOHO_CRITERIA=%22Trasposicion_27.15%22.%22Id_Juzgado_Garant%C3%ADa%22%3D34"/>
        <s v="https://analytics.zoho.com/open-view/2395394000007166659?ZOHO_CRITERIA=%22Trasposicion_27.15%22.%22Id_Juzgado_Garant%C3%ADa%22%3D35"/>
        <s v="https://analytics.zoho.com/open-view/2395394000007166659?ZOHO_CRITERIA=%22Trasposicion_27.15%22.%22Id_Juzgado_Garant%C3%ADa%22%3D36"/>
        <s v="https://analytics.zoho.com/open-view/2395394000007166659?ZOHO_CRITERIA=%22Trasposicion_27.15%22.%22Id_Juzgado_Garant%C3%ADa%22%3D37"/>
        <s v="https://analytics.zoho.com/open-view/2395394000007166659?ZOHO_CRITERIA=%22Trasposicion_27.15%22.%22Id_Juzgado_Garant%C3%ADa%22%3D38"/>
        <s v="https://analytics.zoho.com/open-view/2395394000007166659?ZOHO_CRITERIA=%22Trasposicion_27.15%22.%22Id_Juzgado_Garant%C3%ADa%22%3D39"/>
        <s v="https://analytics.zoho.com/open-view/2395394000007166659?ZOHO_CRITERIA=%22Trasposicion_27.15%22.%22Id_Juzgado_Garant%C3%ADa%22%3D40"/>
        <s v="https://analytics.zoho.com/open-view/2395394000007166659?ZOHO_CRITERIA=%22Trasposicion_27.15%22.%22Id_Juzgado_Garant%C3%ADa%22%3D41"/>
        <s v="https://analytics.zoho.com/open-view/2395394000007166659?ZOHO_CRITERIA=%22Trasposicion_27.15%22.%22Id_Juzgado_Garant%C3%ADa%22%3D42"/>
        <s v="https://analytics.zoho.com/open-view/2395394000007166659?ZOHO_CRITERIA=%22Trasposicion_27.15%22.%22Id_Juzgado_Garant%C3%ADa%22%3D43"/>
        <s v="https://analytics.zoho.com/open-view/2395394000007166659?ZOHO_CRITERIA=%22Trasposicion_27.15%22.%22Id_Juzgado_Garant%C3%ADa%22%3D44"/>
        <s v="https://analytics.zoho.com/open-view/2395394000007166659?ZOHO_CRITERIA=%22Trasposicion_27.15%22.%22Id_Juzgado_Garant%C3%ADa%22%3D45"/>
        <s v="https://analytics.zoho.com/open-view/2395394000007166659?ZOHO_CRITERIA=%22Trasposicion_27.15%22.%22Id_Juzgado_Garant%C3%ADa%22%3D46"/>
        <s v="https://analytics.zoho.com/open-view/2395394000007166659?ZOHO_CRITERIA=%22Trasposicion_27.15%22.%22Id_Juzgado_Garant%C3%ADa%22%3D47"/>
        <s v="https://analytics.zoho.com/open-view/2395394000007166659?ZOHO_CRITERIA=%22Trasposicion_27.15%22.%22Id_Juzgado_Garant%C3%ADa%22%3D48"/>
        <s v="https://analytics.zoho.com/open-view/2395394000007166659?ZOHO_CRITERIA=%22Trasposicion_27.15%22.%22Id_Juzgado_Garant%C3%ADa%22%3D49"/>
        <s v="https://analytics.zoho.com/open-view/2395394000007166659?ZOHO_CRITERIA=%22Trasposicion_27.15%22.%22Id_Juzgado_Garant%C3%ADa%22%3D50"/>
        <s v="https://analytics.zoho.com/open-view/2395394000007166659?ZOHO_CRITERIA=%22Trasposicion_27.15%22.%22Id_Juzgado_Garant%C3%ADa%22%3D51"/>
        <s v="https://analytics.zoho.com/open-view/2395394000007166659?ZOHO_CRITERIA=%22Trasposicion_27.15%22.%22Id_Juzgado_Garant%C3%ADa%22%3D52"/>
        <s v="https://analytics.zoho.com/open-view/2395394000007166659?ZOHO_CRITERIA=%22Trasposicion_27.15%22.%22Id_Juzgado_Garant%C3%ADa%22%3D53"/>
        <s v="https://analytics.zoho.com/open-view/2395394000007166659?ZOHO_CRITERIA=%22Trasposicion_27.15%22.%22Id_Juzgado_Garant%C3%ADa%22%3D54"/>
        <s v="https://analytics.zoho.com/open-view/2395394000007166659?ZOHO_CRITERIA=%22Trasposicion_27.15%22.%22Id_Juzgado_Garant%C3%ADa%22%3D55"/>
        <s v="https://analytics.zoho.com/open-view/2395394000007166659?ZOHO_CRITERIA=%22Trasposicion_27.15%22.%22Id_Juzgado_Garant%C3%ADa%22%3D56"/>
        <s v="https://analytics.zoho.com/open-view/2395394000007166659?ZOHO_CRITERIA=%22Trasposicion_27.15%22.%22Id_Juzgado_Garant%C3%ADa%22%3D57"/>
        <s v="https://analytics.zoho.com/open-view/2395394000007166659?ZOHO_CRITERIA=%22Trasposicion_27.15%22.%22Id_Juzgado_Garant%C3%ADa%22%3D58"/>
        <s v="https://analytics.zoho.com/open-view/2395394000007166659?ZOHO_CRITERIA=%22Trasposicion_27.15%22.%22Id_Juzgado_Garant%C3%ADa%22%3D59"/>
        <s v="https://analytics.zoho.com/open-view/2395394000007166659?ZOHO_CRITERIA=%22Trasposicion_27.15%22.%22Id_Juzgado_Garant%C3%ADa%22%3D60"/>
        <s v="https://analytics.zoho.com/open-view/2395394000007166659?ZOHO_CRITERIA=%22Trasposicion_27.15%22.%22Id_Juzgado_Garant%C3%ADa%22%3D61"/>
        <s v="https://analytics.zoho.com/open-view/2395394000007166659?ZOHO_CRITERIA=%22Trasposicion_27.15%22.%22Id_Juzgado_Garant%C3%ADa%22%3D62"/>
        <s v="https://analytics.zoho.com/open-view/2395394000007166659?ZOHO_CRITERIA=%22Trasposicion_27.15%22.%22Id_Juzgado_Garant%C3%ADa%22%3D63"/>
        <s v="https://analytics.zoho.com/open-view/2395394000007166659?ZOHO_CRITERIA=%22Trasposicion_27.15%22.%22Id_Juzgado_Garant%C3%ADa%22%3D64"/>
        <s v="https://analytics.zoho.com/open-view/2395394000007166659?ZOHO_CRITERIA=%22Trasposicion_27.15%22.%22Id_Juzgado_Garant%C3%ADa%22%3D65"/>
        <s v="https://analytics.zoho.com/open-view/2395394000007166659?ZOHO_CRITERIA=%22Trasposicion_27.15%22.%22Id_Juzgado_Garant%C3%ADa%22%3D66"/>
        <s v="https://analytics.zoho.com/open-view/2395394000007166659?ZOHO_CRITERIA=%22Trasposicion_27.15%22.%22Id_Juzgado_Garant%C3%ADa%22%3D67"/>
        <s v="https://analytics.zoho.com/open-view/2395394000007166659?ZOHO_CRITERIA=%22Trasposicion_27.15%22.%22Id_Juzgado_Garant%C3%ADa%22%3D68"/>
        <s v="https://analytics.zoho.com/open-view/2395394000007166659?ZOHO_CRITERIA=%22Trasposicion_27.15%22.%22Id_Juzgado_Garant%C3%ADa%22%3D69"/>
        <s v="https://analytics.zoho.com/open-view/2395394000007166659?ZOHO_CRITERIA=%22Trasposicion_27.15%22.%22Id_Juzgado_Garant%C3%ADa%22%3D70"/>
        <s v="https://analytics.zoho.com/open-view/2395394000007166659?ZOHO_CRITERIA=%22Trasposicion_27.15%22.%22Id_Juzgado_Garant%C3%ADa%22%3D71"/>
        <s v="https://analytics.zoho.com/open-view/2395394000007166659?ZOHO_CRITERIA=%22Trasposicion_27.15%22.%22Id_Juzgado_Garant%C3%ADa%22%3D72"/>
        <s v="https://analytics.zoho.com/open-view/2395394000007166659?ZOHO_CRITERIA=%22Trasposicion_27.15%22.%22Id_Juzgado_Garant%C3%ADa%22%3D73"/>
        <s v="https://analytics.zoho.com/open-view/2395394000007166659?ZOHO_CRITERIA=%22Trasposicion_27.15%22.%22Id_Juzgado_Garant%C3%ADa%22%3D74"/>
        <s v="https://analytics.zoho.com/open-view/2395394000007166659?ZOHO_CRITERIA=%22Trasposicion_27.15%22.%22Id_Juzgado_Garant%C3%ADa%22%3D75"/>
        <s v="https://analytics.zoho.com/open-view/2395394000007166659?ZOHO_CRITERIA=%22Trasposicion_27.15%22.%22Id_Juzgado_Garant%C3%ADa%22%3D76"/>
        <s v="https://analytics.zoho.com/open-view/2395394000007166659?ZOHO_CRITERIA=%22Trasposicion_27.15%22.%22Id_Juzgado_Garant%C3%ADa%22%3D77"/>
        <s v="https://analytics.zoho.com/open-view/2395394000007166659?ZOHO_CRITERIA=%22Trasposicion_27.15%22.%22Id_Juzgado_Garant%C3%ADa%22%3D78"/>
        <s v="https://analytics.zoho.com/open-view/2395394000007166659?ZOHO_CRITERIA=%22Trasposicion_27.15%22.%22Id_Juzgado_Garant%C3%ADa%22%3D79"/>
        <s v="https://analytics.zoho.com/open-view/2395394000007166659?ZOHO_CRITERIA=%22Trasposicion_27.15%22.%22Id_Juzgado_Garant%C3%ADa%22%3D80"/>
        <s v="https://analytics.zoho.com/open-view/2395394000007166659?ZOHO_CRITERIA=%22Trasposicion_27.15%22.%22Id_Juzgado_Garant%C3%ADa%22%3D81"/>
        <s v="https://analytics.zoho.com/open-view/2395394000007166659?ZOHO_CRITERIA=%22Trasposicion_27.15%22.%22Id_Juzgado_Garant%C3%ADa%22%3D82"/>
        <s v="https://analytics.zoho.com/open-view/2395394000007166623?ZOHO_CRITERIA=%22Trasposicion_27.15%22.%22Id_Juzgado_Garant%C3%ADa%22%3D1"/>
        <s v="https://analytics.zoho.com/open-view/2395394000007166623?ZOHO_CRITERIA=%22Trasposicion_27.15%22.%22Id_Juzgado_Garant%C3%ADa%22%3D2"/>
        <s v="https://analytics.zoho.com/open-view/2395394000007166623?ZOHO_CRITERIA=%22Trasposicion_27.15%22.%22Id_Juzgado_Garant%C3%ADa%22%3D3"/>
        <s v="https://analytics.zoho.com/open-view/2395394000007166623?ZOHO_CRITERIA=%22Trasposicion_27.15%22.%22Id_Juzgado_Garant%C3%ADa%22%3D4"/>
        <s v="https://analytics.zoho.com/open-view/2395394000007166623?ZOHO_CRITERIA=%22Trasposicion_27.15%22.%22Id_Juzgado_Garant%C3%ADa%22%3D5"/>
        <s v="https://analytics.zoho.com/open-view/2395394000007166623?ZOHO_CRITERIA=%22Trasposicion_27.15%22.%22Id_Juzgado_Garant%C3%ADa%22%3D6"/>
        <s v="https://analytics.zoho.com/open-view/2395394000007166623?ZOHO_CRITERIA=%22Trasposicion_27.15%22.%22Id_Juzgado_Garant%C3%ADa%22%3D7"/>
        <s v="https://analytics.zoho.com/open-view/2395394000007166623?ZOHO_CRITERIA=%22Trasposicion_27.15%22.%22Id_Juzgado_Garant%C3%ADa%22%3D8"/>
        <s v="https://analytics.zoho.com/open-view/2395394000007166623?ZOHO_CRITERIA=%22Trasposicion_27.15%22.%22Id_Juzgado_Garant%C3%ADa%22%3D9"/>
        <s v="https://analytics.zoho.com/open-view/2395394000007166623?ZOHO_CRITERIA=%22Trasposicion_27.15%22.%22Id_Juzgado_Garant%C3%ADa%22%3D10"/>
        <s v="https://analytics.zoho.com/open-view/2395394000007166623?ZOHO_CRITERIA=%22Trasposicion_27.15%22.%22Id_Juzgado_Garant%C3%ADa%22%3D11"/>
        <s v="https://analytics.zoho.com/open-view/2395394000007166623?ZOHO_CRITERIA=%22Trasposicion_27.15%22.%22Id_Juzgado_Garant%C3%ADa%22%3D12"/>
        <s v="https://analytics.zoho.com/open-view/2395394000007166623?ZOHO_CRITERIA=%22Trasposicion_27.15%22.%22Id_Juzgado_Garant%C3%ADa%22%3D13"/>
        <s v="https://analytics.zoho.com/open-view/2395394000007166623?ZOHO_CRITERIA=%22Trasposicion_27.15%22.%22Id_Juzgado_Garant%C3%ADa%22%3D14"/>
        <s v="https://analytics.zoho.com/open-view/2395394000007166623?ZOHO_CRITERIA=%22Trasposicion_27.15%22.%22Id_Juzgado_Garant%C3%ADa%22%3D15"/>
        <s v="https://analytics.zoho.com/open-view/2395394000007166623?ZOHO_CRITERIA=%22Trasposicion_27.15%22.%22Id_Juzgado_Garant%C3%ADa%22%3D16"/>
        <s v="https://analytics.zoho.com/open-view/2395394000007166623?ZOHO_CRITERIA=%22Trasposicion_27.15%22.%22Id_Juzgado_Garant%C3%ADa%22%3D17"/>
        <s v="https://analytics.zoho.com/open-view/2395394000007166623?ZOHO_CRITERIA=%22Trasposicion_27.15%22.%22Id_Juzgado_Garant%C3%ADa%22%3D18"/>
        <s v="https://analytics.zoho.com/open-view/2395394000007166623?ZOHO_CRITERIA=%22Trasposicion_27.15%22.%22Id_Juzgado_Garant%C3%ADa%22%3D19"/>
        <s v="https://analytics.zoho.com/open-view/2395394000007166623?ZOHO_CRITERIA=%22Trasposicion_27.15%22.%22Id_Juzgado_Garant%C3%ADa%22%3D20"/>
        <s v="https://analytics.zoho.com/open-view/2395394000007166623?ZOHO_CRITERIA=%22Trasposicion_27.15%22.%22Id_Juzgado_Garant%C3%ADa%22%3D21"/>
        <s v="https://analytics.zoho.com/open-view/2395394000007166623?ZOHO_CRITERIA=%22Trasposicion_27.15%22.%22Id_Juzgado_Garant%C3%ADa%22%3D22"/>
        <s v="https://analytics.zoho.com/open-view/2395394000007166623?ZOHO_CRITERIA=%22Trasposicion_27.15%22.%22Id_Juzgado_Garant%C3%ADa%22%3D23"/>
        <s v="https://analytics.zoho.com/open-view/2395394000007166623?ZOHO_CRITERIA=%22Trasposicion_27.15%22.%22Id_Juzgado_Garant%C3%ADa%22%3D24"/>
        <s v="https://analytics.zoho.com/open-view/2395394000007166623?ZOHO_CRITERIA=%22Trasposicion_27.15%22.%22Id_Juzgado_Garant%C3%ADa%22%3D25"/>
        <s v="https://analytics.zoho.com/open-view/2395394000007166623?ZOHO_CRITERIA=%22Trasposicion_27.15%22.%22Id_Juzgado_Garant%C3%ADa%22%3D26"/>
        <s v="https://analytics.zoho.com/open-view/2395394000007166623?ZOHO_CRITERIA=%22Trasposicion_27.15%22.%22Id_Juzgado_Garant%C3%ADa%22%3D27"/>
        <s v="https://analytics.zoho.com/open-view/2395394000007166623?ZOHO_CRITERIA=%22Trasposicion_27.15%22.%22Id_Juzgado_Garant%C3%ADa%22%3D28"/>
        <s v="https://analytics.zoho.com/open-view/2395394000007166623?ZOHO_CRITERIA=%22Trasposicion_27.15%22.%22Id_Juzgado_Garant%C3%ADa%22%3D29"/>
        <s v="https://analytics.zoho.com/open-view/2395394000007166623?ZOHO_CRITERIA=%22Trasposicion_27.15%22.%22Id_Juzgado_Garant%C3%ADa%22%3D30"/>
        <s v="https://analytics.zoho.com/open-view/2395394000007166623?ZOHO_CRITERIA=%22Trasposicion_27.15%22.%22Id_Juzgado_Garant%C3%ADa%22%3D31"/>
        <s v="https://analytics.zoho.com/open-view/2395394000007166623?ZOHO_CRITERIA=%22Trasposicion_27.15%22.%22Id_Juzgado_Garant%C3%ADa%22%3D32"/>
        <s v="https://analytics.zoho.com/open-view/2395394000007166623?ZOHO_CRITERIA=%22Trasposicion_27.15%22.%22Id_Juzgado_Garant%C3%ADa%22%3D33"/>
        <s v="https://analytics.zoho.com/open-view/2395394000007166623?ZOHO_CRITERIA=%22Trasposicion_27.15%22.%22Id_Juzgado_Garant%C3%ADa%22%3D34"/>
        <s v="https://analytics.zoho.com/open-view/2395394000007166623?ZOHO_CRITERIA=%22Trasposicion_27.15%22.%22Id_Juzgado_Garant%C3%ADa%22%3D35"/>
        <s v="https://analytics.zoho.com/open-view/2395394000007166623?ZOHO_CRITERIA=%22Trasposicion_27.15%22.%22Id_Juzgado_Garant%C3%ADa%22%3D36"/>
        <s v="https://analytics.zoho.com/open-view/2395394000007166623?ZOHO_CRITERIA=%22Trasposicion_27.15%22.%22Id_Juzgado_Garant%C3%ADa%22%3D37"/>
        <s v="https://analytics.zoho.com/open-view/2395394000007166623?ZOHO_CRITERIA=%22Trasposicion_27.15%22.%22Id_Juzgado_Garant%C3%ADa%22%3D38"/>
        <s v="https://analytics.zoho.com/open-view/2395394000007166623?ZOHO_CRITERIA=%22Trasposicion_27.15%22.%22Id_Juzgado_Garant%C3%ADa%22%3D39"/>
        <s v="https://analytics.zoho.com/open-view/2395394000007166623?ZOHO_CRITERIA=%22Trasposicion_27.15%22.%22Id_Juzgado_Garant%C3%ADa%22%3D40"/>
        <s v="https://analytics.zoho.com/open-view/2395394000007166623?ZOHO_CRITERIA=%22Trasposicion_27.15%22.%22Id_Juzgado_Garant%C3%ADa%22%3D41"/>
        <s v="https://analytics.zoho.com/open-view/2395394000007166623?ZOHO_CRITERIA=%22Trasposicion_27.15%22.%22Id_Juzgado_Garant%C3%ADa%22%3D42"/>
        <s v="https://analytics.zoho.com/open-view/2395394000007166623?ZOHO_CRITERIA=%22Trasposicion_27.15%22.%22Id_Juzgado_Garant%C3%ADa%22%3D43"/>
        <s v="https://analytics.zoho.com/open-view/2395394000007166623?ZOHO_CRITERIA=%22Trasposicion_27.15%22.%22Id_Juzgado_Garant%C3%ADa%22%3D44"/>
        <s v="https://analytics.zoho.com/open-view/2395394000007166623?ZOHO_CRITERIA=%22Trasposicion_27.15%22.%22Id_Juzgado_Garant%C3%ADa%22%3D45"/>
        <s v="https://analytics.zoho.com/open-view/2395394000007166623?ZOHO_CRITERIA=%22Trasposicion_27.15%22.%22Id_Juzgado_Garant%C3%ADa%22%3D46"/>
        <s v="https://analytics.zoho.com/open-view/2395394000007166623?ZOHO_CRITERIA=%22Trasposicion_27.15%22.%22Id_Juzgado_Garant%C3%ADa%22%3D47"/>
        <s v="https://analytics.zoho.com/open-view/2395394000007166623?ZOHO_CRITERIA=%22Trasposicion_27.15%22.%22Id_Juzgado_Garant%C3%ADa%22%3D48"/>
        <s v="https://analytics.zoho.com/open-view/2395394000007166623?ZOHO_CRITERIA=%22Trasposicion_27.15%22.%22Id_Juzgado_Garant%C3%ADa%22%3D49"/>
        <s v="https://analytics.zoho.com/open-view/2395394000007166623?ZOHO_CRITERIA=%22Trasposicion_27.15%22.%22Id_Juzgado_Garant%C3%ADa%22%3D50"/>
        <s v="https://analytics.zoho.com/open-view/2395394000007166623?ZOHO_CRITERIA=%22Trasposicion_27.15%22.%22Id_Juzgado_Garant%C3%ADa%22%3D51"/>
        <s v="https://analytics.zoho.com/open-view/2395394000007166623?ZOHO_CRITERIA=%22Trasposicion_27.15%22.%22Id_Juzgado_Garant%C3%ADa%22%3D52"/>
        <s v="https://analytics.zoho.com/open-view/2395394000007166623?ZOHO_CRITERIA=%22Trasposicion_27.15%22.%22Id_Juzgado_Garant%C3%ADa%22%3D53"/>
        <s v="https://analytics.zoho.com/open-view/2395394000007166623?ZOHO_CRITERIA=%22Trasposicion_27.15%22.%22Id_Juzgado_Garant%C3%ADa%22%3D54"/>
        <s v="https://analytics.zoho.com/open-view/2395394000007166623?ZOHO_CRITERIA=%22Trasposicion_27.15%22.%22Id_Juzgado_Garant%C3%ADa%22%3D55"/>
        <s v="https://analytics.zoho.com/open-view/2395394000007166623?ZOHO_CRITERIA=%22Trasposicion_27.15%22.%22Id_Juzgado_Garant%C3%ADa%22%3D56"/>
        <s v="https://analytics.zoho.com/open-view/2395394000007166623?ZOHO_CRITERIA=%22Trasposicion_27.15%22.%22Id_Juzgado_Garant%C3%ADa%22%3D57"/>
        <s v="https://analytics.zoho.com/open-view/2395394000007166623?ZOHO_CRITERIA=%22Trasposicion_27.15%22.%22Id_Juzgado_Garant%C3%ADa%22%3D58"/>
        <s v="https://analytics.zoho.com/open-view/2395394000007166623?ZOHO_CRITERIA=%22Trasposicion_27.15%22.%22Id_Juzgado_Garant%C3%ADa%22%3D59"/>
        <s v="https://analytics.zoho.com/open-view/2395394000007166623?ZOHO_CRITERIA=%22Trasposicion_27.15%22.%22Id_Juzgado_Garant%C3%ADa%22%3D60"/>
        <s v="https://analytics.zoho.com/open-view/2395394000007166623?ZOHO_CRITERIA=%22Trasposicion_27.15%22.%22Id_Juzgado_Garant%C3%ADa%22%3D61"/>
        <s v="https://analytics.zoho.com/open-view/2395394000007166623?ZOHO_CRITERIA=%22Trasposicion_27.15%22.%22Id_Juzgado_Garant%C3%ADa%22%3D62"/>
        <s v="https://analytics.zoho.com/open-view/2395394000007166623?ZOHO_CRITERIA=%22Trasposicion_27.15%22.%22Id_Juzgado_Garant%C3%ADa%22%3D63"/>
        <s v="https://analytics.zoho.com/open-view/2395394000007166623?ZOHO_CRITERIA=%22Trasposicion_27.15%22.%22Id_Juzgado_Garant%C3%ADa%22%3D64"/>
        <s v="https://analytics.zoho.com/open-view/2395394000007166623?ZOHO_CRITERIA=%22Trasposicion_27.15%22.%22Id_Juzgado_Garant%C3%ADa%22%3D65"/>
        <s v="https://analytics.zoho.com/open-view/2395394000007166623?ZOHO_CRITERIA=%22Trasposicion_27.15%22.%22Id_Juzgado_Garant%C3%ADa%22%3D66"/>
        <s v="https://analytics.zoho.com/open-view/2395394000007166623?ZOHO_CRITERIA=%22Trasposicion_27.15%22.%22Id_Juzgado_Garant%C3%ADa%22%3D67"/>
        <s v="https://analytics.zoho.com/open-view/2395394000007166623?ZOHO_CRITERIA=%22Trasposicion_27.15%22.%22Id_Juzgado_Garant%C3%ADa%22%3D68"/>
        <s v="https://analytics.zoho.com/open-view/2395394000007166623?ZOHO_CRITERIA=%22Trasposicion_27.15%22.%22Id_Juzgado_Garant%C3%ADa%22%3D69"/>
        <s v="https://analytics.zoho.com/open-view/2395394000007166623?ZOHO_CRITERIA=%22Trasposicion_27.15%22.%22Id_Juzgado_Garant%C3%ADa%22%3D70"/>
        <s v="https://analytics.zoho.com/open-view/2395394000007166623?ZOHO_CRITERIA=%22Trasposicion_27.15%22.%22Id_Juzgado_Garant%C3%ADa%22%3D71"/>
        <s v="https://analytics.zoho.com/open-view/2395394000007166623?ZOHO_CRITERIA=%22Trasposicion_27.15%22.%22Id_Juzgado_Garant%C3%ADa%22%3D72"/>
        <s v="https://analytics.zoho.com/open-view/2395394000007166623?ZOHO_CRITERIA=%22Trasposicion_27.15%22.%22Id_Juzgado_Garant%C3%ADa%22%3D73"/>
        <s v="https://analytics.zoho.com/open-view/2395394000007166623?ZOHO_CRITERIA=%22Trasposicion_27.15%22.%22Id_Juzgado_Garant%C3%ADa%22%3D74"/>
        <s v="https://analytics.zoho.com/open-view/2395394000007166623?ZOHO_CRITERIA=%22Trasposicion_27.15%22.%22Id_Juzgado_Garant%C3%ADa%22%3D75"/>
        <s v="https://analytics.zoho.com/open-view/2395394000007166623?ZOHO_CRITERIA=%22Trasposicion_27.15%22.%22Id_Juzgado_Garant%C3%ADa%22%3D76"/>
        <s v="https://analytics.zoho.com/open-view/2395394000007166623?ZOHO_CRITERIA=%22Trasposicion_27.15%22.%22Id_Juzgado_Garant%C3%ADa%22%3D77"/>
        <s v="https://analytics.zoho.com/open-view/2395394000007166623?ZOHO_CRITERIA=%22Trasposicion_27.15%22.%22Id_Juzgado_Garant%C3%ADa%22%3D78"/>
        <s v="https://analytics.zoho.com/open-view/2395394000007166623?ZOHO_CRITERIA=%22Trasposicion_27.15%22.%22Id_Juzgado_Garant%C3%ADa%22%3D79"/>
        <s v="https://analytics.zoho.com/open-view/2395394000007166623?ZOHO_CRITERIA=%22Trasposicion_27.15%22.%22Id_Juzgado_Garant%C3%ADa%22%3D80"/>
        <s v="https://analytics.zoho.com/open-view/2395394000007166623?ZOHO_CRITERIA=%22Trasposicion_27.15%22.%22Id_Juzgado_Garant%C3%ADa%22%3D81"/>
        <s v="https://analytics.zoho.com/open-view/2395394000007166623?ZOHO_CRITERIA=%22Trasposicion_27.15%22.%22Id_Juzgado_Garant%C3%ADa%22%3D82"/>
        <s v="https://analytics.zoho.com/open-view/2395394000007166583?ZOHO_CRITERIA=%22Trasposicion_27.15%22.%22Id_Categor%C3%ADa%22%3D270102004"/>
        <s v="https://analytics.zoho.com/open-view/2395394000007166583?ZOHO_CRITERIA=%22Trasposicion_27.15%22.%22Id_Categor%C3%ADa%22%3D270102005"/>
        <s v="https://analytics.zoho.com/open-view/2395394000007166583?ZOHO_CRITERIA=%22Trasposicion_27.15%22.%22Id_Categor%C3%ADa%22%3D270102006"/>
        <s v="https://analytics.zoho.com/open-view/2395394000007166583?ZOHO_CRITERIA=%22Trasposicion_27.15%22.%22Id_Categor%C3%ADa%22%3D270102007"/>
        <s v="https://analytics.zoho.com/open-view/2395394000007166583?ZOHO_CRITERIA=%22Trasposicion_27.15%22.%22Id_Categor%C3%ADa%22%3D270102008"/>
        <s v="https://analytics.zoho.com/open-view/2395394000007166583?ZOHO_CRITERIA=%22Trasposicion_27.15%22.%22Id_Categor%C3%ADa%22%3D270102009"/>
        <s v="https://analytics.zoho.com/open-view/2395394000007166583?ZOHO_CRITERIA=%22Trasposicion_27.15%22.%22Id_Categor%C3%ADa%22%3D270102010"/>
        <s v="https://analytics.zoho.com/open-view/2395394000007166547?ZOHO_CRITERIA=%22Trasposicion_27.15%22.%22Id_Categor%C3%ADa%22%3D270102004"/>
        <s v="https://analytics.zoho.com/open-view/2395394000007166547?ZOHO_CRITERIA=%22Trasposicion_27.15%22.%22Id_Categor%C3%ADa%22%3D270102005"/>
        <s v="https://analytics.zoho.com/open-view/2395394000007166547?ZOHO_CRITERIA=%22Trasposicion_27.15%22.%22Id_Categor%C3%ADa%22%3D270102006"/>
        <s v="https://analytics.zoho.com/open-view/2395394000007166547?ZOHO_CRITERIA=%22Trasposicion_27.15%22.%22Id_Categor%C3%ADa%22%3D270102007"/>
        <s v="https://analytics.zoho.com/open-view/2395394000007166547?ZOHO_CRITERIA=%22Trasposicion_27.15%22.%22Id_Categor%C3%ADa%22%3D270102008"/>
        <s v="https://analytics.zoho.com/open-view/2395394000007166547?ZOHO_CRITERIA=%22Trasposicion_27.15%22.%22Id_Categor%C3%ADa%22%3D270102009"/>
        <s v="https://analytics.zoho.com/open-view/2395394000007166547?ZOHO_CRITERIA=%22Trasposicion_27.15%22.%22Id_Categor%C3%ADa%22%3D270102010"/>
        <s v="https://analytics.zoho.com/open-view/2395394000007166500?ZOHO_CRITERIA=%22Localiza%20CL%22.%22Codreg%22%3D1"/>
        <s v="https://analytics.zoho.com/open-view/2395394000007166500?ZOHO_CRITERIA=%22Localiza%20CL%22.%22Codreg%22%3D2"/>
        <s v="https://analytics.zoho.com/open-view/2395394000007166500?ZOHO_CRITERIA=%22Localiza%20CL%22.%22Codreg%22%3D3"/>
        <s v="https://analytics.zoho.com/open-view/2395394000007166500?ZOHO_CRITERIA=%22Localiza%20CL%22.%22Codreg%22%3D4"/>
        <s v="https://analytics.zoho.com/open-view/2395394000007166500?ZOHO_CRITERIA=%22Localiza%20CL%22.%22Codreg%22%3D5"/>
        <s v="https://analytics.zoho.com/open-view/2395394000007166500?ZOHO_CRITERIA=%22Localiza%20CL%22.%22Codreg%22%3D6"/>
        <s v="https://analytics.zoho.com/open-view/2395394000007166500?ZOHO_CRITERIA=%22Localiza%20CL%22.%22Codreg%22%3D7"/>
        <s v="https://analytics.zoho.com/open-view/2395394000007166500?ZOHO_CRITERIA=%22Localiza%20CL%22.%22Codreg%22%3D8"/>
        <s v="https://analytics.zoho.com/open-view/2395394000007166500?ZOHO_CRITERIA=%22Localiza%20CL%22.%22Codreg%22%3D9"/>
        <s v="https://analytics.zoho.com/open-view/2395394000007166500?ZOHO_CRITERIA=%22Localiza%20CL%22.%22Codreg%22%3D10"/>
        <s v="https://analytics.zoho.com/open-view/2395394000007166500?ZOHO_CRITERIA=%22Localiza%20CL%22.%22Codreg%22%3D11"/>
        <s v="https://analytics.zoho.com/open-view/2395394000007166500?ZOHO_CRITERIA=%22Localiza%20CL%22.%22Codreg%22%3D12"/>
        <s v="https://analytics.zoho.com/open-view/2395394000007166500?ZOHO_CRITERIA=%22Localiza%20CL%22.%22Codreg%22%3D13"/>
        <s v="https://analytics.zoho.com/open-view/2395394000007166500?ZOHO_CRITERIA=%22Localiza%20CL%22.%22Codreg%22%3D14"/>
        <s v="https://analytics.zoho.com/open-view/2395394000007166500?ZOHO_CRITERIA=%22Localiza%20CL%22.%22Codreg%22%3D15"/>
        <s v="https://analytics.zoho.com/open-view/2395394000007166500?ZOHO_CRITERIA=%22Localiza%20CL%22.%22Codreg%22%3D16"/>
        <s v="https://analytics.zoho.com/open-view/2395394000007166460?ZOHO_CRITERIA=%22Localiza%20CL%22.%22Codreg%22%3D1"/>
        <s v="https://analytics.zoho.com/open-view/2395394000007166460?ZOHO_CRITERIA=%22Localiza%20CL%22.%22Codreg%22%3D2"/>
        <s v="https://analytics.zoho.com/open-view/2395394000007166460?ZOHO_CRITERIA=%22Localiza%20CL%22.%22Codreg%22%3D3"/>
        <s v="https://analytics.zoho.com/open-view/2395394000007166460?ZOHO_CRITERIA=%22Localiza%20CL%22.%22Codreg%22%3D4"/>
        <s v="https://analytics.zoho.com/open-view/2395394000007166460?ZOHO_CRITERIA=%22Localiza%20CL%22.%22Codreg%22%3D5"/>
        <s v="https://analytics.zoho.com/open-view/2395394000007166460?ZOHO_CRITERIA=%22Localiza%20CL%22.%22Codreg%22%3D6"/>
        <s v="https://analytics.zoho.com/open-view/2395394000007166460?ZOHO_CRITERIA=%22Localiza%20CL%22.%22Codreg%22%3D7"/>
        <s v="https://analytics.zoho.com/open-view/2395394000007166460?ZOHO_CRITERIA=%22Localiza%20CL%22.%22Codreg%22%3D8"/>
        <s v="https://analytics.zoho.com/open-view/2395394000007166460?ZOHO_CRITERIA=%22Localiza%20CL%22.%22Codreg%22%3D9"/>
        <s v="https://analytics.zoho.com/open-view/2395394000007166460?ZOHO_CRITERIA=%22Localiza%20CL%22.%22Codreg%22%3D10"/>
        <s v="https://analytics.zoho.com/open-view/2395394000007166460?ZOHO_CRITERIA=%22Localiza%20CL%22.%22Codreg%22%3D11"/>
        <s v="https://analytics.zoho.com/open-view/2395394000007166460?ZOHO_CRITERIA=%22Localiza%20CL%22.%22Codreg%22%3D12"/>
        <s v="https://analytics.zoho.com/open-view/2395394000007166460?ZOHO_CRITERIA=%22Localiza%20CL%22.%22Codreg%22%3D13"/>
        <s v="https://analytics.zoho.com/open-view/2395394000007166460?ZOHO_CRITERIA=%22Localiza%20CL%22.%22Codreg%22%3D14"/>
        <s v="https://analytics.zoho.com/open-view/2395394000007166460?ZOHO_CRITERIA=%22Localiza%20CL%22.%22Codreg%22%3D15"/>
        <s v="https://analytics.zoho.com/open-view/2395394000007166460?ZOHO_CRITERIA=%22Localiza%20CL%22.%22Codreg%22%3D16"/>
        <s v="https://analytics.zoho.com/open-view/2395394000007166420?ZOHO_CRITERIA=%22Localiza%20CL%22.%22Codreg%22%3D1"/>
        <s v="https://analytics.zoho.com/open-view/2395394000007166420?ZOHO_CRITERIA=%22Localiza%20CL%22.%22Codreg%22%3D2"/>
        <s v="https://analytics.zoho.com/open-view/2395394000007166420?ZOHO_CRITERIA=%22Localiza%20CL%22.%22Codreg%22%3D3"/>
        <s v="https://analytics.zoho.com/open-view/2395394000007166420?ZOHO_CRITERIA=%22Localiza%20CL%22.%22Codreg%22%3D4"/>
        <s v="https://analytics.zoho.com/open-view/2395394000007166420?ZOHO_CRITERIA=%22Localiza%20CL%22.%22Codreg%22%3D5"/>
        <s v="https://analytics.zoho.com/open-view/2395394000007166420?ZOHO_CRITERIA=%22Localiza%20CL%22.%22Codreg%22%3D6"/>
        <s v="https://analytics.zoho.com/open-view/2395394000007166420?ZOHO_CRITERIA=%22Localiza%20CL%22.%22Codreg%22%3D7"/>
        <s v="https://analytics.zoho.com/open-view/2395394000007166420?ZOHO_CRITERIA=%22Localiza%20CL%22.%22Codreg%22%3D8"/>
        <s v="https://analytics.zoho.com/open-view/2395394000007166420?ZOHO_CRITERIA=%22Localiza%20CL%22.%22Codreg%22%3D9"/>
        <s v="https://analytics.zoho.com/open-view/2395394000007166420?ZOHO_CRITERIA=%22Localiza%20CL%22.%22Codreg%22%3D10"/>
        <s v="https://analytics.zoho.com/open-view/2395394000007166420?ZOHO_CRITERIA=%22Localiza%20CL%22.%22Codreg%22%3D11"/>
        <s v="https://analytics.zoho.com/open-view/2395394000007166420?ZOHO_CRITERIA=%22Localiza%20CL%22.%22Codreg%22%3D12"/>
        <s v="https://analytics.zoho.com/open-view/2395394000007166420?ZOHO_CRITERIA=%22Localiza%20CL%22.%22Codreg%22%3D13"/>
        <s v="https://analytics.zoho.com/open-view/2395394000007166420?ZOHO_CRITERIA=%22Localiza%20CL%22.%22Codreg%22%3D14"/>
        <s v="https://analytics.zoho.com/open-view/2395394000007166420?ZOHO_CRITERIA=%22Localiza%20CL%22.%22Codreg%22%3D15"/>
        <s v="https://analytics.zoho.com/open-view/2395394000007166420?ZOHO_CRITERIA=%22Localiza%20CL%22.%22Codreg%22%3D16"/>
        <s v="https://analytics.zoho.com/open-view/2395394000007166376?ZOHO_CRITERIA=%22Trasposicion_27.15%22.%22Id_Categor%C3%ADa%22%3D270102004"/>
        <s v="https://analytics.zoho.com/open-view/2395394000007166376?ZOHO_CRITERIA=%22Trasposicion_27.15%22.%22Id_Categor%C3%ADa%22%3D270102005"/>
        <s v="https://analytics.zoho.com/open-view/2395394000007166376?ZOHO_CRITERIA=%22Trasposicion_27.15%22.%22Id_Categor%C3%ADa%22%3D270102006"/>
        <s v="https://analytics.zoho.com/open-view/2395394000007166376?ZOHO_CRITERIA=%22Trasposicion_27.15%22.%22Id_Categor%C3%ADa%22%3D270102007"/>
        <s v="https://analytics.zoho.com/open-view/2395394000007166376?ZOHO_CRITERIA=%22Trasposicion_27.15%22.%22Id_Categor%C3%ADa%22%3D270102008"/>
        <s v="https://analytics.zoho.com/open-view/2395394000007166376?ZOHO_CRITERIA=%22Trasposicion_27.15%22.%22Id_Categor%C3%ADa%22%3D270102009"/>
        <s v="https://analytics.zoho.com/open-view/2395394000007166376?ZOHO_CRITERIA=%22Trasposicion_27.15%22.%22Id_Categor%C3%ADa%22%3D270102010"/>
        <s v="https://analytics.zoho.com/open-view/2395394000007166376?ZOHO_CRITERIA=%22Trasposicion_27.15%22.%22Id_Categor%C3%ADa%22%3D270102016"/>
        <s v="https://analytics.zoho.com/open-view/2395394000007166336?ZOHO_CRITERIA=%22Trasposicion_27.15%22.%22Id_Categor%C3%ADa%22%3D270102004"/>
        <s v="https://analytics.zoho.com/open-view/2395394000007166336?ZOHO_CRITERIA=%22Trasposicion_27.15%22.%22Id_Categor%C3%ADa%22%3D270102005"/>
        <s v="https://analytics.zoho.com/open-view/2395394000007166336?ZOHO_CRITERIA=%22Trasposicion_27.15%22.%22Id_Categor%C3%ADa%22%3D270102006"/>
        <s v="https://analytics.zoho.com/open-view/2395394000007166336?ZOHO_CRITERIA=%22Trasposicion_27.15%22.%22Id_Categor%C3%ADa%22%3D270102007"/>
        <s v="https://analytics.zoho.com/open-view/2395394000007166336?ZOHO_CRITERIA=%22Trasposicion_27.15%22.%22Id_Categor%C3%ADa%22%3D270102008"/>
        <s v="https://analytics.zoho.com/open-view/2395394000007166336?ZOHO_CRITERIA=%22Trasposicion_27.15%22.%22Id_Categor%C3%ADa%22%3D270102009"/>
        <s v="https://analytics.zoho.com/open-view/2395394000007166336?ZOHO_CRITERIA=%22Trasposicion_27.15%22.%22Id_Categor%C3%ADa%22%3D270102010"/>
        <s v="https://analytics.zoho.com/open-view/2395394000007166336?ZOHO_CRITERIA=%22Trasposicion_27.15%22.%22Id_Categor%C3%ADa%22%3D270102016"/>
        <s v="https://analytics.zoho.com/open-view/2395394000007166300?ZOHO_CRITERIA=%22Trasposicion_27.15%22.%22Id_Categor%C3%ADa%22%20%3D%20270102003"/>
        <s v="https://analytics.zoho.com/open-view/2395394000007166300?ZOHO_CRITERIA=%22Trasposicion_27.15%22.%22Id_Categor%C3%ADa%22%20%3D%20270102004"/>
        <s v="https://analytics.zoho.com/open-view/2395394000007166300?ZOHO_CRITERIA=%22Trasposicion_27.15%22.%22Id_Categor%C3%ADa%22%20%3D%20270102005"/>
        <s v="https://analytics.zoho.com/open-view/2395394000007166300?ZOHO_CRITERIA=%22Trasposicion_27.15%22.%22Id_Categor%C3%ADa%22%20%3D%20270102006"/>
        <s v="https://analytics.zoho.com/open-view/2395394000007166300?ZOHO_CRITERIA=%22Trasposicion_27.15%22.%22Id_Categor%C3%ADa%22%20%3D%20270102007"/>
        <s v="https://analytics.zoho.com/open-view/2395394000007166300?ZOHO_CRITERIA=%22Trasposicion_27.15%22.%22Id_Categor%C3%ADa%22%20%3D%20270102008"/>
        <s v="https://analytics.zoho.com/open-view/2395394000007166300?ZOHO_CRITERIA=%22Trasposicion_27.15%22.%22Id_Categor%C3%ADa%22%20%3D%20270102009"/>
        <s v="https://analytics.zoho.com/open-view/2395394000007166300?ZOHO_CRITERIA=%22Trasposicion_27.15%22.%22Id_Categor%C3%ADa%22%20%3D%20270102010"/>
        <s v="https://analytics.zoho.com/open-view/2395394000007166300?ZOHO_CRITERIA=%22Trasposicion_27.15%22.%22Id_Categor%C3%ADa%22%20%3D%20270102016"/>
        <s v="https://analytics.zoho.com/open-view/2395394000007166258?ZOHO_CRITERIA=%22Trasposicion_27.15%22.%22Id_Categor%C3%ADa%22%3D270102005"/>
        <s v="https://analytics.zoho.com/open-view/2395394000007166258?ZOHO_CRITERIA=%22Trasposicion_27.15%22.%22Id_Categor%C3%ADa%22%3D270102006"/>
        <s v="https://analytics.zoho.com/open-view/2395394000007166258?ZOHO_CRITERIA=%22Trasposicion_27.15%22.%22Id_Categor%C3%ADa%22%3D270102007"/>
        <s v="https://analytics.zoho.com/open-view/2395394000007166258?ZOHO_CRITERIA=%22Trasposicion_27.15%22.%22Id_Categor%C3%ADa%22%3D270102008"/>
        <s v="https://analytics.zoho.com/open-view/2395394000007166258?ZOHO_CRITERIA=%22Trasposicion_27.15%22.%22Id_Categor%C3%ADa%22%3D270102009"/>
        <s v="https://analytics.zoho.com/open-view/2395394000007166258?ZOHO_CRITERIA=%22Trasposicion_27.15%22.%22Id_Categor%C3%ADa%22%3D270102010"/>
        <s v="https://analytics.zoho.com/open-view/2395394000007166258?ZOHO_CRITERIA=%22Trasposicion_27.15%22.%22Id_Categor%C3%ADa%22%3D270102016"/>
        <s v="https://analytics.zoho.com/open-view/2395394000007166300"/>
        <s v="https://analytics.zoho.com/open-view/2395394000007166258"/>
        <s v="https://analytics.zoho.com/open-view/2395394000007158043?ZOHO_CRITERIA=%22Trasposicion_27.16%22.%22Id_Producto%22%3D270103"/>
        <s v="https://analytics.zoho.com/open-view/2395394000007158043?ZOHO_CRITERIA=%22Trasposicion_27.16%22.%22Id_Producto%22%3D270104"/>
        <s v="https://analytics.zoho.com/open-view/2395394000007158043?ZOHO_CRITERIA=%22Trasposicion_27.16%22.%22Id_Producto%22%3D270105"/>
        <s v="https://analytics.zoho.com/open-view/2395394000007118833?ZOHO_CRITERIA=%22Localiza%20CL%22.%22Codreg%22%3D1"/>
        <s v="https://analytics.zoho.com/open-view/2395394000007118833?ZOHO_CRITERIA=%22Localiza%20CL%22.%22Codreg%22%3D2"/>
        <s v="https://analytics.zoho.com/open-view/2395394000007118833?ZOHO_CRITERIA=%22Localiza%20CL%22.%22Codreg%22%3D3"/>
        <s v="https://analytics.zoho.com/open-view/2395394000007118833?ZOHO_CRITERIA=%22Localiza%20CL%22.%22Codreg%22%3D4"/>
        <s v="https://analytics.zoho.com/open-view/2395394000007118833?ZOHO_CRITERIA=%22Localiza%20CL%22.%22Codreg%22%3D5"/>
        <s v="https://analytics.zoho.com/open-view/2395394000007118833?ZOHO_CRITERIA=%22Localiza%20CL%22.%22Codreg%22%3D6"/>
        <s v="https://analytics.zoho.com/open-view/2395394000007118833?ZOHO_CRITERIA=%22Localiza%20CL%22.%22Codreg%22%3D7"/>
        <s v="https://analytics.zoho.com/open-view/2395394000007118833?ZOHO_CRITERIA=%22Localiza%20CL%22.%22Codreg%22%3D8"/>
        <s v="https://analytics.zoho.com/open-view/2395394000007118833?ZOHO_CRITERIA=%22Localiza%20CL%22.%22Codreg%22%3D9"/>
        <s v="https://analytics.zoho.com/open-view/2395394000007118833?ZOHO_CRITERIA=%22Localiza%20CL%22.%22Codreg%22%3D10"/>
        <s v="https://analytics.zoho.com/open-view/2395394000007118833?ZOHO_CRITERIA=%22Localiza%20CL%22.%22Codreg%22%3D11"/>
        <s v="https://analytics.zoho.com/open-view/2395394000007118833?ZOHO_CRITERIA=%22Localiza%20CL%22.%22Codreg%22%3D12"/>
        <s v="https://analytics.zoho.com/open-view/2395394000007118833?ZOHO_CRITERIA=%22Localiza%20CL%22.%22Codreg%22%3D13"/>
        <s v="https://analytics.zoho.com/open-view/2395394000007118833?ZOHO_CRITERIA=%22Localiza%20CL%22.%22Codreg%22%3D14"/>
        <s v="https://analytics.zoho.com/open-view/2395394000007118833?ZOHO_CRITERIA=%22Localiza%20CL%22.%22Codreg%22%3D15"/>
        <s v="https://analytics.zoho.com/open-view/2395394000007118833?ZOHO_CRITERIA=%22Localiza%20CL%22.%22Codreg%22%3D16"/>
        <s v="https://analytics.zoho.com/open-view/2395394000007130196?ZOHO_CRITERIA=%22Localiza%20CL%22.%22Codreg%22%3D1"/>
        <s v="https://analytics.zoho.com/open-view/2395394000007130196?ZOHO_CRITERIA=%22Localiza%20CL%22.%22Codreg%22%3D2"/>
        <s v="https://analytics.zoho.com/open-view/2395394000007130196?ZOHO_CRITERIA=%22Localiza%20CL%22.%22Codreg%22%3D3"/>
        <s v="https://analytics.zoho.com/open-view/2395394000007130196?ZOHO_CRITERIA=%22Localiza%20CL%22.%22Codreg%22%3D4"/>
        <s v="https://analytics.zoho.com/open-view/2395394000007130196?ZOHO_CRITERIA=%22Localiza%20CL%22.%22Codreg%22%3D5"/>
        <s v="https://analytics.zoho.com/open-view/2395394000007130196?ZOHO_CRITERIA=%22Localiza%20CL%22.%22Codreg%22%3D6"/>
        <s v="https://analytics.zoho.com/open-view/2395394000007130196?ZOHO_CRITERIA=%22Localiza%20CL%22.%22Codreg%22%3D7"/>
        <s v="https://analytics.zoho.com/open-view/2395394000007130196?ZOHO_CRITERIA=%22Localiza%20CL%22.%22Codreg%22%3D8"/>
        <s v="https://analytics.zoho.com/open-view/2395394000007130196?ZOHO_CRITERIA=%22Localiza%20CL%22.%22Codreg%22%3D9"/>
        <s v="https://analytics.zoho.com/open-view/2395394000007130196?ZOHO_CRITERIA=%22Localiza%20CL%22.%22Codreg%22%3D10"/>
        <s v="https://analytics.zoho.com/open-view/2395394000007130196?ZOHO_CRITERIA=%22Localiza%20CL%22.%22Codreg%22%3D11"/>
        <s v="https://analytics.zoho.com/open-view/2395394000007130196?ZOHO_CRITERIA=%22Localiza%20CL%22.%22Codreg%22%3D12"/>
        <s v="https://analytics.zoho.com/open-view/2395394000007130196?ZOHO_CRITERIA=%22Localiza%20CL%22.%22Codreg%22%3D13"/>
        <s v="https://analytics.zoho.com/open-view/2395394000007130196?ZOHO_CRITERIA=%22Localiza%20CL%22.%22Codreg%22%3D14"/>
        <s v="https://analytics.zoho.com/open-view/2395394000007130196?ZOHO_CRITERIA=%22Localiza%20CL%22.%22Codreg%22%3D15"/>
        <s v="https://analytics.zoho.com/open-view/2395394000007130196?ZOHO_CRITERIA=%22Localiza%20CL%22.%22Codreg%22%3D16"/>
        <s v="https://analytics.zoho.com/open-view/2395394000007158003?ZOHO_CRITERIA=%22Localiza%20CL%22.%22Codreg%22%3D1"/>
        <s v="https://analytics.zoho.com/open-view/2395394000007158003?ZOHO_CRITERIA=%22Localiza%20CL%22.%22Codreg%22%3D2"/>
        <s v="https://analytics.zoho.com/open-view/2395394000007158003?ZOHO_CRITERIA=%22Localiza%20CL%22.%22Codreg%22%3D3"/>
        <s v="https://analytics.zoho.com/open-view/2395394000007158003?ZOHO_CRITERIA=%22Localiza%20CL%22.%22Codreg%22%3D4"/>
        <s v="https://analytics.zoho.com/open-view/2395394000007158003?ZOHO_CRITERIA=%22Localiza%20CL%22.%22Codreg%22%3D5"/>
        <s v="https://analytics.zoho.com/open-view/2395394000007158003?ZOHO_CRITERIA=%22Localiza%20CL%22.%22Codreg%22%3D6"/>
        <s v="https://analytics.zoho.com/open-view/2395394000007158003?ZOHO_CRITERIA=%22Localiza%20CL%22.%22Codreg%22%3D7"/>
        <s v="https://analytics.zoho.com/open-view/2395394000007158003?ZOHO_CRITERIA=%22Localiza%20CL%22.%22Codreg%22%3D8"/>
        <s v="https://analytics.zoho.com/open-view/2395394000007158003?ZOHO_CRITERIA=%22Localiza%20CL%22.%22Codreg%22%3D9"/>
        <s v="https://analytics.zoho.com/open-view/2395394000007158003?ZOHO_CRITERIA=%22Localiza%20CL%22.%22Codreg%22%3D10"/>
        <s v="https://analytics.zoho.com/open-view/2395394000007158003?ZOHO_CRITERIA=%22Localiza%20CL%22.%22Codreg%22%3D11"/>
        <s v="https://analytics.zoho.com/open-view/2395394000007158003?ZOHO_CRITERIA=%22Localiza%20CL%22.%22Codreg%22%3D12"/>
        <s v="https://analytics.zoho.com/open-view/2395394000007158003?ZOHO_CRITERIA=%22Localiza%20CL%22.%22Codreg%22%3D13"/>
        <s v="https://analytics.zoho.com/open-view/2395394000007158003?ZOHO_CRITERIA=%22Localiza%20CL%22.%22Codreg%22%3D14"/>
        <s v="https://analytics.zoho.com/open-view/2395394000007158003?ZOHO_CRITERIA=%22Localiza%20CL%22.%22Codreg%22%3D15"/>
        <s v="https://analytics.zoho.com/open-view/2395394000007158003?ZOHO_CRITERIA=%22Localiza%20CL%22.%22Codreg%22%3D16"/>
        <s v="https://analytics.zoho.com/open-view/2395394000007158163?ZOHO_CRITERIA=%22Trasposicion_27.16%22.%22Id_Juzgado_Garant%C3%ADa%22%3D1"/>
        <s v="https://analytics.zoho.com/open-view/2395394000007158163?ZOHO_CRITERIA=%22Trasposicion_27.16%22.%22Id_Juzgado_Garant%C3%ADa%22%3D2"/>
        <s v="https://analytics.zoho.com/open-view/2395394000007158163?ZOHO_CRITERIA=%22Trasposicion_27.16%22.%22Id_Juzgado_Garant%C3%ADa%22%3D3"/>
        <s v="https://analytics.zoho.com/open-view/2395394000007158163?ZOHO_CRITERIA=%22Trasposicion_27.16%22.%22Id_Juzgado_Garant%C3%ADa%22%3D4"/>
        <s v="https://analytics.zoho.com/open-view/2395394000007158163?ZOHO_CRITERIA=%22Trasposicion_27.16%22.%22Id_Juzgado_Garant%C3%ADa%22%3D5"/>
        <s v="https://analytics.zoho.com/open-view/2395394000007158163?ZOHO_CRITERIA=%22Trasposicion_27.16%22.%22Id_Juzgado_Garant%C3%ADa%22%3D6"/>
        <s v="https://analytics.zoho.com/open-view/2395394000007158163?ZOHO_CRITERIA=%22Trasposicion_27.16%22.%22Id_Juzgado_Garant%C3%ADa%22%3D7"/>
        <s v="https://analytics.zoho.com/open-view/2395394000007158163?ZOHO_CRITERIA=%22Trasposicion_27.16%22.%22Id_Juzgado_Garant%C3%ADa%22%3D8"/>
        <s v="https://analytics.zoho.com/open-view/2395394000007158163?ZOHO_CRITERIA=%22Trasposicion_27.16%22.%22Id_Juzgado_Garant%C3%ADa%22%3D9"/>
        <s v="https://analytics.zoho.com/open-view/2395394000007158163?ZOHO_CRITERIA=%22Trasposicion_27.16%22.%22Id_Juzgado_Garant%C3%ADa%22%3D10"/>
        <s v="https://analytics.zoho.com/open-view/2395394000007158163?ZOHO_CRITERIA=%22Trasposicion_27.16%22.%22Id_Juzgado_Garant%C3%ADa%22%3D11"/>
        <s v="https://analytics.zoho.com/open-view/2395394000007158163?ZOHO_CRITERIA=%22Trasposicion_27.16%22.%22Id_Juzgado_Garant%C3%ADa%22%3D12"/>
        <s v="https://analytics.zoho.com/open-view/2395394000007158163?ZOHO_CRITERIA=%22Trasposicion_27.16%22.%22Id_Juzgado_Garant%C3%ADa%22%3D13"/>
        <s v="https://analytics.zoho.com/open-view/2395394000007158163?ZOHO_CRITERIA=%22Trasposicion_27.16%22.%22Id_Juzgado_Garant%C3%ADa%22%3D14"/>
        <s v="https://analytics.zoho.com/open-view/2395394000007158163?ZOHO_CRITERIA=%22Trasposicion_27.16%22.%22Id_Juzgado_Garant%C3%ADa%22%3D15"/>
        <s v="https://analytics.zoho.com/open-view/2395394000007158163?ZOHO_CRITERIA=%22Trasposicion_27.16%22.%22Id_Juzgado_Garant%C3%ADa%22%3D16"/>
        <s v="https://analytics.zoho.com/open-view/2395394000007158163?ZOHO_CRITERIA=%22Trasposicion_27.16%22.%22Id_Juzgado_Garant%C3%ADa%22%3D17"/>
        <s v="https://analytics.zoho.com/open-view/2395394000007158163?ZOHO_CRITERIA=%22Trasposicion_27.16%22.%22Id_Juzgado_Garant%C3%ADa%22%3D18"/>
        <s v="https://analytics.zoho.com/open-view/2395394000007158163?ZOHO_CRITERIA=%22Trasposicion_27.16%22.%22Id_Juzgado_Garant%C3%ADa%22%3D19"/>
        <s v="https://analytics.zoho.com/open-view/2395394000007158163?ZOHO_CRITERIA=%22Trasposicion_27.16%22.%22Id_Juzgado_Garant%C3%ADa%22%3D20"/>
        <s v="https://analytics.zoho.com/open-view/2395394000007158163?ZOHO_CRITERIA=%22Trasposicion_27.16%22.%22Id_Juzgado_Garant%C3%ADa%22%3D21"/>
        <s v="https://analytics.zoho.com/open-view/2395394000007158163?ZOHO_CRITERIA=%22Trasposicion_27.16%22.%22Id_Juzgado_Garant%C3%ADa%22%3D22"/>
        <s v="https://analytics.zoho.com/open-view/2395394000007158163?ZOHO_CRITERIA=%22Trasposicion_27.16%22.%22Id_Juzgado_Garant%C3%ADa%22%3D23"/>
        <s v="https://analytics.zoho.com/open-view/2395394000007158163?ZOHO_CRITERIA=%22Trasposicion_27.16%22.%22Id_Juzgado_Garant%C3%ADa%22%3D24"/>
        <s v="https://analytics.zoho.com/open-view/2395394000007158163?ZOHO_CRITERIA=%22Trasposicion_27.16%22.%22Id_Juzgado_Garant%C3%ADa%22%3D25"/>
        <s v="https://analytics.zoho.com/open-view/2395394000007158163?ZOHO_CRITERIA=%22Trasposicion_27.16%22.%22Id_Juzgado_Garant%C3%ADa%22%3D26"/>
        <s v="https://analytics.zoho.com/open-view/2395394000007158163?ZOHO_CRITERIA=%22Trasposicion_27.16%22.%22Id_Juzgado_Garant%C3%ADa%22%3D27"/>
        <s v="https://analytics.zoho.com/open-view/2395394000007158163?ZOHO_CRITERIA=%22Trasposicion_27.16%22.%22Id_Juzgado_Garant%C3%ADa%22%3D28"/>
        <s v="https://analytics.zoho.com/open-view/2395394000007158163?ZOHO_CRITERIA=%22Trasposicion_27.16%22.%22Id_Juzgado_Garant%C3%ADa%22%3D29"/>
        <s v="https://analytics.zoho.com/open-view/2395394000007158163?ZOHO_CRITERIA=%22Trasposicion_27.16%22.%22Id_Juzgado_Garant%C3%ADa%22%3D30"/>
        <s v="https://analytics.zoho.com/open-view/2395394000007158163?ZOHO_CRITERIA=%22Trasposicion_27.16%22.%22Id_Juzgado_Garant%C3%ADa%22%3D31"/>
        <s v="https://analytics.zoho.com/open-view/2395394000007158163?ZOHO_CRITERIA=%22Trasposicion_27.16%22.%22Id_Juzgado_Garant%C3%ADa%22%3D32"/>
        <s v="https://analytics.zoho.com/open-view/2395394000007158163?ZOHO_CRITERIA=%22Trasposicion_27.16%22.%22Id_Juzgado_Garant%C3%ADa%22%3D33"/>
        <s v="https://analytics.zoho.com/open-view/2395394000007158163?ZOHO_CRITERIA=%22Trasposicion_27.16%22.%22Id_Juzgado_Garant%C3%ADa%22%3D34"/>
        <s v="https://analytics.zoho.com/open-view/2395394000007158163?ZOHO_CRITERIA=%22Trasposicion_27.16%22.%22Id_Juzgado_Garant%C3%ADa%22%3D35"/>
        <s v="https://analytics.zoho.com/open-view/2395394000007158163?ZOHO_CRITERIA=%22Trasposicion_27.16%22.%22Id_Juzgado_Garant%C3%ADa%22%3D36"/>
        <s v="https://analytics.zoho.com/open-view/2395394000007158163?ZOHO_CRITERIA=%22Trasposicion_27.16%22.%22Id_Juzgado_Garant%C3%ADa%22%3D37"/>
        <s v="https://analytics.zoho.com/open-view/2395394000007158163?ZOHO_CRITERIA=%22Trasposicion_27.16%22.%22Id_Juzgado_Garant%C3%ADa%22%3D38"/>
        <s v="https://analytics.zoho.com/open-view/2395394000007158163?ZOHO_CRITERIA=%22Trasposicion_27.16%22.%22Id_Juzgado_Garant%C3%ADa%22%3D39"/>
        <s v="https://analytics.zoho.com/open-view/2395394000007158163?ZOHO_CRITERIA=%22Trasposicion_27.16%22.%22Id_Juzgado_Garant%C3%ADa%22%3D40"/>
        <s v="https://analytics.zoho.com/open-view/2395394000007158163?ZOHO_CRITERIA=%22Trasposicion_27.16%22.%22Id_Juzgado_Garant%C3%ADa%22%3D41"/>
        <s v="https://analytics.zoho.com/open-view/2395394000007158163?ZOHO_CRITERIA=%22Trasposicion_27.16%22.%22Id_Juzgado_Garant%C3%ADa%22%3D42"/>
        <s v="https://analytics.zoho.com/open-view/2395394000007158163?ZOHO_CRITERIA=%22Trasposicion_27.16%22.%22Id_Juzgado_Garant%C3%ADa%22%3D43"/>
        <s v="https://analytics.zoho.com/open-view/2395394000007158163?ZOHO_CRITERIA=%22Trasposicion_27.16%22.%22Id_Juzgado_Garant%C3%ADa%22%3D44"/>
        <s v="https://analytics.zoho.com/open-view/2395394000007158163?ZOHO_CRITERIA=%22Trasposicion_27.16%22.%22Id_Juzgado_Garant%C3%ADa%22%3D45"/>
        <s v="https://analytics.zoho.com/open-view/2395394000007158163?ZOHO_CRITERIA=%22Trasposicion_27.16%22.%22Id_Juzgado_Garant%C3%ADa%22%3D46"/>
        <s v="https://analytics.zoho.com/open-view/2395394000007158163?ZOHO_CRITERIA=%22Trasposicion_27.16%22.%22Id_Juzgado_Garant%C3%ADa%22%3D47"/>
        <s v="https://analytics.zoho.com/open-view/2395394000007158163?ZOHO_CRITERIA=%22Trasposicion_27.16%22.%22Id_Juzgado_Garant%C3%ADa%22%3D48"/>
        <s v="https://analytics.zoho.com/open-view/2395394000007158163?ZOHO_CRITERIA=%22Trasposicion_27.16%22.%22Id_Juzgado_Garant%C3%ADa%22%3D49"/>
        <s v="https://analytics.zoho.com/open-view/2395394000007158163?ZOHO_CRITERIA=%22Trasposicion_27.16%22.%22Id_Juzgado_Garant%C3%ADa%22%3D50"/>
        <s v="https://analytics.zoho.com/open-view/2395394000007158163?ZOHO_CRITERIA=%22Trasposicion_27.16%22.%22Id_Juzgado_Garant%C3%ADa%22%3D51"/>
        <s v="https://analytics.zoho.com/open-view/2395394000007158163?ZOHO_CRITERIA=%22Trasposicion_27.16%22.%22Id_Juzgado_Garant%C3%ADa%22%3D52"/>
        <s v="https://analytics.zoho.com/open-view/2395394000007158163?ZOHO_CRITERIA=%22Trasposicion_27.16%22.%22Id_Juzgado_Garant%C3%ADa%22%3D53"/>
        <s v="https://analytics.zoho.com/open-view/2395394000007158163?ZOHO_CRITERIA=%22Trasposicion_27.16%22.%22Id_Juzgado_Garant%C3%ADa%22%3D54"/>
        <s v="https://analytics.zoho.com/open-view/2395394000007158163?ZOHO_CRITERIA=%22Trasposicion_27.16%22.%22Id_Juzgado_Garant%C3%ADa%22%3D55"/>
        <s v="https://analytics.zoho.com/open-view/2395394000007158163?ZOHO_CRITERIA=%22Trasposicion_27.16%22.%22Id_Juzgado_Garant%C3%ADa%22%3D56"/>
        <s v="https://analytics.zoho.com/open-view/2395394000007158163?ZOHO_CRITERIA=%22Trasposicion_27.16%22.%22Id_Juzgado_Garant%C3%ADa%22%3D57"/>
        <s v="https://analytics.zoho.com/open-view/2395394000007158163?ZOHO_CRITERIA=%22Trasposicion_27.16%22.%22Id_Juzgado_Garant%C3%ADa%22%3D58"/>
        <s v="https://analytics.zoho.com/open-view/2395394000007158163?ZOHO_CRITERIA=%22Trasposicion_27.16%22.%22Id_Juzgado_Garant%C3%ADa%22%3D59"/>
        <s v="https://analytics.zoho.com/open-view/2395394000007158163?ZOHO_CRITERIA=%22Trasposicion_27.16%22.%22Id_Juzgado_Garant%C3%ADa%22%3D60"/>
        <s v="https://analytics.zoho.com/open-view/2395394000007158163?ZOHO_CRITERIA=%22Trasposicion_27.16%22.%22Id_Juzgado_Garant%C3%ADa%22%3D61"/>
        <s v="https://analytics.zoho.com/open-view/2395394000007158163?ZOHO_CRITERIA=%22Trasposicion_27.16%22.%22Id_Juzgado_Garant%C3%ADa%22%3D62"/>
        <s v="https://analytics.zoho.com/open-view/2395394000007158163?ZOHO_CRITERIA=%22Trasposicion_27.16%22.%22Id_Juzgado_Garant%C3%ADa%22%3D63"/>
        <s v="https://analytics.zoho.com/open-view/2395394000007158163?ZOHO_CRITERIA=%22Trasposicion_27.16%22.%22Id_Juzgado_Garant%C3%ADa%22%3D64"/>
        <s v="https://analytics.zoho.com/open-view/2395394000007158163?ZOHO_CRITERIA=%22Trasposicion_27.16%22.%22Id_Juzgado_Garant%C3%ADa%22%3D65"/>
        <s v="https://analytics.zoho.com/open-view/2395394000007158163?ZOHO_CRITERIA=%22Trasposicion_27.16%22.%22Id_Juzgado_Garant%C3%ADa%22%3D66"/>
        <s v="https://analytics.zoho.com/open-view/2395394000007158163?ZOHO_CRITERIA=%22Trasposicion_27.16%22.%22Id_Juzgado_Garant%C3%ADa%22%3D67"/>
        <s v="https://analytics.zoho.com/open-view/2395394000007158163?ZOHO_CRITERIA=%22Trasposicion_27.16%22.%22Id_Juzgado_Garant%C3%ADa%22%3D68"/>
        <s v="https://analytics.zoho.com/open-view/2395394000007158163?ZOHO_CRITERIA=%22Trasposicion_27.16%22.%22Id_Juzgado_Garant%C3%ADa%22%3D69"/>
        <s v="https://analytics.zoho.com/open-view/2395394000007158163?ZOHO_CRITERIA=%22Trasposicion_27.16%22.%22Id_Juzgado_Garant%C3%ADa%22%3D70"/>
        <s v="https://analytics.zoho.com/open-view/2395394000007158163?ZOHO_CRITERIA=%22Trasposicion_27.16%22.%22Id_Juzgado_Garant%C3%ADa%22%3D71"/>
        <s v="https://analytics.zoho.com/open-view/2395394000007158163?ZOHO_CRITERIA=%22Trasposicion_27.16%22.%22Id_Juzgado_Garant%C3%ADa%22%3D72"/>
        <s v="https://analytics.zoho.com/open-view/2395394000007158163?ZOHO_CRITERIA=%22Trasposicion_27.16%22.%22Id_Juzgado_Garant%C3%ADa%22%3D73"/>
        <s v="https://analytics.zoho.com/open-view/2395394000007158163?ZOHO_CRITERIA=%22Trasposicion_27.16%22.%22Id_Juzgado_Garant%C3%ADa%22%3D74"/>
        <s v="https://analytics.zoho.com/open-view/2395394000007158163?ZOHO_CRITERIA=%22Trasposicion_27.16%22.%22Id_Juzgado_Garant%C3%ADa%22%3D75"/>
        <s v="https://analytics.zoho.com/open-view/2395394000007158163?ZOHO_CRITERIA=%22Trasposicion_27.16%22.%22Id_Juzgado_Garant%C3%ADa%22%3D76"/>
        <s v="https://analytics.zoho.com/open-view/2395394000007158163?ZOHO_CRITERIA=%22Trasposicion_27.16%22.%22Id_Juzgado_Garant%C3%ADa%22%3D77"/>
        <s v="https://analytics.zoho.com/open-view/2395394000007158163?ZOHO_CRITERIA=%22Trasposicion_27.16%22.%22Id_Juzgado_Garant%C3%ADa%22%3D78"/>
        <s v="https://analytics.zoho.com/open-view/2395394000007158163?ZOHO_CRITERIA=%22Trasposicion_27.16%22.%22Id_Juzgado_Garant%C3%ADa%22%3D79"/>
        <s v="https://analytics.zoho.com/open-view/2395394000007158163?ZOHO_CRITERIA=%22Trasposicion_27.16%22.%22Id_Juzgado_Garant%C3%ADa%22%3D80"/>
        <s v="https://analytics.zoho.com/open-view/2395394000007158163?ZOHO_CRITERIA=%22Trasposicion_27.16%22.%22Id_Juzgado_Garant%C3%ADa%22%3D81"/>
        <s v="https://analytics.zoho.com/open-view/2395394000007158163?ZOHO_CRITERIA=%22Trasposicion_27.16%22.%22Id_Juzgado_Garant%C3%ADa%22%3D82"/>
        <s v="https://analytics.zoho.com/open-view/2395394000007158201?ZOHO_CRITERIA=%22Trasposicion_27.16%22.%22Id_Juzgado_Garant%C3%ADa%22%3D1"/>
        <s v="https://analytics.zoho.com/open-view/2395394000007158201?ZOHO_CRITERIA=%22Trasposicion_27.16%22.%22Id_Juzgado_Garant%C3%ADa%22%3D2"/>
        <s v="https://analytics.zoho.com/open-view/2395394000007158201?ZOHO_CRITERIA=%22Trasposicion_27.16%22.%22Id_Juzgado_Garant%C3%ADa%22%3D3"/>
        <s v="https://analytics.zoho.com/open-view/2395394000007158201?ZOHO_CRITERIA=%22Trasposicion_27.16%22.%22Id_Juzgado_Garant%C3%ADa%22%3D4"/>
        <s v="https://analytics.zoho.com/open-view/2395394000007158201?ZOHO_CRITERIA=%22Trasposicion_27.16%22.%22Id_Juzgado_Garant%C3%ADa%22%3D5"/>
        <s v="https://analytics.zoho.com/open-view/2395394000007158201?ZOHO_CRITERIA=%22Trasposicion_27.16%22.%22Id_Juzgado_Garant%C3%ADa%22%3D6"/>
        <s v="https://analytics.zoho.com/open-view/2395394000007158201?ZOHO_CRITERIA=%22Trasposicion_27.16%22.%22Id_Juzgado_Garant%C3%ADa%22%3D7"/>
        <s v="https://analytics.zoho.com/open-view/2395394000007158201?ZOHO_CRITERIA=%22Trasposicion_27.16%22.%22Id_Juzgado_Garant%C3%ADa%22%3D8"/>
        <s v="https://analytics.zoho.com/open-view/2395394000007158201?ZOHO_CRITERIA=%22Trasposicion_27.16%22.%22Id_Juzgado_Garant%C3%ADa%22%3D9"/>
        <s v="https://analytics.zoho.com/open-view/2395394000007158201?ZOHO_CRITERIA=%22Trasposicion_27.16%22.%22Id_Juzgado_Garant%C3%ADa%22%3D10"/>
        <s v="https://analytics.zoho.com/open-view/2395394000007158201?ZOHO_CRITERIA=%22Trasposicion_27.16%22.%22Id_Juzgado_Garant%C3%ADa%22%3D11"/>
        <s v="https://analytics.zoho.com/open-view/2395394000007158201?ZOHO_CRITERIA=%22Trasposicion_27.16%22.%22Id_Juzgado_Garant%C3%ADa%22%3D12"/>
        <s v="https://analytics.zoho.com/open-view/2395394000007158201?ZOHO_CRITERIA=%22Trasposicion_27.16%22.%22Id_Juzgado_Garant%C3%ADa%22%3D13"/>
        <s v="https://analytics.zoho.com/open-view/2395394000007158201?ZOHO_CRITERIA=%22Trasposicion_27.16%22.%22Id_Juzgado_Garant%C3%ADa%22%3D14"/>
        <s v="https://analytics.zoho.com/open-view/2395394000007158201?ZOHO_CRITERIA=%22Trasposicion_27.16%22.%22Id_Juzgado_Garant%C3%ADa%22%3D15"/>
        <s v="https://analytics.zoho.com/open-view/2395394000007158201?ZOHO_CRITERIA=%22Trasposicion_27.16%22.%22Id_Juzgado_Garant%C3%ADa%22%3D16"/>
        <s v="https://analytics.zoho.com/open-view/2395394000007158201?ZOHO_CRITERIA=%22Trasposicion_27.16%22.%22Id_Juzgado_Garant%C3%ADa%22%3D17"/>
        <s v="https://analytics.zoho.com/open-view/2395394000007158201?ZOHO_CRITERIA=%22Trasposicion_27.16%22.%22Id_Juzgado_Garant%C3%ADa%22%3D18"/>
        <s v="https://analytics.zoho.com/open-view/2395394000007158201?ZOHO_CRITERIA=%22Trasposicion_27.16%22.%22Id_Juzgado_Garant%C3%ADa%22%3D19"/>
        <s v="https://analytics.zoho.com/open-view/2395394000007158201?ZOHO_CRITERIA=%22Trasposicion_27.16%22.%22Id_Juzgado_Garant%C3%ADa%22%3D20"/>
        <s v="https://analytics.zoho.com/open-view/2395394000007158201?ZOHO_CRITERIA=%22Trasposicion_27.16%22.%22Id_Juzgado_Garant%C3%ADa%22%3D21"/>
        <s v="https://analytics.zoho.com/open-view/2395394000007158201?ZOHO_CRITERIA=%22Trasposicion_27.16%22.%22Id_Juzgado_Garant%C3%ADa%22%3D22"/>
        <s v="https://analytics.zoho.com/open-view/2395394000007158201?ZOHO_CRITERIA=%22Trasposicion_27.16%22.%22Id_Juzgado_Garant%C3%ADa%22%3D23"/>
        <s v="https://analytics.zoho.com/open-view/2395394000007158201?ZOHO_CRITERIA=%22Trasposicion_27.16%22.%22Id_Juzgado_Garant%C3%ADa%22%3D24"/>
        <s v="https://analytics.zoho.com/open-view/2395394000007158201?ZOHO_CRITERIA=%22Trasposicion_27.16%22.%22Id_Juzgado_Garant%C3%ADa%22%3D25"/>
        <s v="https://analytics.zoho.com/open-view/2395394000007158201?ZOHO_CRITERIA=%22Trasposicion_27.16%22.%22Id_Juzgado_Garant%C3%ADa%22%3D26"/>
        <s v="https://analytics.zoho.com/open-view/2395394000007158201?ZOHO_CRITERIA=%22Trasposicion_27.16%22.%22Id_Juzgado_Garant%C3%ADa%22%3D27"/>
        <s v="https://analytics.zoho.com/open-view/2395394000007158201?ZOHO_CRITERIA=%22Trasposicion_27.16%22.%22Id_Juzgado_Garant%C3%ADa%22%3D28"/>
        <s v="https://analytics.zoho.com/open-view/2395394000007158201?ZOHO_CRITERIA=%22Trasposicion_27.16%22.%22Id_Juzgado_Garant%C3%ADa%22%3D29"/>
        <s v="https://analytics.zoho.com/open-view/2395394000007158201?ZOHO_CRITERIA=%22Trasposicion_27.16%22.%22Id_Juzgado_Garant%C3%ADa%22%3D30"/>
        <s v="https://analytics.zoho.com/open-view/2395394000007158201?ZOHO_CRITERIA=%22Trasposicion_27.16%22.%22Id_Juzgado_Garant%C3%ADa%22%3D31"/>
        <s v="https://analytics.zoho.com/open-view/2395394000007158201?ZOHO_CRITERIA=%22Trasposicion_27.16%22.%22Id_Juzgado_Garant%C3%ADa%22%3D32"/>
        <s v="https://analytics.zoho.com/open-view/2395394000007158201?ZOHO_CRITERIA=%22Trasposicion_27.16%22.%22Id_Juzgado_Garant%C3%ADa%22%3D33"/>
        <s v="https://analytics.zoho.com/open-view/2395394000007158201?ZOHO_CRITERIA=%22Trasposicion_27.16%22.%22Id_Juzgado_Garant%C3%ADa%22%3D34"/>
        <s v="https://analytics.zoho.com/open-view/2395394000007158201?ZOHO_CRITERIA=%22Trasposicion_27.16%22.%22Id_Juzgado_Garant%C3%ADa%22%3D35"/>
        <s v="https://analytics.zoho.com/open-view/2395394000007158201?ZOHO_CRITERIA=%22Trasposicion_27.16%22.%22Id_Juzgado_Garant%C3%ADa%22%3D36"/>
        <s v="https://analytics.zoho.com/open-view/2395394000007158201?ZOHO_CRITERIA=%22Trasposicion_27.16%22.%22Id_Juzgado_Garant%C3%ADa%22%3D37"/>
        <s v="https://analytics.zoho.com/open-view/2395394000007158201?ZOHO_CRITERIA=%22Trasposicion_27.16%22.%22Id_Juzgado_Garant%C3%ADa%22%3D38"/>
        <s v="https://analytics.zoho.com/open-view/2395394000007158201?ZOHO_CRITERIA=%22Trasposicion_27.16%22.%22Id_Juzgado_Garant%C3%ADa%22%3D39"/>
        <s v="https://analytics.zoho.com/open-view/2395394000007158201?ZOHO_CRITERIA=%22Trasposicion_27.16%22.%22Id_Juzgado_Garant%C3%ADa%22%3D40"/>
        <s v="https://analytics.zoho.com/open-view/2395394000007158201?ZOHO_CRITERIA=%22Trasposicion_27.16%22.%22Id_Juzgado_Garant%C3%ADa%22%3D41"/>
        <s v="https://analytics.zoho.com/open-view/2395394000007158201?ZOHO_CRITERIA=%22Trasposicion_27.16%22.%22Id_Juzgado_Garant%C3%ADa%22%3D42"/>
        <s v="https://analytics.zoho.com/open-view/2395394000007158201?ZOHO_CRITERIA=%22Trasposicion_27.16%22.%22Id_Juzgado_Garant%C3%ADa%22%3D43"/>
        <s v="https://analytics.zoho.com/open-view/2395394000007158201?ZOHO_CRITERIA=%22Trasposicion_27.16%22.%22Id_Juzgado_Garant%C3%ADa%22%3D44"/>
        <s v="https://analytics.zoho.com/open-view/2395394000007158201?ZOHO_CRITERIA=%22Trasposicion_27.16%22.%22Id_Juzgado_Garant%C3%ADa%22%3D45"/>
        <s v="https://analytics.zoho.com/open-view/2395394000007158201?ZOHO_CRITERIA=%22Trasposicion_27.16%22.%22Id_Juzgado_Garant%C3%ADa%22%3D46"/>
        <s v="https://analytics.zoho.com/open-view/2395394000007158201?ZOHO_CRITERIA=%22Trasposicion_27.16%22.%22Id_Juzgado_Garant%C3%ADa%22%3D47"/>
        <s v="https://analytics.zoho.com/open-view/2395394000007158201?ZOHO_CRITERIA=%22Trasposicion_27.16%22.%22Id_Juzgado_Garant%C3%ADa%22%3D48"/>
        <s v="https://analytics.zoho.com/open-view/2395394000007158201?ZOHO_CRITERIA=%22Trasposicion_27.16%22.%22Id_Juzgado_Garant%C3%ADa%22%3D49"/>
        <s v="https://analytics.zoho.com/open-view/2395394000007158201?ZOHO_CRITERIA=%22Trasposicion_27.16%22.%22Id_Juzgado_Garant%C3%ADa%22%3D50"/>
        <s v="https://analytics.zoho.com/open-view/2395394000007158201?ZOHO_CRITERIA=%22Trasposicion_27.16%22.%22Id_Juzgado_Garant%C3%ADa%22%3D51"/>
        <s v="https://analytics.zoho.com/open-view/2395394000007158201?ZOHO_CRITERIA=%22Trasposicion_27.16%22.%22Id_Juzgado_Garant%C3%ADa%22%3D52"/>
        <s v="https://analytics.zoho.com/open-view/2395394000007158201?ZOHO_CRITERIA=%22Trasposicion_27.16%22.%22Id_Juzgado_Garant%C3%ADa%22%3D53"/>
        <s v="https://analytics.zoho.com/open-view/2395394000007158201?ZOHO_CRITERIA=%22Trasposicion_27.16%22.%22Id_Juzgado_Garant%C3%ADa%22%3D54"/>
        <s v="https://analytics.zoho.com/open-view/2395394000007158201?ZOHO_CRITERIA=%22Trasposicion_27.16%22.%22Id_Juzgado_Garant%C3%ADa%22%3D55"/>
        <s v="https://analytics.zoho.com/open-view/2395394000007158201?ZOHO_CRITERIA=%22Trasposicion_27.16%22.%22Id_Juzgado_Garant%C3%ADa%22%3D56"/>
        <s v="https://analytics.zoho.com/open-view/2395394000007158201?ZOHO_CRITERIA=%22Trasposicion_27.16%22.%22Id_Juzgado_Garant%C3%ADa%22%3D57"/>
        <s v="https://analytics.zoho.com/open-view/2395394000007158201?ZOHO_CRITERIA=%22Trasposicion_27.16%22.%22Id_Juzgado_Garant%C3%ADa%22%3D58"/>
        <s v="https://analytics.zoho.com/open-view/2395394000007158201?ZOHO_CRITERIA=%22Trasposicion_27.16%22.%22Id_Juzgado_Garant%C3%ADa%22%3D59"/>
        <s v="https://analytics.zoho.com/open-view/2395394000007158201?ZOHO_CRITERIA=%22Trasposicion_27.16%22.%22Id_Juzgado_Garant%C3%ADa%22%3D60"/>
        <s v="https://analytics.zoho.com/open-view/2395394000007158201?ZOHO_CRITERIA=%22Trasposicion_27.16%22.%22Id_Juzgado_Garant%C3%ADa%22%3D61"/>
        <s v="https://analytics.zoho.com/open-view/2395394000007158201?ZOHO_CRITERIA=%22Trasposicion_27.16%22.%22Id_Juzgado_Garant%C3%ADa%22%3D62"/>
        <s v="https://analytics.zoho.com/open-view/2395394000007158201?ZOHO_CRITERIA=%22Trasposicion_27.16%22.%22Id_Juzgado_Garant%C3%ADa%22%3D63"/>
        <s v="https://analytics.zoho.com/open-view/2395394000007158201?ZOHO_CRITERIA=%22Trasposicion_27.16%22.%22Id_Juzgado_Garant%C3%ADa%22%3D64"/>
        <s v="https://analytics.zoho.com/open-view/2395394000007158201?ZOHO_CRITERIA=%22Trasposicion_27.16%22.%22Id_Juzgado_Garant%C3%ADa%22%3D65"/>
        <s v="https://analytics.zoho.com/open-view/2395394000007158201?ZOHO_CRITERIA=%22Trasposicion_27.16%22.%22Id_Juzgado_Garant%C3%ADa%22%3D66"/>
        <s v="https://analytics.zoho.com/open-view/2395394000007158201?ZOHO_CRITERIA=%22Trasposicion_27.16%22.%22Id_Juzgado_Garant%C3%ADa%22%3D67"/>
        <s v="https://analytics.zoho.com/open-view/2395394000007158201?ZOHO_CRITERIA=%22Trasposicion_27.16%22.%22Id_Juzgado_Garant%C3%ADa%22%3D68"/>
        <s v="https://analytics.zoho.com/open-view/2395394000007158201?ZOHO_CRITERIA=%22Trasposicion_27.16%22.%22Id_Juzgado_Garant%C3%ADa%22%3D69"/>
        <s v="https://analytics.zoho.com/open-view/2395394000007158201?ZOHO_CRITERIA=%22Trasposicion_27.16%22.%22Id_Juzgado_Garant%C3%ADa%22%3D70"/>
        <s v="https://analytics.zoho.com/open-view/2395394000007158201?ZOHO_CRITERIA=%22Trasposicion_27.16%22.%22Id_Juzgado_Garant%C3%ADa%22%3D71"/>
        <s v="https://analytics.zoho.com/open-view/2395394000007158201?ZOHO_CRITERIA=%22Trasposicion_27.16%22.%22Id_Juzgado_Garant%C3%ADa%22%3D72"/>
        <s v="https://analytics.zoho.com/open-view/2395394000007158201?ZOHO_CRITERIA=%22Trasposicion_27.16%22.%22Id_Juzgado_Garant%C3%ADa%22%3D73"/>
        <s v="https://analytics.zoho.com/open-view/2395394000007158201?ZOHO_CRITERIA=%22Trasposicion_27.16%22.%22Id_Juzgado_Garant%C3%ADa%22%3D74"/>
        <s v="https://analytics.zoho.com/open-view/2395394000007158201?ZOHO_CRITERIA=%22Trasposicion_27.16%22.%22Id_Juzgado_Garant%C3%ADa%22%3D75"/>
        <s v="https://analytics.zoho.com/open-view/2395394000007158201?ZOHO_CRITERIA=%22Trasposicion_27.16%22.%22Id_Juzgado_Garant%C3%ADa%22%3D76"/>
        <s v="https://analytics.zoho.com/open-view/2395394000007158201?ZOHO_CRITERIA=%22Trasposicion_27.16%22.%22Id_Juzgado_Garant%C3%ADa%22%3D77"/>
        <s v="https://analytics.zoho.com/open-view/2395394000007158201?ZOHO_CRITERIA=%22Trasposicion_27.16%22.%22Id_Juzgado_Garant%C3%ADa%22%3D78"/>
        <s v="https://analytics.zoho.com/open-view/2395394000007158201?ZOHO_CRITERIA=%22Trasposicion_27.16%22.%22Id_Juzgado_Garant%C3%ADa%22%3D79"/>
        <s v="https://analytics.zoho.com/open-view/2395394000007158201?ZOHO_CRITERIA=%22Trasposicion_27.16%22.%22Id_Juzgado_Garant%C3%ADa%22%3D80"/>
        <s v="https://analytics.zoho.com/open-view/2395394000007158201?ZOHO_CRITERIA=%22Trasposicion_27.16%22.%22Id_Juzgado_Garant%C3%ADa%22%3D81"/>
        <s v="https://analytics.zoho.com/open-view/2395394000007158201?ZOHO_CRITERIA=%22Trasposicion_27.16%22.%22Id_Juzgado_Garant%C3%ADa%22%3D82"/>
        <s v="https://analytics.zoho.com/open-view/2395394000007158239?ZOHO_CRITERIA=%22Trasposicion_27.16%22.%22Id_Categor%C3%ADa%22%3D270103002"/>
        <s v="https://analytics.zoho.com/open-view/2395394000007158239?ZOHO_CRITERIA=%22Trasposicion_27.16%22.%22Id_Categor%C3%ADa%22%3D270103003"/>
        <s v="https://analytics.zoho.com/open-view/2395394000007158239?ZOHO_CRITERIA=%22Trasposicion_27.16%22.%22Id_Categor%C3%ADa%22%3D270103004"/>
        <s v="https://analytics.zoho.com/open-view/2395394000007158239?ZOHO_CRITERIA=%22Trasposicion_27.16%22.%22Id_Categor%C3%ADa%22%3D270103005"/>
        <s v="https://analytics.zoho.com/open-view/2395394000007158239?ZOHO_CRITERIA=%22Trasposicion_27.16%22.%22Id_Categor%C3%ADa%22%3D270104001"/>
        <s v="https://analytics.zoho.com/open-view/2395394000007158239?ZOHO_CRITERIA=%22Trasposicion_27.16%22.%22Id_Categor%C3%ADa%22%3D270105001"/>
        <s v="https://analytics.zoho.com/open-view/2395394000007158239?ZOHO_CRITERIA=%22Trasposicion_27.16%22.%22Id_Categor%C3%ADa%22%3D270105002"/>
        <s v="https://analytics.zoho.com/open-view/2395394000007158239?ZOHO_CRITERIA=%22Trasposicion_27.16%22.%22Id_Categor%C3%ADa%22%3D270105003"/>
        <s v="https://analytics.zoho.com/open-view/2395394000007158281?ZOHO_CRITERIA=%22Trasposicion_27.16%22.%22Id_Categor%C3%ADa%22%3D270103002"/>
        <s v="https://analytics.zoho.com/open-view/2395394000007158281?ZOHO_CRITERIA=%22Trasposicion_27.16%22.%22Id_Categor%C3%ADa%22%3D270103003"/>
        <s v="https://analytics.zoho.com/open-view/2395394000007158281?ZOHO_CRITERIA=%22Trasposicion_27.16%22.%22Id_Categor%C3%ADa%22%3D270103004"/>
        <s v="https://analytics.zoho.com/open-view/2395394000007158281?ZOHO_CRITERIA=%22Trasposicion_27.16%22.%22Id_Categor%C3%ADa%22%3D270103005"/>
        <s v="https://analytics.zoho.com/open-view/2395394000007158281?ZOHO_CRITERIA=%22Trasposicion_27.16%22.%22Id_Categor%C3%ADa%22%3D270104001"/>
        <s v="https://analytics.zoho.com/open-view/2395394000007158281?ZOHO_CRITERIA=%22Trasposicion_27.16%22.%22Id_Categor%C3%ADa%22%3D270105001"/>
        <s v="https://analytics.zoho.com/open-view/2395394000007158281?ZOHO_CRITERIA=%22Trasposicion_27.16%22.%22Id_Categor%C3%ADa%22%3D270105002"/>
        <s v="https://analytics.zoho.com/open-view/2395394000007158281?ZOHO_CRITERIA=%22Trasposicion_27.16%22.%22Id_Categor%C3%ADa%22%3D270105003"/>
        <s v="https://analytics.zoho.com/open-view/2395394000007158319?ZOHO_CRITERIA=%22Localiza%20CL%22.%22Codreg%22%3D1"/>
        <s v="https://analytics.zoho.com/open-view/2395394000007158319?ZOHO_CRITERIA=%22Localiza%20CL%22.%22Codreg%22%3D2"/>
        <s v="https://analytics.zoho.com/open-view/2395394000007158319?ZOHO_CRITERIA=%22Localiza%20CL%22.%22Codreg%22%3D3"/>
        <s v="https://analytics.zoho.com/open-view/2395394000007158319?ZOHO_CRITERIA=%22Localiza%20CL%22.%22Codreg%22%3D4"/>
        <s v="https://analytics.zoho.com/open-view/2395394000007158319?ZOHO_CRITERIA=%22Localiza%20CL%22.%22Codreg%22%3D5"/>
        <s v="https://analytics.zoho.com/open-view/2395394000007158319?ZOHO_CRITERIA=%22Localiza%20CL%22.%22Codreg%22%3D6"/>
        <s v="https://analytics.zoho.com/open-view/2395394000007158319?ZOHO_CRITERIA=%22Localiza%20CL%22.%22Codreg%22%3D7"/>
        <s v="https://analytics.zoho.com/open-view/2395394000007158319?ZOHO_CRITERIA=%22Localiza%20CL%22.%22Codreg%22%3D8"/>
        <s v="https://analytics.zoho.com/open-view/2395394000007158319?ZOHO_CRITERIA=%22Localiza%20CL%22.%22Codreg%22%3D9"/>
        <s v="https://analytics.zoho.com/open-view/2395394000007158319?ZOHO_CRITERIA=%22Localiza%20CL%22.%22Codreg%22%3D10"/>
        <s v="https://analytics.zoho.com/open-view/2395394000007158319?ZOHO_CRITERIA=%22Localiza%20CL%22.%22Codreg%22%3D11"/>
        <s v="https://analytics.zoho.com/open-view/2395394000007158319?ZOHO_CRITERIA=%22Localiza%20CL%22.%22Codreg%22%3D12"/>
        <s v="https://analytics.zoho.com/open-view/2395394000007158319?ZOHO_CRITERIA=%22Localiza%20CL%22.%22Codreg%22%3D13"/>
        <s v="https://analytics.zoho.com/open-view/2395394000007158319?ZOHO_CRITERIA=%22Localiza%20CL%22.%22Codreg%22%3D14"/>
        <s v="https://analytics.zoho.com/open-view/2395394000007158319?ZOHO_CRITERIA=%22Localiza%20CL%22.%22Codreg%22%3D15"/>
        <s v="https://analytics.zoho.com/open-view/2395394000007158319?ZOHO_CRITERIA=%22Localiza%20CL%22.%22Codreg%22%3D16"/>
        <s v="https://analytics.zoho.com/open-view/2395394000007158366?ZOHO_CRITERIA=%22Localiza%20CL%22.%22Codreg%22%3D1"/>
        <s v="https://analytics.zoho.com/open-view/2395394000007158366?ZOHO_CRITERIA=%22Localiza%20CL%22.%22Codreg%22%3D2"/>
        <s v="https://analytics.zoho.com/open-view/2395394000007158366?ZOHO_CRITERIA=%22Localiza%20CL%22.%22Codreg%22%3D3"/>
        <s v="https://analytics.zoho.com/open-view/2395394000007158366?ZOHO_CRITERIA=%22Localiza%20CL%22.%22Codreg%22%3D4"/>
        <s v="https://analytics.zoho.com/open-view/2395394000007158366?ZOHO_CRITERIA=%22Localiza%20CL%22.%22Codreg%22%3D5"/>
        <s v="https://analytics.zoho.com/open-view/2395394000007158366?ZOHO_CRITERIA=%22Localiza%20CL%22.%22Codreg%22%3D6"/>
        <s v="https://analytics.zoho.com/open-view/2395394000007158366?ZOHO_CRITERIA=%22Localiza%20CL%22.%22Codreg%22%3D7"/>
        <s v="https://analytics.zoho.com/open-view/2395394000007158366?ZOHO_CRITERIA=%22Localiza%20CL%22.%22Codreg%22%3D8"/>
        <s v="https://analytics.zoho.com/open-view/2395394000007158366?ZOHO_CRITERIA=%22Localiza%20CL%22.%22Codreg%22%3D9"/>
        <s v="https://analytics.zoho.com/open-view/2395394000007158366?ZOHO_CRITERIA=%22Localiza%20CL%22.%22Codreg%22%3D10"/>
        <s v="https://analytics.zoho.com/open-view/2395394000007158366?ZOHO_CRITERIA=%22Localiza%20CL%22.%22Codreg%22%3D11"/>
        <s v="https://analytics.zoho.com/open-view/2395394000007158366?ZOHO_CRITERIA=%22Localiza%20CL%22.%22Codreg%22%3D12"/>
        <s v="https://analytics.zoho.com/open-view/2395394000007158366?ZOHO_CRITERIA=%22Localiza%20CL%22.%22Codreg%22%3D13"/>
        <s v="https://analytics.zoho.com/open-view/2395394000007158366?ZOHO_CRITERIA=%22Localiza%20CL%22.%22Codreg%22%3D14"/>
        <s v="https://analytics.zoho.com/open-view/2395394000007158366?ZOHO_CRITERIA=%22Localiza%20CL%22.%22Codreg%22%3D15"/>
        <s v="https://analytics.zoho.com/open-view/2395394000007158366?ZOHO_CRITERIA=%22Localiza%20CL%22.%22Codreg%22%3D16"/>
        <s v="https://analytics.zoho.com/open-view/2395394000007158410?ZOHO_CRITERIA=%22Localiza%20CL%22.%22Codreg%22%3D1"/>
        <s v="https://analytics.zoho.com/open-view/2395394000007158410?ZOHO_CRITERIA=%22Localiza%20CL%22.%22Codreg%22%3D2"/>
        <s v="https://analytics.zoho.com/open-view/2395394000007158410?ZOHO_CRITERIA=%22Localiza%20CL%22.%22Codreg%22%3D3"/>
        <s v="https://analytics.zoho.com/open-view/2395394000007158410?ZOHO_CRITERIA=%22Localiza%20CL%22.%22Codreg%22%3D4"/>
        <s v="https://analytics.zoho.com/open-view/2395394000007158410?ZOHO_CRITERIA=%22Localiza%20CL%22.%22Codreg%22%3D5"/>
        <s v="https://analytics.zoho.com/open-view/2395394000007158410?ZOHO_CRITERIA=%22Localiza%20CL%22.%22Codreg%22%3D6"/>
        <s v="https://analytics.zoho.com/open-view/2395394000007158410?ZOHO_CRITERIA=%22Localiza%20CL%22.%22Codreg%22%3D7"/>
        <s v="https://analytics.zoho.com/open-view/2395394000007158410?ZOHO_CRITERIA=%22Localiza%20CL%22.%22Codreg%22%3D8"/>
        <s v="https://analytics.zoho.com/open-view/2395394000007158410?ZOHO_CRITERIA=%22Localiza%20CL%22.%22Codreg%22%3D9"/>
        <s v="https://analytics.zoho.com/open-view/2395394000007158410?ZOHO_CRITERIA=%22Localiza%20CL%22.%22Codreg%22%3D10"/>
        <s v="https://analytics.zoho.com/open-view/2395394000007158410?ZOHO_CRITERIA=%22Localiza%20CL%22.%22Codreg%22%3D11"/>
        <s v="https://analytics.zoho.com/open-view/2395394000007158410?ZOHO_CRITERIA=%22Localiza%20CL%22.%22Codreg%22%3D12"/>
        <s v="https://analytics.zoho.com/open-view/2395394000007158410?ZOHO_CRITERIA=%22Localiza%20CL%22.%22Codreg%22%3D13"/>
        <s v="https://analytics.zoho.com/open-view/2395394000007158410?ZOHO_CRITERIA=%22Localiza%20CL%22.%22Codreg%22%3D14"/>
        <s v="https://analytics.zoho.com/open-view/2395394000007158410?ZOHO_CRITERIA=%22Localiza%20CL%22.%22Codreg%22%3D15"/>
        <s v="https://analytics.zoho.com/open-view/2395394000007158410?ZOHO_CRITERIA=%22Localiza%20CL%22.%22Codreg%22%3D16"/>
        <s v="https://analytics.zoho.com/open-view/2395394000007158454?ZOHO_CRITERIA=%22Trasposicion_27.16%22.%22Id_Categor%C3%ADa%22%3D270103002"/>
        <s v="https://analytics.zoho.com/open-view/2395394000007158454?ZOHO_CRITERIA=%22Trasposicion_27.16%22.%22Id_Categor%C3%ADa%22%3D270103003"/>
        <s v="https://analytics.zoho.com/open-view/2395394000007158454?ZOHO_CRITERIA=%22Trasposicion_27.16%22.%22Id_Categor%C3%ADa%22%3D270103004"/>
        <s v="https://analytics.zoho.com/open-view/2395394000007158454?ZOHO_CRITERIA=%22Trasposicion_27.16%22.%22Id_Categor%C3%ADa%22%3D270103005"/>
        <s v="https://analytics.zoho.com/open-view/2395394000007158454?ZOHO_CRITERIA=%22Trasposicion_27.16%22.%22Id_Categor%C3%ADa%22%3D270104001"/>
        <s v="https://analytics.zoho.com/open-view/2395394000007158454?ZOHO_CRITERIA=%22Trasposicion_27.16%22.%22Id_Categor%C3%ADa%22%3D270105001"/>
        <s v="https://analytics.zoho.com/open-view/2395394000007158454?ZOHO_CRITERIA=%22Trasposicion_27.16%22.%22Id_Categor%C3%ADa%22%3D270105002"/>
        <s v="https://analytics.zoho.com/open-view/2395394000007158454?ZOHO_CRITERIA=%22Trasposicion_27.16%22.%22Id_Categor%C3%ADa%22%3D270105003"/>
        <s v="https://analytics.zoho.com/open-view/2395394000007158500?ZOHO_CRITERIA=%22Trasposicion_27.16%22.%22Id_Categor%C3%ADa%22%3D270104001"/>
        <s v="https://analytics.zoho.com/open-view/2395394000007158085?ZOHO_CRITERIA=%22Trasposicion_27.16%22.%22Id_Producto%22%3D270103"/>
        <s v="https://analytics.zoho.com/open-view/2395394000007158085?ZOHO_CRITERIA=%22Trasposicion_27.16%22.%22Id_Producto%22%3D270104"/>
        <s v="https://analytics.zoho.com/open-view/2395394000007158085?ZOHO_CRITERIA=%22Trasposicion_27.16%22.%22Id_Producto%22%3D270105"/>
        <s v="https://analytics.zoho.com/open-view/2395394000007158123?ZOHO_CRITERIA=%22Trasposicion_27.16%22.%22Id_Producto%22%3D270103"/>
        <s v="https://analytics.zoho.com/open-view/2395394000007158123?ZOHO_CRITERIA=%22Trasposicion_27.16%22.%22Id_Producto%22%3D270104"/>
        <s v="https://analytics.zoho.com/open-view/2395394000007158123?ZOHO_CRITERIA=%22Trasposicion_27.16%22.%22Id_Producto%22%3D270105"/>
        <s v="https://analytics.zoho.com/open-view/2395394000007158542"/>
        <s v="https://analytics.zoho.com/open-view/2395394000007158580"/>
        <s v="https://analytics.zoho.com/open-view/2395394000008161220?ZOHO_CRITERIA=%22Localiza%20Chile%22.%22Codcom%22%3D13203" u="1"/>
        <s v="https://analytics.zoho.com/open-view/2395394000008161221?ZOHO_CRITERIA=%22Localiza%20Chile%22.%22Codcom%22%3D13203" u="1"/>
        <s v="https://analytics.zoho.com/open-view/2395394000008161222?ZOHO_CRITERIA=%22Localiza%20Chile%22.%22Codcom%22%3D13203" u="1"/>
        <s v="https://analytics.zoho.com/open-view/2395394000008161223?ZOHO_CRITERIA=%22Localiza%20Chile%22.%22Codcom%22%3D13203" u="1"/>
        <s v="https://analytics.zoho.com/open-view/2395394000008161224?ZOHO_CRITERIA=%22Localiza%20Chile%22.%22Codcom%22%3D13203" u="1"/>
        <s v="https://analytics.zoho.com/open-view/2395394000008161225?ZOHO_CRITERIA=%22Localiza%20Chile%22.%22Codcom%22%3D13203" u="1"/>
        <s v="https://analytics.zoho.com/open-view/2395394000008161226?ZOHO_CRITERIA=%22Localiza%20Chile%22.%22Codcom%22%3D13203" u="1"/>
        <s v="https://analytics.zoho.com/open-view/2395394000008161227?ZOHO_CRITERIA=%22Localiza%20Chile%22.%22Codcom%22%3D13203" u="1"/>
        <s v="https://analytics.zoho.com/open-view/2395394000008161228?ZOHO_CRITERIA=%22Localiza%20Chile%22.%22Codcom%22%3D13203" u="1"/>
        <s v="https://analytics.zoho.com/open-view/2395394000008161229?ZOHO_CRITERIA=%22Localiza%20Chile%22.%22Codcom%22%3D13203" u="1"/>
        <s v="https://analytics.zoho.com/open-view/2395394000008161231?ZOHO_CRITERIA=%22Localiza%20Chile%22.%22Codcom%22%3D13203" u="1"/>
        <s v="https://analytics.zoho.com/open-view/2395394000008161200?ZOHO_CRITERIA=%22Localiza%20Chile%22.%22Codreg%22%3D1" u="1"/>
        <s v="https://analytics.zoho.com/open-view/2395394000008161201?ZOHO_CRITERIA=%22Localiza%20Chile%22.%22Codreg%22%3D1" u="1"/>
        <s v="https://analytics.zoho.com/open-view/2395394000008161202?ZOHO_CRITERIA=%22Localiza%20Chile%22.%22Codreg%22%3D1" u="1"/>
        <s v="https://analytics.zoho.com/open-view/2395394000008161203?ZOHO_CRITERIA=%22Localiza%20Chile%22.%22Codreg%22%3D1" u="1"/>
        <s v="https://analytics.zoho.com/open-view/2395394000008161204?ZOHO_CRITERIA=%22Localiza%20Chile%22.%22Codreg%22%3D1" u="1"/>
        <s v="https://analytics.zoho.com/open-view/2395394000008161205?ZOHO_CRITERIA=%22Localiza%20Chile%22.%22Codreg%22%3D1" u="1"/>
        <s v="https://analytics.zoho.com/open-view/2395394000008161206?ZOHO_CRITERIA=%22Localiza%20Chile%22.%22Codreg%22%3D1" u="1"/>
        <s v="https://analytics.zoho.com/open-view/2395394000008161207?ZOHO_CRITERIA=%22Localiza%20Chile%22.%22Codreg%22%3D1" u="1"/>
        <s v="https://analytics.zoho.com/open-view/2395394000008161208?ZOHO_CRITERIA=%22Localiza%20Chile%22.%22Codreg%22%3D1" u="1"/>
        <s v="https://analytics.zoho.com/open-view/2395394000008161209?ZOHO_CRITERIA=%22Localiza%20Chile%22.%22Codreg%22%3D1" u="1"/>
        <s v="https://analytics.zoho.com/open-view/2395394000008161214?ZOHO_CRITERIA=%22Localiza%20Chile%22.%22Codreg%22%3D1" u="1"/>
        <s v="https://analytics.zoho.com/open-view/2395394000008161200?ZOHO_CRITERIA=%22Localiza%20Chile%22.%22Codreg%22%3D2" u="1"/>
        <s v="https://analytics.zoho.com/open-view/2395394000008161201?ZOHO_CRITERIA=%22Localiza%20Chile%22.%22Codreg%22%3D2" u="1"/>
        <s v="https://analytics.zoho.com/open-view/2395394000008161202?ZOHO_CRITERIA=%22Localiza%20Chile%22.%22Codreg%22%3D2" u="1"/>
        <s v="https://analytics.zoho.com/open-view/2395394000008161203?ZOHO_CRITERIA=%22Localiza%20Chile%22.%22Codreg%22%3D2" u="1"/>
        <s v="https://analytics.zoho.com/open-view/2395394000008161204?ZOHO_CRITERIA=%22Localiza%20Chile%22.%22Codreg%22%3D2" u="1"/>
        <s v="https://analytics.zoho.com/open-view/2395394000008161205?ZOHO_CRITERIA=%22Localiza%20Chile%22.%22Codreg%22%3D2" u="1"/>
        <s v="https://analytics.zoho.com/open-view/2395394000008161206?ZOHO_CRITERIA=%22Localiza%20Chile%22.%22Codreg%22%3D2" u="1"/>
        <s v="https://analytics.zoho.com/open-view/2395394000008161207?ZOHO_CRITERIA=%22Localiza%20Chile%22.%22Codreg%22%3D2" u="1"/>
        <s v="https://analytics.zoho.com/open-view/2395394000008161208?ZOHO_CRITERIA=%22Localiza%20Chile%22.%22Codreg%22%3D2" u="1"/>
        <s v="https://analytics.zoho.com/open-view/2395394000008161209?ZOHO_CRITERIA=%22Localiza%20Chile%22.%22Codreg%22%3D2" u="1"/>
        <s v="https://analytics.zoho.com/open-view/2395394000008161214?ZOHO_CRITERIA=%22Localiza%20Chile%22.%22Codreg%22%3D2" u="1"/>
        <s v="https://analytics.zoho.com/open-view/2395394000008161200?ZOHO_CRITERIA=%22Localiza%20Chile%22.%22Codreg%22%3D3" u="1"/>
        <s v="https://analytics.zoho.com/open-view/2395394000008161201?ZOHO_CRITERIA=%22Localiza%20Chile%22.%22Codreg%22%3D3" u="1"/>
        <s v="https://analytics.zoho.com/open-view/2395394000008161202?ZOHO_CRITERIA=%22Localiza%20Chile%22.%22Codreg%22%3D3" u="1"/>
        <s v="https://analytics.zoho.com/open-view/2395394000008161203?ZOHO_CRITERIA=%22Localiza%20Chile%22.%22Codreg%22%3D3" u="1"/>
        <s v="https://analytics.zoho.com/open-view/2395394000008161204?ZOHO_CRITERIA=%22Localiza%20Chile%22.%22Codreg%22%3D3" u="1"/>
        <s v="https://analytics.zoho.com/open-view/2395394000008161205?ZOHO_CRITERIA=%22Localiza%20Chile%22.%22Codreg%22%3D3" u="1"/>
        <s v="https://analytics.zoho.com/open-view/2395394000008161206?ZOHO_CRITERIA=%22Localiza%20Chile%22.%22Codreg%22%3D3" u="1"/>
        <s v="https://analytics.zoho.com/open-view/2395394000008161207?ZOHO_CRITERIA=%22Localiza%20Chile%22.%22Codreg%22%3D3" u="1"/>
        <s v="https://analytics.zoho.com/open-view/2395394000008161208?ZOHO_CRITERIA=%22Localiza%20Chile%22.%22Codreg%22%3D3" u="1"/>
        <s v="https://analytics.zoho.com/open-view/2395394000008161209?ZOHO_CRITERIA=%22Localiza%20Chile%22.%22Codreg%22%3D3" u="1"/>
        <s v="https://analytics.zoho.com/open-view/2395394000008161214?ZOHO_CRITERIA=%22Localiza%20Chile%22.%22Codreg%22%3D3" u="1"/>
        <s v="https://analytics.zoho.com/open-view/2395394000008161200?ZOHO_CRITERIA=%22Localiza%20Chile%22.%22Codreg%22%3D4" u="1"/>
        <s v="https://analytics.zoho.com/open-view/2395394000008161201?ZOHO_CRITERIA=%22Localiza%20Chile%22.%22Codreg%22%3D4" u="1"/>
        <s v="https://analytics.zoho.com/open-view/2395394000008161202?ZOHO_CRITERIA=%22Localiza%20Chile%22.%22Codreg%22%3D4" u="1"/>
        <s v="https://analytics.zoho.com/open-view/2395394000008161203?ZOHO_CRITERIA=%22Localiza%20Chile%22.%22Codreg%22%3D4" u="1"/>
        <s v="https://analytics.zoho.com/open-view/2395394000008161204?ZOHO_CRITERIA=%22Localiza%20Chile%22.%22Codreg%22%3D4" u="1"/>
        <s v="https://analytics.zoho.com/open-view/2395394000008161205?ZOHO_CRITERIA=%22Localiza%20Chile%22.%22Codreg%22%3D4" u="1"/>
        <s v="https://analytics.zoho.com/open-view/2395394000008161206?ZOHO_CRITERIA=%22Localiza%20Chile%22.%22Codreg%22%3D4" u="1"/>
        <s v="https://analytics.zoho.com/open-view/2395394000008161207?ZOHO_CRITERIA=%22Localiza%20Chile%22.%22Codreg%22%3D4" u="1"/>
        <s v="https://analytics.zoho.com/open-view/2395394000008161208?ZOHO_CRITERIA=%22Localiza%20Chile%22.%22Codreg%22%3D4" u="1"/>
        <s v="https://analytics.zoho.com/open-view/2395394000008161209?ZOHO_CRITERIA=%22Localiza%20Chile%22.%22Codreg%22%3D4" u="1"/>
        <s v="https://analytics.zoho.com/open-view/2395394000008161214?ZOHO_CRITERIA=%22Localiza%20Chile%22.%22Codreg%22%3D4" u="1"/>
        <s v="https://analytics.zoho.com/open-view/2395394000008161220?ZOHO_CRITERIA=%22Localiza%20Chile%22.%22Codcom%22%3D9210" u="1"/>
        <s v="https://analytics.zoho.com/open-view/2395394000008161221?ZOHO_CRITERIA=%22Localiza%20Chile%22.%22Codcom%22%3D9210" u="1"/>
        <s v="https://analytics.zoho.com/open-view/2395394000008161222?ZOHO_CRITERIA=%22Localiza%20Chile%22.%22Codcom%22%3D9210" u="1"/>
        <s v="https://analytics.zoho.com/open-view/2395394000008161223?ZOHO_CRITERIA=%22Localiza%20Chile%22.%22Codcom%22%3D9210" u="1"/>
        <s v="https://analytics.zoho.com/open-view/2395394000008161224?ZOHO_CRITERIA=%22Localiza%20Chile%22.%22Codcom%22%3D9210" u="1"/>
        <s v="https://analytics.zoho.com/open-view/2395394000008161225?ZOHO_CRITERIA=%22Localiza%20Chile%22.%22Codcom%22%3D9210" u="1"/>
        <s v="https://analytics.zoho.com/open-view/2395394000008161226?ZOHO_CRITERIA=%22Localiza%20Chile%22.%22Codcom%22%3D9210" u="1"/>
        <s v="https://analytics.zoho.com/open-view/2395394000008161227?ZOHO_CRITERIA=%22Localiza%20Chile%22.%22Codcom%22%3D9210" u="1"/>
        <s v="https://analytics.zoho.com/open-view/2395394000008161228?ZOHO_CRITERIA=%22Localiza%20Chile%22.%22Codcom%22%3D9210" u="1"/>
        <s v="https://analytics.zoho.com/open-view/2395394000008161229?ZOHO_CRITERIA=%22Localiza%20Chile%22.%22Codcom%22%3D9210" u="1"/>
        <s v="https://analytics.zoho.com/open-view/2395394000008161231?ZOHO_CRITERIA=%22Localiza%20Chile%22.%22Codcom%22%3D9210" u="1"/>
        <s v="https://analytics.zoho.com/open-view/2395394000008161220?ZOHO_CRITERIA=%22Localiza%20Chile%22.%22Codcom%22%3D9211" u="1"/>
        <s v="https://analytics.zoho.com/open-view/2395394000008161221?ZOHO_CRITERIA=%22Localiza%20Chile%22.%22Codcom%22%3D9211" u="1"/>
        <s v="https://analytics.zoho.com/open-view/2395394000008161222?ZOHO_CRITERIA=%22Localiza%20Chile%22.%22Codcom%22%3D9211" u="1"/>
        <s v="https://analytics.zoho.com/open-view/2395394000008161223?ZOHO_CRITERIA=%22Localiza%20Chile%22.%22Codcom%22%3D9211" u="1"/>
        <s v="https://analytics.zoho.com/open-view/2395394000008161224?ZOHO_CRITERIA=%22Localiza%20Chile%22.%22Codcom%22%3D9211" u="1"/>
        <s v="https://analytics.zoho.com/open-view/2395394000008161225?ZOHO_CRITERIA=%22Localiza%20Chile%22.%22Codcom%22%3D9211" u="1"/>
        <s v="https://analytics.zoho.com/open-view/2395394000008161226?ZOHO_CRITERIA=%22Localiza%20Chile%22.%22Codcom%22%3D9211" u="1"/>
        <s v="https://analytics.zoho.com/open-view/2395394000008161227?ZOHO_CRITERIA=%22Localiza%20Chile%22.%22Codcom%22%3D9211" u="1"/>
        <s v="https://analytics.zoho.com/open-view/2395394000008161228?ZOHO_CRITERIA=%22Localiza%20Chile%22.%22Codcom%22%3D9211" u="1"/>
        <s v="https://analytics.zoho.com/open-view/2395394000008161229?ZOHO_CRITERIA=%22Localiza%20Chile%22.%22Codcom%22%3D9211" u="1"/>
        <s v="https://analytics.zoho.com/open-view/2395394000008161231?ZOHO_CRITERIA=%22Localiza%20Chile%22.%22Codcom%22%3D9211" u="1"/>
        <s v="https://analytics.zoho.com/open-view/2395394000008161200?ZOHO_CRITERIA=%22Localiza%20Chile%22.%22Codreg%22%3D5" u="1"/>
        <s v="https://analytics.zoho.com/open-view/2395394000008161201?ZOHO_CRITERIA=%22Localiza%20Chile%22.%22Codreg%22%3D5" u="1"/>
        <s v="https://analytics.zoho.com/open-view/2395394000008161202?ZOHO_CRITERIA=%22Localiza%20Chile%22.%22Codreg%22%3D5" u="1"/>
        <s v="https://analytics.zoho.com/open-view/2395394000008161203?ZOHO_CRITERIA=%22Localiza%20Chile%22.%22Codreg%22%3D5" u="1"/>
        <s v="https://analytics.zoho.com/open-view/2395394000008161204?ZOHO_CRITERIA=%22Localiza%20Chile%22.%22Codreg%22%3D5" u="1"/>
        <s v="https://analytics.zoho.com/open-view/2395394000008161205?ZOHO_CRITERIA=%22Localiza%20Chile%22.%22Codreg%22%3D5" u="1"/>
        <s v="https://analytics.zoho.com/open-view/2395394000008161206?ZOHO_CRITERIA=%22Localiza%20Chile%22.%22Codreg%22%3D5" u="1"/>
        <s v="https://analytics.zoho.com/open-view/2395394000008161207?ZOHO_CRITERIA=%22Localiza%20Chile%22.%22Codreg%22%3D5" u="1"/>
        <s v="https://analytics.zoho.com/open-view/2395394000008161208?ZOHO_CRITERIA=%22Localiza%20Chile%22.%22Codreg%22%3D5" u="1"/>
        <s v="https://analytics.zoho.com/open-view/2395394000008161209?ZOHO_CRITERIA=%22Localiza%20Chile%22.%22Codreg%22%3D5" u="1"/>
        <s v="https://analytics.zoho.com/open-view/2395394000008161214?ZOHO_CRITERIA=%22Localiza%20Chile%22.%22Codreg%22%3D5" u="1"/>
        <s v="https://analytics.zoho.com/open-view/2395394000008161200?ZOHO_CRITERIA=%22Localiza%20Chile%22.%22Codreg%22%3D6" u="1"/>
        <s v="https://analytics.zoho.com/open-view/2395394000008161201?ZOHO_CRITERIA=%22Localiza%20Chile%22.%22Codreg%22%3D6" u="1"/>
        <s v="https://analytics.zoho.com/open-view/2395394000008161202?ZOHO_CRITERIA=%22Localiza%20Chile%22.%22Codreg%22%3D6" u="1"/>
        <s v="https://analytics.zoho.com/open-view/2395394000008161203?ZOHO_CRITERIA=%22Localiza%20Chile%22.%22Codreg%22%3D6" u="1"/>
        <s v="https://analytics.zoho.com/open-view/2395394000008161204?ZOHO_CRITERIA=%22Localiza%20Chile%22.%22Codreg%22%3D6" u="1"/>
        <s v="https://analytics.zoho.com/open-view/2395394000008161205?ZOHO_CRITERIA=%22Localiza%20Chile%22.%22Codreg%22%3D6" u="1"/>
        <s v="https://analytics.zoho.com/open-view/2395394000008161206?ZOHO_CRITERIA=%22Localiza%20Chile%22.%22Codreg%22%3D6" u="1"/>
        <s v="https://analytics.zoho.com/open-view/2395394000008161207?ZOHO_CRITERIA=%22Localiza%20Chile%22.%22Codreg%22%3D6" u="1"/>
        <s v="https://analytics.zoho.com/open-view/2395394000008161208?ZOHO_CRITERIA=%22Localiza%20Chile%22.%22Codreg%22%3D6" u="1"/>
        <s v="https://analytics.zoho.com/open-view/2395394000008161209?ZOHO_CRITERIA=%22Localiza%20Chile%22.%22Codreg%22%3D6" u="1"/>
        <s v="https://analytics.zoho.com/open-view/2395394000008161214?ZOHO_CRITERIA=%22Localiza%20Chile%22.%22Codreg%22%3D6" u="1"/>
        <s v="https://analytics.zoho.com/open-view/2395394000008161200?ZOHO_CRITERIA=%22Localiza%20Chile%22.%22Codreg%22%3D7" u="1"/>
        <s v="https://analytics.zoho.com/open-view/2395394000008161201?ZOHO_CRITERIA=%22Localiza%20Chile%22.%22Codreg%22%3D7" u="1"/>
        <s v="https://analytics.zoho.com/open-view/2395394000008161202?ZOHO_CRITERIA=%22Localiza%20Chile%22.%22Codreg%22%3D7" u="1"/>
        <s v="https://analytics.zoho.com/open-view/2395394000008161203?ZOHO_CRITERIA=%22Localiza%20Chile%22.%22Codreg%22%3D7" u="1"/>
        <s v="https://analytics.zoho.com/open-view/2395394000008161204?ZOHO_CRITERIA=%22Localiza%20Chile%22.%22Codreg%22%3D7" u="1"/>
        <s v="https://analytics.zoho.com/open-view/2395394000008161205?ZOHO_CRITERIA=%22Localiza%20Chile%22.%22Codreg%22%3D7" u="1"/>
        <s v="https://analytics.zoho.com/open-view/2395394000008161206?ZOHO_CRITERIA=%22Localiza%20Chile%22.%22Codreg%22%3D7" u="1"/>
        <s v="https://analytics.zoho.com/open-view/2395394000008161207?ZOHO_CRITERIA=%22Localiza%20Chile%22.%22Codreg%22%3D7" u="1"/>
        <s v="https://analytics.zoho.com/open-view/2395394000008161208?ZOHO_CRITERIA=%22Localiza%20Chile%22.%22Codreg%22%3D7" u="1"/>
        <s v="https://analytics.zoho.com/open-view/2395394000008161209?ZOHO_CRITERIA=%22Localiza%20Chile%22.%22Codreg%22%3D7" u="1"/>
        <s v="https://analytics.zoho.com/open-view/2395394000008161214?ZOHO_CRITERIA=%22Localiza%20Chile%22.%22Codreg%22%3D7" u="1"/>
        <s v="https://analytics.zoho.com/open-view/2395394000008161200?ZOHO_CRITERIA=%22Localiza%20Chile%22.%22Codreg%22%3D10" u="1"/>
        <s v="https://analytics.zoho.com/open-view/2395394000008161201?ZOHO_CRITERIA=%22Localiza%20Chile%22.%22Codreg%22%3D10" u="1"/>
        <s v="https://analytics.zoho.com/open-view/2395394000008161202?ZOHO_CRITERIA=%22Localiza%20Chile%22.%22Codreg%22%3D10" u="1"/>
        <s v="https://analytics.zoho.com/open-view/2395394000008161203?ZOHO_CRITERIA=%22Localiza%20Chile%22.%22Codreg%22%3D10" u="1"/>
        <s v="https://analytics.zoho.com/open-view/2395394000008161204?ZOHO_CRITERIA=%22Localiza%20Chile%22.%22Codreg%22%3D10" u="1"/>
        <s v="https://analytics.zoho.com/open-view/2395394000008161205?ZOHO_CRITERIA=%22Localiza%20Chile%22.%22Codreg%22%3D10" u="1"/>
        <s v="https://analytics.zoho.com/open-view/2395394000008161206?ZOHO_CRITERIA=%22Localiza%20Chile%22.%22Codreg%22%3D10" u="1"/>
        <s v="https://analytics.zoho.com/open-view/2395394000008161207?ZOHO_CRITERIA=%22Localiza%20Chile%22.%22Codreg%22%3D10" u="1"/>
        <s v="https://analytics.zoho.com/open-view/2395394000008161208?ZOHO_CRITERIA=%22Localiza%20Chile%22.%22Codreg%22%3D10" u="1"/>
        <s v="https://analytics.zoho.com/open-view/2395394000008161209?ZOHO_CRITERIA=%22Localiza%20Chile%22.%22Codreg%22%3D10" u="1"/>
        <s v="https://analytics.zoho.com/open-view/2395394000008161214?ZOHO_CRITERIA=%22Localiza%20Chile%22.%22Codreg%22%3D10" u="1"/>
        <s v="https://analytics.zoho.com/open-view/2395394000008161220?ZOHO_CRITERIA=%22Localiza%20Chile%22.%22Codcom%22%3D10101" u="1"/>
        <s v="https://analytics.zoho.com/open-view/2395394000008161221?ZOHO_CRITERIA=%22Localiza%20Chile%22.%22Codcom%22%3D10101" u="1"/>
        <s v="https://analytics.zoho.com/open-view/2395394000008161222?ZOHO_CRITERIA=%22Localiza%20Chile%22.%22Codcom%22%3D10101" u="1"/>
        <s v="https://analytics.zoho.com/open-view/2395394000008161223?ZOHO_CRITERIA=%22Localiza%20Chile%22.%22Codcom%22%3D10101" u="1"/>
        <s v="https://analytics.zoho.com/open-view/2395394000008161224?ZOHO_CRITERIA=%22Localiza%20Chile%22.%22Codcom%22%3D10101" u="1"/>
        <s v="https://analytics.zoho.com/open-view/2395394000008161225?ZOHO_CRITERIA=%22Localiza%20Chile%22.%22Codcom%22%3D10101" u="1"/>
        <s v="https://analytics.zoho.com/open-view/2395394000008161226?ZOHO_CRITERIA=%22Localiza%20Chile%22.%22Codcom%22%3D10101" u="1"/>
        <s v="https://analytics.zoho.com/open-view/2395394000008161227?ZOHO_CRITERIA=%22Localiza%20Chile%22.%22Codcom%22%3D10101" u="1"/>
        <s v="https://analytics.zoho.com/open-view/2395394000008161228?ZOHO_CRITERIA=%22Localiza%20Chile%22.%22Codcom%22%3D10101" u="1"/>
        <s v="https://analytics.zoho.com/open-view/2395394000008161229?ZOHO_CRITERIA=%22Localiza%20Chile%22.%22Codcom%22%3D10101" u="1"/>
        <s v="https://analytics.zoho.com/open-view/2395394000008161231?ZOHO_CRITERIA=%22Localiza%20Chile%22.%22Codcom%22%3D10101" u="1"/>
        <s v="https://analytics.zoho.com/open-view/2395394000008161200?ZOHO_CRITERIA=%22Localiza%20Chile%22.%22Codreg%22%3D8" u="1"/>
        <s v="https://analytics.zoho.com/open-view/2395394000008161201?ZOHO_CRITERIA=%22Localiza%20Chile%22.%22Codreg%22%3D8" u="1"/>
        <s v="https://analytics.zoho.com/open-view/2395394000008161202?ZOHO_CRITERIA=%22Localiza%20Chile%22.%22Codreg%22%3D8" u="1"/>
        <s v="https://analytics.zoho.com/open-view/2395394000008161203?ZOHO_CRITERIA=%22Localiza%20Chile%22.%22Codreg%22%3D8" u="1"/>
        <s v="https://analytics.zoho.com/open-view/2395394000008161204?ZOHO_CRITERIA=%22Localiza%20Chile%22.%22Codreg%22%3D8" u="1"/>
        <s v="https://analytics.zoho.com/open-view/2395394000008161205?ZOHO_CRITERIA=%22Localiza%20Chile%22.%22Codreg%22%3D8" u="1"/>
        <s v="https://analytics.zoho.com/open-view/2395394000008161206?ZOHO_CRITERIA=%22Localiza%20Chile%22.%22Codreg%22%3D8" u="1"/>
        <s v="https://analytics.zoho.com/open-view/2395394000008161207?ZOHO_CRITERIA=%22Localiza%20Chile%22.%22Codreg%22%3D8" u="1"/>
        <s v="https://analytics.zoho.com/open-view/2395394000008161208?ZOHO_CRITERIA=%22Localiza%20Chile%22.%22Codreg%22%3D8" u="1"/>
        <s v="https://analytics.zoho.com/open-view/2395394000008161209?ZOHO_CRITERIA=%22Localiza%20Chile%22.%22Codreg%22%3D8" u="1"/>
        <s v="https://analytics.zoho.com/open-view/2395394000008161214?ZOHO_CRITERIA=%22Localiza%20Chile%22.%22Codreg%22%3D8" u="1"/>
        <s v="https://analytics.zoho.com/open-view/2395394000008161220?ZOHO_CRITERIA=%22Localiza%20Chile%22.%22Codcom%22%3D13301" u="1"/>
        <s v="https://analytics.zoho.com/open-view/2395394000008161221?ZOHO_CRITERIA=%22Localiza%20Chile%22.%22Codcom%22%3D13301" u="1"/>
        <s v="https://analytics.zoho.com/open-view/2395394000008161222?ZOHO_CRITERIA=%22Localiza%20Chile%22.%22Codcom%22%3D13301" u="1"/>
        <s v="https://analytics.zoho.com/open-view/2395394000008161223?ZOHO_CRITERIA=%22Localiza%20Chile%22.%22Codcom%22%3D13301" u="1"/>
        <s v="https://analytics.zoho.com/open-view/2395394000008161224?ZOHO_CRITERIA=%22Localiza%20Chile%22.%22Codcom%22%3D13301" u="1"/>
        <s v="https://analytics.zoho.com/open-view/2395394000008161225?ZOHO_CRITERIA=%22Localiza%20Chile%22.%22Codcom%22%3D13301" u="1"/>
        <s v="https://analytics.zoho.com/open-view/2395394000008161226?ZOHO_CRITERIA=%22Localiza%20Chile%22.%22Codcom%22%3D13301" u="1"/>
        <s v="https://analytics.zoho.com/open-view/2395394000008161227?ZOHO_CRITERIA=%22Localiza%20Chile%22.%22Codcom%22%3D13301" u="1"/>
        <s v="https://analytics.zoho.com/open-view/2395394000008161228?ZOHO_CRITERIA=%22Localiza%20Chile%22.%22Codcom%22%3D13301" u="1"/>
        <s v="https://analytics.zoho.com/open-view/2395394000008161229?ZOHO_CRITERIA=%22Localiza%20Chile%22.%22Codcom%22%3D13301" u="1"/>
        <s v="https://analytics.zoho.com/open-view/2395394000008161231?ZOHO_CRITERIA=%22Localiza%20Chile%22.%22Codcom%22%3D13301" u="1"/>
        <s v="https://analytics.zoho.com/open-view/2395394000008161200?ZOHO_CRITERIA=%22Localiza%20Chile%22.%22Codreg%22%3D9" u="1"/>
        <s v="https://analytics.zoho.com/open-view/2395394000008161201?ZOHO_CRITERIA=%22Localiza%20Chile%22.%22Codreg%22%3D9" u="1"/>
        <s v="https://analytics.zoho.com/open-view/2395394000008161202?ZOHO_CRITERIA=%22Localiza%20Chile%22.%22Codreg%22%3D9" u="1"/>
        <s v="https://analytics.zoho.com/open-view/2395394000008161203?ZOHO_CRITERIA=%22Localiza%20Chile%22.%22Codreg%22%3D9" u="1"/>
        <s v="https://analytics.zoho.com/open-view/2395394000008161204?ZOHO_CRITERIA=%22Localiza%20Chile%22.%22Codreg%22%3D9" u="1"/>
        <s v="https://analytics.zoho.com/open-view/2395394000008161205?ZOHO_CRITERIA=%22Localiza%20Chile%22.%22Codreg%22%3D9" u="1"/>
        <s v="https://analytics.zoho.com/open-view/2395394000008161206?ZOHO_CRITERIA=%22Localiza%20Chile%22.%22Codreg%22%3D9" u="1"/>
        <s v="https://analytics.zoho.com/open-view/2395394000008161207?ZOHO_CRITERIA=%22Localiza%20Chile%22.%22Codreg%22%3D9" u="1"/>
        <s v="https://analytics.zoho.com/open-view/2395394000008161208?ZOHO_CRITERIA=%22Localiza%20Chile%22.%22Codreg%22%3D9" u="1"/>
        <s v="https://analytics.zoho.com/open-view/2395394000008161209?ZOHO_CRITERIA=%22Localiza%20Chile%22.%22Codreg%22%3D9" u="1"/>
        <s v="https://analytics.zoho.com/open-view/2395394000008161214?ZOHO_CRITERIA=%22Localiza%20Chile%22.%22Codreg%22%3D9" u="1"/>
        <s v="https://analytics.zoho.com/open-view/2395394000008161200?ZOHO_CRITERIA=%22Localiza%20Chile%22.%22Codreg%22%3D14" u="1"/>
        <s v="https://analytics.zoho.com/open-view/2395394000008161201?ZOHO_CRITERIA=%22Localiza%20Chile%22.%22Codreg%22%3D14" u="1"/>
        <s v="https://analytics.zoho.com/open-view/2395394000008161202?ZOHO_CRITERIA=%22Localiza%20Chile%22.%22Codreg%22%3D14" u="1"/>
        <s v="https://analytics.zoho.com/open-view/2395394000008161203?ZOHO_CRITERIA=%22Localiza%20Chile%22.%22Codreg%22%3D14" u="1"/>
        <s v="https://analytics.zoho.com/open-view/2395394000008161204?ZOHO_CRITERIA=%22Localiza%20Chile%22.%22Codreg%22%3D14" u="1"/>
        <s v="https://analytics.zoho.com/open-view/2395394000008161205?ZOHO_CRITERIA=%22Localiza%20Chile%22.%22Codreg%22%3D14" u="1"/>
        <s v="https://analytics.zoho.com/open-view/2395394000008161206?ZOHO_CRITERIA=%22Localiza%20Chile%22.%22Codreg%22%3D14" u="1"/>
        <s v="https://analytics.zoho.com/open-view/2395394000008161207?ZOHO_CRITERIA=%22Localiza%20Chile%22.%22Codreg%22%3D14" u="1"/>
        <s v="https://analytics.zoho.com/open-view/2395394000008161208?ZOHO_CRITERIA=%22Localiza%20Chile%22.%22Codreg%22%3D14" u="1"/>
        <s v="https://analytics.zoho.com/open-view/2395394000008161209?ZOHO_CRITERIA=%22Localiza%20Chile%22.%22Codreg%22%3D14" u="1"/>
        <s v="https://analytics.zoho.com/open-view/2395394000008161214?ZOHO_CRITERIA=%22Localiza%20Chile%22.%22Codreg%22%3D14" u="1"/>
        <s v="https://analytics.zoho.com/open-view/2395394000008161220?ZOHO_CRITERIA=%22Localiza%20Chile%22.%22Codcom%22%3D14101" u="1"/>
        <s v="https://analytics.zoho.com/open-view/2395394000008161221?ZOHO_CRITERIA=%22Localiza%20Chile%22.%22Codcom%22%3D14101" u="1"/>
        <s v="https://analytics.zoho.com/open-view/2395394000008161222?ZOHO_CRITERIA=%22Localiza%20Chile%22.%22Codcom%22%3D14101" u="1"/>
        <s v="https://analytics.zoho.com/open-view/2395394000008161223?ZOHO_CRITERIA=%22Localiza%20Chile%22.%22Codcom%22%3D14101" u="1"/>
        <s v="https://analytics.zoho.com/open-view/2395394000008161224?ZOHO_CRITERIA=%22Localiza%20Chile%22.%22Codcom%22%3D14101" u="1"/>
        <s v="https://analytics.zoho.com/open-view/2395394000008161225?ZOHO_CRITERIA=%22Localiza%20Chile%22.%22Codcom%22%3D14101" u="1"/>
        <s v="https://analytics.zoho.com/open-view/2395394000008161226?ZOHO_CRITERIA=%22Localiza%20Chile%22.%22Codcom%22%3D14101" u="1"/>
        <s v="https://analytics.zoho.com/open-view/2395394000008161227?ZOHO_CRITERIA=%22Localiza%20Chile%22.%22Codcom%22%3D14101" u="1"/>
        <s v="https://analytics.zoho.com/open-view/2395394000008161228?ZOHO_CRITERIA=%22Localiza%20Chile%22.%22Codcom%22%3D14101" u="1"/>
        <s v="https://analytics.zoho.com/open-view/2395394000008161229?ZOHO_CRITERIA=%22Localiza%20Chile%22.%22Codcom%22%3D14101" u="1"/>
        <s v="https://analytics.zoho.com/open-view/2395394000008161231?ZOHO_CRITERIA=%22Localiza%20Chile%22.%22Codcom%22%3D14101" u="1"/>
        <s v="https://analytics.zoho.com/open-view/2395394000008161220?ZOHO_CRITERIA=%22Localiza%20Chile%22.%22Codcom%22%3D10102" u="1"/>
        <s v="https://analytics.zoho.com/open-view/2395394000008161221?ZOHO_CRITERIA=%22Localiza%20Chile%22.%22Codcom%22%3D10102" u="1"/>
        <s v="https://analytics.zoho.com/open-view/2395394000008161222?ZOHO_CRITERIA=%22Localiza%20Chile%22.%22Codcom%22%3D10102" u="1"/>
        <s v="https://analytics.zoho.com/open-view/2395394000008161223?ZOHO_CRITERIA=%22Localiza%20Chile%22.%22Codcom%22%3D10102" u="1"/>
        <s v="https://analytics.zoho.com/open-view/2395394000008161224?ZOHO_CRITERIA=%22Localiza%20Chile%22.%22Codcom%22%3D10102" u="1"/>
        <s v="https://analytics.zoho.com/open-view/2395394000008161225?ZOHO_CRITERIA=%22Localiza%20Chile%22.%22Codcom%22%3D10102" u="1"/>
        <s v="https://analytics.zoho.com/open-view/2395394000008161226?ZOHO_CRITERIA=%22Localiza%20Chile%22.%22Codcom%22%3D10102" u="1"/>
        <s v="https://analytics.zoho.com/open-view/2395394000008161227?ZOHO_CRITERIA=%22Localiza%20Chile%22.%22Codcom%22%3D10102" u="1"/>
        <s v="https://analytics.zoho.com/open-view/2395394000008161228?ZOHO_CRITERIA=%22Localiza%20Chile%22.%22Codcom%22%3D10102" u="1"/>
        <s v="https://analytics.zoho.com/open-view/2395394000008161229?ZOHO_CRITERIA=%22Localiza%20Chile%22.%22Codcom%22%3D10102" u="1"/>
        <s v="https://analytics.zoho.com/open-view/2395394000008161231?ZOHO_CRITERIA=%22Localiza%20Chile%22.%22Codcom%22%3D10102" u="1"/>
        <s v="https://analytics.zoho.com/open-view/2395394000008161161" u="1"/>
        <s v="https://analytics.zoho.com/open-view/2395394000008161220?ZOHO_CRITERIA=%22Localiza%20Chile%22.%22Codcom%22%3D13302" u="1"/>
        <s v="https://analytics.zoho.com/open-view/2395394000008161221?ZOHO_CRITERIA=%22Localiza%20Chile%22.%22Codcom%22%3D13302" u="1"/>
        <s v="https://analytics.zoho.com/open-view/2395394000008161222?ZOHO_CRITERIA=%22Localiza%20Chile%22.%22Codcom%22%3D13302" u="1"/>
        <s v="https://analytics.zoho.com/open-view/2395394000008161223?ZOHO_CRITERIA=%22Localiza%20Chile%22.%22Codcom%22%3D13302" u="1"/>
        <s v="https://analytics.zoho.com/open-view/2395394000008161224?ZOHO_CRITERIA=%22Localiza%20Chile%22.%22Codcom%22%3D13302" u="1"/>
        <s v="https://analytics.zoho.com/open-view/2395394000008161225?ZOHO_CRITERIA=%22Localiza%20Chile%22.%22Codcom%22%3D13302" u="1"/>
        <s v="https://analytics.zoho.com/open-view/2395394000008161226?ZOHO_CRITERIA=%22Localiza%20Chile%22.%22Codcom%22%3D13302" u="1"/>
        <s v="https://analytics.zoho.com/open-view/2395394000008161227?ZOHO_CRITERIA=%22Localiza%20Chile%22.%22Codcom%22%3D13302" u="1"/>
        <s v="https://analytics.zoho.com/open-view/2395394000008161228?ZOHO_CRITERIA=%22Localiza%20Chile%22.%22Codcom%22%3D13302" u="1"/>
        <s v="https://analytics.zoho.com/open-view/2395394000008161229?ZOHO_CRITERIA=%22Localiza%20Chile%22.%22Codcom%22%3D13302" u="1"/>
        <s v="https://analytics.zoho.com/open-view/2395394000008161231?ZOHO_CRITERIA=%22Localiza%20Chile%22.%22Codcom%22%3D13302" u="1"/>
        <s v="https://analytics.zoho.com/open-view/2395394000008161220?ZOHO_CRITERIA=%22Localiza%20Chile%22.%22Codcom%22%3D14102" u="1"/>
        <s v="https://analytics.zoho.com/open-view/2395394000008161221?ZOHO_CRITERIA=%22Localiza%20Chile%22.%22Codcom%22%3D14102" u="1"/>
        <s v="https://analytics.zoho.com/open-view/2395394000008161222?ZOHO_CRITERIA=%22Localiza%20Chile%22.%22Codcom%22%3D14102" u="1"/>
        <s v="https://analytics.zoho.com/open-view/2395394000008161223?ZOHO_CRITERIA=%22Localiza%20Chile%22.%22Codcom%22%3D14102" u="1"/>
        <s v="https://analytics.zoho.com/open-view/2395394000008161224?ZOHO_CRITERIA=%22Localiza%20Chile%22.%22Codcom%22%3D14102" u="1"/>
        <s v="https://analytics.zoho.com/open-view/2395394000008161225?ZOHO_CRITERIA=%22Localiza%20Chile%22.%22Codcom%22%3D14102" u="1"/>
        <s v="https://analytics.zoho.com/open-view/2395394000008161226?ZOHO_CRITERIA=%22Localiza%20Chile%22.%22Codcom%22%3D14102" u="1"/>
        <s v="https://analytics.zoho.com/open-view/2395394000008161227?ZOHO_CRITERIA=%22Localiza%20Chile%22.%22Codcom%22%3D14102" u="1"/>
        <s v="https://analytics.zoho.com/open-view/2395394000008161228?ZOHO_CRITERIA=%22Localiza%20Chile%22.%22Codcom%22%3D14102" u="1"/>
        <s v="https://analytics.zoho.com/open-view/2395394000008161229?ZOHO_CRITERIA=%22Localiza%20Chile%22.%22Codcom%22%3D14102" u="1"/>
        <s v="https://analytics.zoho.com/open-view/2395394000008161231?ZOHO_CRITERIA=%22Localiza%20Chile%22.%22Codcom%22%3D14102" u="1"/>
        <s v="https://analytics.zoho.com/open-view/2395394000008161220?ZOHO_CRITERIA=%22Localiza%20Chile%22.%22Codcom%22%3D10103" u="1"/>
        <s v="https://analytics.zoho.com/open-view/2395394000008161221?ZOHO_CRITERIA=%22Localiza%20Chile%22.%22Codcom%22%3D10103" u="1"/>
        <s v="https://analytics.zoho.com/open-view/2395394000008161222?ZOHO_CRITERIA=%22Localiza%20Chile%22.%22Codcom%22%3D10103" u="1"/>
        <s v="https://analytics.zoho.com/open-view/2395394000008161223?ZOHO_CRITERIA=%22Localiza%20Chile%22.%22Codcom%22%3D10103" u="1"/>
        <s v="https://analytics.zoho.com/open-view/2395394000008161224?ZOHO_CRITERIA=%22Localiza%20Chile%22.%22Codcom%22%3D10103" u="1"/>
        <s v="https://analytics.zoho.com/open-view/2395394000008161225?ZOHO_CRITERIA=%22Localiza%20Chile%22.%22Codcom%22%3D10103" u="1"/>
        <s v="https://analytics.zoho.com/open-view/2395394000008161226?ZOHO_CRITERIA=%22Localiza%20Chile%22.%22Codcom%22%3D10103" u="1"/>
        <s v="https://analytics.zoho.com/open-view/2395394000008161227?ZOHO_CRITERIA=%22Localiza%20Chile%22.%22Codcom%22%3D10103" u="1"/>
        <s v="https://analytics.zoho.com/open-view/2395394000008161228?ZOHO_CRITERIA=%22Localiza%20Chile%22.%22Codcom%22%3D10103" u="1"/>
        <s v="https://analytics.zoho.com/open-view/2395394000008161229?ZOHO_CRITERIA=%22Localiza%20Chile%22.%22Codcom%22%3D10103" u="1"/>
        <s v="https://analytics.zoho.com/open-view/2395394000008161231?ZOHO_CRITERIA=%22Localiza%20Chile%22.%22Codcom%22%3D10103" u="1"/>
        <s v="https://analytics.zoho.com/open-view/2395394000008161220?ZOHO_CRITERIA=%22Localiza%20Chile%22.%22Codcom%22%3D13303" u="1"/>
        <s v="https://analytics.zoho.com/open-view/2395394000008161221?ZOHO_CRITERIA=%22Localiza%20Chile%22.%22Codcom%22%3D13303" u="1"/>
        <s v="https://analytics.zoho.com/open-view/2395394000008161222?ZOHO_CRITERIA=%22Localiza%20Chile%22.%22Codcom%22%3D13303" u="1"/>
        <s v="https://analytics.zoho.com/open-view/2395394000008161223?ZOHO_CRITERIA=%22Localiza%20Chile%22.%22Codcom%22%3D13303" u="1"/>
        <s v="https://analytics.zoho.com/open-view/2395394000008161224?ZOHO_CRITERIA=%22Localiza%20Chile%22.%22Codcom%22%3D13303" u="1"/>
        <s v="https://analytics.zoho.com/open-view/2395394000008161225?ZOHO_CRITERIA=%22Localiza%20Chile%22.%22Codcom%22%3D13303" u="1"/>
        <s v="https://analytics.zoho.com/open-view/2395394000008161226?ZOHO_CRITERIA=%22Localiza%20Chile%22.%22Codcom%22%3D13303" u="1"/>
        <s v="https://analytics.zoho.com/open-view/2395394000008161227?ZOHO_CRITERIA=%22Localiza%20Chile%22.%22Codcom%22%3D13303" u="1"/>
        <s v="https://analytics.zoho.com/open-view/2395394000008161228?ZOHO_CRITERIA=%22Localiza%20Chile%22.%22Codcom%22%3D13303" u="1"/>
        <s v="https://analytics.zoho.com/open-view/2395394000008161229?ZOHO_CRITERIA=%22Localiza%20Chile%22.%22Codcom%22%3D13303" u="1"/>
        <s v="https://analytics.zoho.com/open-view/2395394000008161231?ZOHO_CRITERIA=%22Localiza%20Chile%22.%22Codcom%22%3D13303" u="1"/>
        <s v="https://analytics.zoho.com/open-view/2395394000008161220?ZOHO_CRITERIA=%22Localiza%20Chile%22.%22Codcom%22%3D14103" u="1"/>
        <s v="https://analytics.zoho.com/open-view/2395394000008161221?ZOHO_CRITERIA=%22Localiza%20Chile%22.%22Codcom%22%3D14103" u="1"/>
        <s v="https://analytics.zoho.com/open-view/2395394000008161222?ZOHO_CRITERIA=%22Localiza%20Chile%22.%22Codcom%22%3D14103" u="1"/>
        <s v="https://analytics.zoho.com/open-view/2395394000008161223?ZOHO_CRITERIA=%22Localiza%20Chile%22.%22Codcom%22%3D14103" u="1"/>
        <s v="https://analytics.zoho.com/open-view/2395394000008161224?ZOHO_CRITERIA=%22Localiza%20Chile%22.%22Codcom%22%3D14103" u="1"/>
        <s v="https://analytics.zoho.com/open-view/2395394000008161225?ZOHO_CRITERIA=%22Localiza%20Chile%22.%22Codcom%22%3D14103" u="1"/>
        <s v="https://analytics.zoho.com/open-view/2395394000008161226?ZOHO_CRITERIA=%22Localiza%20Chile%22.%22Codcom%22%3D14103" u="1"/>
        <s v="https://analytics.zoho.com/open-view/2395394000008161227?ZOHO_CRITERIA=%22Localiza%20Chile%22.%22Codcom%22%3D14103" u="1"/>
        <s v="https://analytics.zoho.com/open-view/2395394000008161228?ZOHO_CRITERIA=%22Localiza%20Chile%22.%22Codcom%22%3D14103" u="1"/>
        <s v="https://analytics.zoho.com/open-view/2395394000008161229?ZOHO_CRITERIA=%22Localiza%20Chile%22.%22Codcom%22%3D14103" u="1"/>
        <s v="https://analytics.zoho.com/open-view/2395394000008161231?ZOHO_CRITERIA=%22Localiza%20Chile%22.%22Codcom%22%3D14103" u="1"/>
        <s v="https://analytics.zoho.com/open-view/2395394000008161220?ZOHO_CRITERIA=%22Localiza%20Chile%22.%22Codcom%22%3D10104" u="1"/>
        <s v="https://analytics.zoho.com/open-view/2395394000008161221?ZOHO_CRITERIA=%22Localiza%20Chile%22.%22Codcom%22%3D10104" u="1"/>
        <s v="https://analytics.zoho.com/open-view/2395394000008161222?ZOHO_CRITERIA=%22Localiza%20Chile%22.%22Codcom%22%3D10104" u="1"/>
        <s v="https://analytics.zoho.com/open-view/2395394000008161223?ZOHO_CRITERIA=%22Localiza%20Chile%22.%22Codcom%22%3D10104" u="1"/>
        <s v="https://analytics.zoho.com/open-view/2395394000008161224?ZOHO_CRITERIA=%22Localiza%20Chile%22.%22Codcom%22%3D10104" u="1"/>
        <s v="https://analytics.zoho.com/open-view/2395394000008161225?ZOHO_CRITERIA=%22Localiza%20Chile%22.%22Codcom%22%3D10104" u="1"/>
        <s v="https://analytics.zoho.com/open-view/2395394000008161226?ZOHO_CRITERIA=%22Localiza%20Chile%22.%22Codcom%22%3D10104" u="1"/>
        <s v="https://analytics.zoho.com/open-view/2395394000008161227?ZOHO_CRITERIA=%22Localiza%20Chile%22.%22Codcom%22%3D10104" u="1"/>
        <s v="https://analytics.zoho.com/open-view/2395394000008161228?ZOHO_CRITERIA=%22Localiza%20Chile%22.%22Codcom%22%3D10104" u="1"/>
        <s v="https://analytics.zoho.com/open-view/2395394000008161229?ZOHO_CRITERIA=%22Localiza%20Chile%22.%22Codcom%22%3D10104" u="1"/>
        <s v="https://analytics.zoho.com/open-view/2395394000008161231?ZOHO_CRITERIA=%22Localiza%20Chile%22.%22Codcom%22%3D10104" u="1"/>
        <s v="https://analytics.zoho.com/open-view/2395394000008161220?ZOHO_CRITERIA=%22Localiza%20Chile%22.%22Codcom%22%3D2301" u="1"/>
        <s v="https://analytics.zoho.com/open-view/2395394000008161221?ZOHO_CRITERIA=%22Localiza%20Chile%22.%22Codcom%22%3D2301" u="1"/>
        <s v="https://analytics.zoho.com/open-view/2395394000008161222?ZOHO_CRITERIA=%22Localiza%20Chile%22.%22Codcom%22%3D2301" u="1"/>
        <s v="https://analytics.zoho.com/open-view/2395394000008161223?ZOHO_CRITERIA=%22Localiza%20Chile%22.%22Codcom%22%3D2301" u="1"/>
        <s v="https://analytics.zoho.com/open-view/2395394000008161224?ZOHO_CRITERIA=%22Localiza%20Chile%22.%22Codcom%22%3D2301" u="1"/>
        <s v="https://analytics.zoho.com/open-view/2395394000008161225?ZOHO_CRITERIA=%22Localiza%20Chile%22.%22Codcom%22%3D2301" u="1"/>
        <s v="https://analytics.zoho.com/open-view/2395394000008161226?ZOHO_CRITERIA=%22Localiza%20Chile%22.%22Codcom%22%3D2301" u="1"/>
        <s v="https://analytics.zoho.com/open-view/2395394000008161227?ZOHO_CRITERIA=%22Localiza%20Chile%22.%22Codcom%22%3D2301" u="1"/>
        <s v="https://analytics.zoho.com/open-view/2395394000008161228?ZOHO_CRITERIA=%22Localiza%20Chile%22.%22Codcom%22%3D2301" u="1"/>
        <s v="https://analytics.zoho.com/open-view/2395394000008161229?ZOHO_CRITERIA=%22Localiza%20Chile%22.%22Codcom%22%3D2301" u="1"/>
        <s v="https://analytics.zoho.com/open-view/2395394000008161231?ZOHO_CRITERIA=%22Localiza%20Chile%22.%22Codcom%22%3D2301" u="1"/>
        <s v="https://analytics.zoho.com/open-view/2395394000008161220?ZOHO_CRITERIA=%22Localiza%20Chile%22.%22Codcom%22%3D2302" u="1"/>
        <s v="https://analytics.zoho.com/open-view/2395394000008161221?ZOHO_CRITERIA=%22Localiza%20Chile%22.%22Codcom%22%3D2302" u="1"/>
        <s v="https://analytics.zoho.com/open-view/2395394000008161222?ZOHO_CRITERIA=%22Localiza%20Chile%22.%22Codcom%22%3D2302" u="1"/>
        <s v="https://analytics.zoho.com/open-view/2395394000008161223?ZOHO_CRITERIA=%22Localiza%20Chile%22.%22Codcom%22%3D2302" u="1"/>
        <s v="https://analytics.zoho.com/open-view/2395394000008161224?ZOHO_CRITERIA=%22Localiza%20Chile%22.%22Codcom%22%3D2302" u="1"/>
        <s v="https://analytics.zoho.com/open-view/2395394000008161225?ZOHO_CRITERIA=%22Localiza%20Chile%22.%22Codcom%22%3D2302" u="1"/>
        <s v="https://analytics.zoho.com/open-view/2395394000008161226?ZOHO_CRITERIA=%22Localiza%20Chile%22.%22Codcom%22%3D2302" u="1"/>
        <s v="https://analytics.zoho.com/open-view/2395394000008161227?ZOHO_CRITERIA=%22Localiza%20Chile%22.%22Codcom%22%3D2302" u="1"/>
        <s v="https://analytics.zoho.com/open-view/2395394000008161228?ZOHO_CRITERIA=%22Localiza%20Chile%22.%22Codcom%22%3D2302" u="1"/>
        <s v="https://analytics.zoho.com/open-view/2395394000008161229?ZOHO_CRITERIA=%22Localiza%20Chile%22.%22Codcom%22%3D2302" u="1"/>
        <s v="https://analytics.zoho.com/open-view/2395394000008161231?ZOHO_CRITERIA=%22Localiza%20Chile%22.%22Codcom%22%3D2302" u="1"/>
        <s v="https://analytics.zoho.com/open-view/2395394000008161220?ZOHO_CRITERIA=%22Localiza%20Chile%22.%22Codcom%22%3D3301" u="1"/>
        <s v="https://analytics.zoho.com/open-view/2395394000008161221?ZOHO_CRITERIA=%22Localiza%20Chile%22.%22Codcom%22%3D3301" u="1"/>
        <s v="https://analytics.zoho.com/open-view/2395394000008161222?ZOHO_CRITERIA=%22Localiza%20Chile%22.%22Codcom%22%3D3301" u="1"/>
        <s v="https://analytics.zoho.com/open-view/2395394000008161223?ZOHO_CRITERIA=%22Localiza%20Chile%22.%22Codcom%22%3D3301" u="1"/>
        <s v="https://analytics.zoho.com/open-view/2395394000008161224?ZOHO_CRITERIA=%22Localiza%20Chile%22.%22Codcom%22%3D3301" u="1"/>
        <s v="https://analytics.zoho.com/open-view/2395394000008161225?ZOHO_CRITERIA=%22Localiza%20Chile%22.%22Codcom%22%3D3301" u="1"/>
        <s v="https://analytics.zoho.com/open-view/2395394000008161226?ZOHO_CRITERIA=%22Localiza%20Chile%22.%22Codcom%22%3D3301" u="1"/>
        <s v="https://analytics.zoho.com/open-view/2395394000008161227?ZOHO_CRITERIA=%22Localiza%20Chile%22.%22Codcom%22%3D3301" u="1"/>
        <s v="https://analytics.zoho.com/open-view/2395394000008161228?ZOHO_CRITERIA=%22Localiza%20Chile%22.%22Codcom%22%3D3301" u="1"/>
        <s v="https://analytics.zoho.com/open-view/2395394000008161229?ZOHO_CRITERIA=%22Localiza%20Chile%22.%22Codcom%22%3D3301" u="1"/>
        <s v="https://analytics.zoho.com/open-view/2395394000008161231?ZOHO_CRITERIA=%22Localiza%20Chile%22.%22Codcom%22%3D3301" u="1"/>
        <s v="https://analytics.zoho.com/open-view/2395394000008161220?ZOHO_CRITERIA=%22Localiza%20Chile%22.%22Codcom%22%3D3302" u="1"/>
        <s v="https://analytics.zoho.com/open-view/2395394000008161221?ZOHO_CRITERIA=%22Localiza%20Chile%22.%22Codcom%22%3D3302" u="1"/>
        <s v="https://analytics.zoho.com/open-view/2395394000008161222?ZOHO_CRITERIA=%22Localiza%20Chile%22.%22Codcom%22%3D3302" u="1"/>
        <s v="https://analytics.zoho.com/open-view/2395394000008161223?ZOHO_CRITERIA=%22Localiza%20Chile%22.%22Codcom%22%3D3302" u="1"/>
        <s v="https://analytics.zoho.com/open-view/2395394000008161224?ZOHO_CRITERIA=%22Localiza%20Chile%22.%22Codcom%22%3D3302" u="1"/>
        <s v="https://analytics.zoho.com/open-view/2395394000008161225?ZOHO_CRITERIA=%22Localiza%20Chile%22.%22Codcom%22%3D3302" u="1"/>
        <s v="https://analytics.zoho.com/open-view/2395394000008161226?ZOHO_CRITERIA=%22Localiza%20Chile%22.%22Codcom%22%3D3302" u="1"/>
        <s v="https://analytics.zoho.com/open-view/2395394000008161227?ZOHO_CRITERIA=%22Localiza%20Chile%22.%22Codcom%22%3D3302" u="1"/>
        <s v="https://analytics.zoho.com/open-view/2395394000008161228?ZOHO_CRITERIA=%22Localiza%20Chile%22.%22Codcom%22%3D3302" u="1"/>
        <s v="https://analytics.zoho.com/open-view/2395394000008161229?ZOHO_CRITERIA=%22Localiza%20Chile%22.%22Codcom%22%3D3302" u="1"/>
        <s v="https://analytics.zoho.com/open-view/2395394000008161231?ZOHO_CRITERIA=%22Localiza%20Chile%22.%22Codcom%22%3D3302" u="1"/>
        <s v="https://analytics.zoho.com/open-view/2395394000008161220?ZOHO_CRITERIA=%22Localiza%20Chile%22.%22Codcom%22%3D3303" u="1"/>
        <s v="https://analytics.zoho.com/open-view/2395394000008161221?ZOHO_CRITERIA=%22Localiza%20Chile%22.%22Codcom%22%3D3303" u="1"/>
        <s v="https://analytics.zoho.com/open-view/2395394000008161222?ZOHO_CRITERIA=%22Localiza%20Chile%22.%22Codcom%22%3D3303" u="1"/>
        <s v="https://analytics.zoho.com/open-view/2395394000008161223?ZOHO_CRITERIA=%22Localiza%20Chile%22.%22Codcom%22%3D3303" u="1"/>
        <s v="https://analytics.zoho.com/open-view/2395394000008161224?ZOHO_CRITERIA=%22Localiza%20Chile%22.%22Codcom%22%3D3303" u="1"/>
        <s v="https://analytics.zoho.com/open-view/2395394000008161225?ZOHO_CRITERIA=%22Localiza%20Chile%22.%22Codcom%22%3D3303" u="1"/>
        <s v="https://analytics.zoho.com/open-view/2395394000008161226?ZOHO_CRITERIA=%22Localiza%20Chile%22.%22Codcom%22%3D3303" u="1"/>
        <s v="https://analytics.zoho.com/open-view/2395394000008161227?ZOHO_CRITERIA=%22Localiza%20Chile%22.%22Codcom%22%3D3303" u="1"/>
        <s v="https://analytics.zoho.com/open-view/2395394000008161228?ZOHO_CRITERIA=%22Localiza%20Chile%22.%22Codcom%22%3D3303" u="1"/>
        <s v="https://analytics.zoho.com/open-view/2395394000008161229?ZOHO_CRITERIA=%22Localiza%20Chile%22.%22Codcom%22%3D3303" u="1"/>
        <s v="https://analytics.zoho.com/open-view/2395394000008161231?ZOHO_CRITERIA=%22Localiza%20Chile%22.%22Codcom%22%3D3303" u="1"/>
        <s v="https://analytics.zoho.com/open-view/2395394000008161220?ZOHO_CRITERIA=%22Localiza%20Chile%22.%22Codcom%22%3D3304" u="1"/>
        <s v="https://analytics.zoho.com/open-view/2395394000008161221?ZOHO_CRITERIA=%22Localiza%20Chile%22.%22Codcom%22%3D3304" u="1"/>
        <s v="https://analytics.zoho.com/open-view/2395394000008161222?ZOHO_CRITERIA=%22Localiza%20Chile%22.%22Codcom%22%3D3304" u="1"/>
        <s v="https://analytics.zoho.com/open-view/2395394000008161223?ZOHO_CRITERIA=%22Localiza%20Chile%22.%22Codcom%22%3D3304" u="1"/>
        <s v="https://analytics.zoho.com/open-view/2395394000008161224?ZOHO_CRITERIA=%22Localiza%20Chile%22.%22Codcom%22%3D3304" u="1"/>
        <s v="https://analytics.zoho.com/open-view/2395394000008161225?ZOHO_CRITERIA=%22Localiza%20Chile%22.%22Codcom%22%3D3304" u="1"/>
        <s v="https://analytics.zoho.com/open-view/2395394000008161226?ZOHO_CRITERIA=%22Localiza%20Chile%22.%22Codcom%22%3D3304" u="1"/>
        <s v="https://analytics.zoho.com/open-view/2395394000008161227?ZOHO_CRITERIA=%22Localiza%20Chile%22.%22Codcom%22%3D3304" u="1"/>
        <s v="https://analytics.zoho.com/open-view/2395394000008161228?ZOHO_CRITERIA=%22Localiza%20Chile%22.%22Codcom%22%3D3304" u="1"/>
        <s v="https://analytics.zoho.com/open-view/2395394000008161229?ZOHO_CRITERIA=%22Localiza%20Chile%22.%22Codcom%22%3D3304" u="1"/>
        <s v="https://analytics.zoho.com/open-view/2395394000008161231?ZOHO_CRITERIA=%22Localiza%20Chile%22.%22Codcom%22%3D3304" u="1"/>
        <s v="https://analytics.zoho.com/open-view/2395394000008161220?ZOHO_CRITERIA=%22Localiza%20Chile%22.%22Codcom%22%3D14104" u="1"/>
        <s v="https://analytics.zoho.com/open-view/2395394000008161221?ZOHO_CRITERIA=%22Localiza%20Chile%22.%22Codcom%22%3D14104" u="1"/>
        <s v="https://analytics.zoho.com/open-view/2395394000008161222?ZOHO_CRITERIA=%22Localiza%20Chile%22.%22Codcom%22%3D14104" u="1"/>
        <s v="https://analytics.zoho.com/open-view/2395394000008161223?ZOHO_CRITERIA=%22Localiza%20Chile%22.%22Codcom%22%3D14104" u="1"/>
        <s v="https://analytics.zoho.com/open-view/2395394000008161224?ZOHO_CRITERIA=%22Localiza%20Chile%22.%22Codcom%22%3D14104" u="1"/>
        <s v="https://analytics.zoho.com/open-view/2395394000008161225?ZOHO_CRITERIA=%22Localiza%20Chile%22.%22Codcom%22%3D14104" u="1"/>
        <s v="https://analytics.zoho.com/open-view/2395394000008161226?ZOHO_CRITERIA=%22Localiza%20Chile%22.%22Codcom%22%3D14104" u="1"/>
        <s v="https://analytics.zoho.com/open-view/2395394000008161227?ZOHO_CRITERIA=%22Localiza%20Chile%22.%22Codcom%22%3D14104" u="1"/>
        <s v="https://analytics.zoho.com/open-view/2395394000008161228?ZOHO_CRITERIA=%22Localiza%20Chile%22.%22Codcom%22%3D14104" u="1"/>
        <s v="https://analytics.zoho.com/open-view/2395394000008161229?ZOHO_CRITERIA=%22Localiza%20Chile%22.%22Codcom%22%3D14104" u="1"/>
        <s v="https://analytics.zoho.com/open-view/2395394000008161231?ZOHO_CRITERIA=%22Localiza%20Chile%22.%22Codcom%22%3D14104" u="1"/>
        <s v="https://analytics.zoho.com/open-view/2395394000008161220?ZOHO_CRITERIA=%22Localiza%20Chile%22.%22Codcom%22%3D10105" u="1"/>
        <s v="https://analytics.zoho.com/open-view/2395394000008161221?ZOHO_CRITERIA=%22Localiza%20Chile%22.%22Codcom%22%3D10105" u="1"/>
        <s v="https://analytics.zoho.com/open-view/2395394000008161222?ZOHO_CRITERIA=%22Localiza%20Chile%22.%22Codcom%22%3D10105" u="1"/>
        <s v="https://analytics.zoho.com/open-view/2395394000008161223?ZOHO_CRITERIA=%22Localiza%20Chile%22.%22Codcom%22%3D10105" u="1"/>
        <s v="https://analytics.zoho.com/open-view/2395394000008161224?ZOHO_CRITERIA=%22Localiza%20Chile%22.%22Codcom%22%3D10105" u="1"/>
        <s v="https://analytics.zoho.com/open-view/2395394000008161225?ZOHO_CRITERIA=%22Localiza%20Chile%22.%22Codcom%22%3D10105" u="1"/>
        <s v="https://analytics.zoho.com/open-view/2395394000008161226?ZOHO_CRITERIA=%22Localiza%20Chile%22.%22Codcom%22%3D10105" u="1"/>
        <s v="https://analytics.zoho.com/open-view/2395394000008161227?ZOHO_CRITERIA=%22Localiza%20Chile%22.%22Codcom%22%3D10105" u="1"/>
        <s v="https://analytics.zoho.com/open-view/2395394000008161228?ZOHO_CRITERIA=%22Localiza%20Chile%22.%22Codcom%22%3D10105" u="1"/>
        <s v="https://analytics.zoho.com/open-view/2395394000008161229?ZOHO_CRITERIA=%22Localiza%20Chile%22.%22Codcom%22%3D10105" u="1"/>
        <s v="https://analytics.zoho.com/open-view/2395394000008161231?ZOHO_CRITERIA=%22Localiza%20Chile%22.%22Codcom%22%3D10105" u="1"/>
        <s v="https://analytics.zoho.com/open-view/2395394000008161220?ZOHO_CRITERIA=%22Localiza%20Chile%22.%22Codcom%22%3D4301" u="1"/>
        <s v="https://analytics.zoho.com/open-view/2395394000008161221?ZOHO_CRITERIA=%22Localiza%20Chile%22.%22Codcom%22%3D4301" u="1"/>
        <s v="https://analytics.zoho.com/open-view/2395394000008161222?ZOHO_CRITERIA=%22Localiza%20Chile%22.%22Codcom%22%3D4301" u="1"/>
        <s v="https://analytics.zoho.com/open-view/2395394000008161223?ZOHO_CRITERIA=%22Localiza%20Chile%22.%22Codcom%22%3D4301" u="1"/>
        <s v="https://analytics.zoho.com/open-view/2395394000008161224?ZOHO_CRITERIA=%22Localiza%20Chile%22.%22Codcom%22%3D4301" u="1"/>
        <s v="https://analytics.zoho.com/open-view/2395394000008161225?ZOHO_CRITERIA=%22Localiza%20Chile%22.%22Codcom%22%3D4301" u="1"/>
        <s v="https://analytics.zoho.com/open-view/2395394000008161226?ZOHO_CRITERIA=%22Localiza%20Chile%22.%22Codcom%22%3D4301" u="1"/>
        <s v="https://analytics.zoho.com/open-view/2395394000008161227?ZOHO_CRITERIA=%22Localiza%20Chile%22.%22Codcom%22%3D4301" u="1"/>
        <s v="https://analytics.zoho.com/open-view/2395394000008161228?ZOHO_CRITERIA=%22Localiza%20Chile%22.%22Codcom%22%3D4301" u="1"/>
        <s v="https://analytics.zoho.com/open-view/2395394000008161229?ZOHO_CRITERIA=%22Localiza%20Chile%22.%22Codcom%22%3D4301" u="1"/>
        <s v="https://analytics.zoho.com/open-view/2395394000008161231?ZOHO_CRITERIA=%22Localiza%20Chile%22.%22Codcom%22%3D4301" u="1"/>
        <s v="https://analytics.zoho.com/open-view/2395394000008161220?ZOHO_CRITERIA=%22Localiza%20Chile%22.%22Codcom%22%3D4302" u="1"/>
        <s v="https://analytics.zoho.com/open-view/2395394000008161221?ZOHO_CRITERIA=%22Localiza%20Chile%22.%22Codcom%22%3D4302" u="1"/>
        <s v="https://analytics.zoho.com/open-view/2395394000008161222?ZOHO_CRITERIA=%22Localiza%20Chile%22.%22Codcom%22%3D4302" u="1"/>
        <s v="https://analytics.zoho.com/open-view/2395394000008161223?ZOHO_CRITERIA=%22Localiza%20Chile%22.%22Codcom%22%3D4302" u="1"/>
        <s v="https://analytics.zoho.com/open-view/2395394000008161224?ZOHO_CRITERIA=%22Localiza%20Chile%22.%22Codcom%22%3D4302" u="1"/>
        <s v="https://analytics.zoho.com/open-view/2395394000008161225?ZOHO_CRITERIA=%22Localiza%20Chile%22.%22Codcom%22%3D4302" u="1"/>
        <s v="https://analytics.zoho.com/open-view/2395394000008161226?ZOHO_CRITERIA=%22Localiza%20Chile%22.%22Codcom%22%3D4302" u="1"/>
        <s v="https://analytics.zoho.com/open-view/2395394000008161227?ZOHO_CRITERIA=%22Localiza%20Chile%22.%22Codcom%22%3D4302" u="1"/>
        <s v="https://analytics.zoho.com/open-view/2395394000008161228?ZOHO_CRITERIA=%22Localiza%20Chile%22.%22Codcom%22%3D4302" u="1"/>
        <s v="https://analytics.zoho.com/open-view/2395394000008161229?ZOHO_CRITERIA=%22Localiza%20Chile%22.%22Codcom%22%3D4302" u="1"/>
        <s v="https://analytics.zoho.com/open-view/2395394000008161231?ZOHO_CRITERIA=%22Localiza%20Chile%22.%22Codcom%22%3D4302" u="1"/>
        <s v="https://analytics.zoho.com/open-view/2395394000008161220?ZOHO_CRITERIA=%22Localiza%20Chile%22.%22Codcom%22%3D4303" u="1"/>
        <s v="https://analytics.zoho.com/open-view/2395394000008161221?ZOHO_CRITERIA=%22Localiza%20Chile%22.%22Codcom%22%3D4303" u="1"/>
        <s v="https://analytics.zoho.com/open-view/2395394000008161222?ZOHO_CRITERIA=%22Localiza%20Chile%22.%22Codcom%22%3D4303" u="1"/>
        <s v="https://analytics.zoho.com/open-view/2395394000008161223?ZOHO_CRITERIA=%22Localiza%20Chile%22.%22Codcom%22%3D4303" u="1"/>
        <s v="https://analytics.zoho.com/open-view/2395394000008161224?ZOHO_CRITERIA=%22Localiza%20Chile%22.%22Codcom%22%3D4303" u="1"/>
        <s v="https://analytics.zoho.com/open-view/2395394000008161225?ZOHO_CRITERIA=%22Localiza%20Chile%22.%22Codcom%22%3D4303" u="1"/>
        <s v="https://analytics.zoho.com/open-view/2395394000008161226?ZOHO_CRITERIA=%22Localiza%20Chile%22.%22Codcom%22%3D4303" u="1"/>
        <s v="https://analytics.zoho.com/open-view/2395394000008161227?ZOHO_CRITERIA=%22Localiza%20Chile%22.%22Codcom%22%3D4303" u="1"/>
        <s v="https://analytics.zoho.com/open-view/2395394000008161228?ZOHO_CRITERIA=%22Localiza%20Chile%22.%22Codcom%22%3D4303" u="1"/>
        <s v="https://analytics.zoho.com/open-view/2395394000008161229?ZOHO_CRITERIA=%22Localiza%20Chile%22.%22Codcom%22%3D4303" u="1"/>
        <s v="https://analytics.zoho.com/open-view/2395394000008161231?ZOHO_CRITERIA=%22Localiza%20Chile%22.%22Codcom%22%3D4303" u="1"/>
        <s v="https://analytics.zoho.com/open-view/2395394000008161220?ZOHO_CRITERIA=%22Localiza%20Chile%22.%22Codcom%22%3D4304" u="1"/>
        <s v="https://analytics.zoho.com/open-view/2395394000008161221?ZOHO_CRITERIA=%22Localiza%20Chile%22.%22Codcom%22%3D4304" u="1"/>
        <s v="https://analytics.zoho.com/open-view/2395394000008161222?ZOHO_CRITERIA=%22Localiza%20Chile%22.%22Codcom%22%3D4304" u="1"/>
        <s v="https://analytics.zoho.com/open-view/2395394000008161223?ZOHO_CRITERIA=%22Localiza%20Chile%22.%22Codcom%22%3D4304" u="1"/>
        <s v="https://analytics.zoho.com/open-view/2395394000008161224?ZOHO_CRITERIA=%22Localiza%20Chile%22.%22Codcom%22%3D4304" u="1"/>
        <s v="https://analytics.zoho.com/open-view/2395394000008161225?ZOHO_CRITERIA=%22Localiza%20Chile%22.%22Codcom%22%3D4304" u="1"/>
        <s v="https://analytics.zoho.com/open-view/2395394000008161226?ZOHO_CRITERIA=%22Localiza%20Chile%22.%22Codcom%22%3D4304" u="1"/>
        <s v="https://analytics.zoho.com/open-view/2395394000008161227?ZOHO_CRITERIA=%22Localiza%20Chile%22.%22Codcom%22%3D4304" u="1"/>
        <s v="https://analytics.zoho.com/open-view/2395394000008161228?ZOHO_CRITERIA=%22Localiza%20Chile%22.%22Codcom%22%3D4304" u="1"/>
        <s v="https://analytics.zoho.com/open-view/2395394000008161229?ZOHO_CRITERIA=%22Localiza%20Chile%22.%22Codcom%22%3D4304" u="1"/>
        <s v="https://analytics.zoho.com/open-view/2395394000008161231?ZOHO_CRITERIA=%22Localiza%20Chile%22.%22Codcom%22%3D4304" u="1"/>
        <s v="https://analytics.zoho.com/open-view/2395394000008161220?ZOHO_CRITERIA=%22Localiza%20Chile%22.%22Codcom%22%3D4305" u="1"/>
        <s v="https://analytics.zoho.com/open-view/2395394000008161221?ZOHO_CRITERIA=%22Localiza%20Chile%22.%22Codcom%22%3D4305" u="1"/>
        <s v="https://analytics.zoho.com/open-view/2395394000008161222?ZOHO_CRITERIA=%22Localiza%20Chile%22.%22Codcom%22%3D4305" u="1"/>
        <s v="https://analytics.zoho.com/open-view/2395394000008161223?ZOHO_CRITERIA=%22Localiza%20Chile%22.%22Codcom%22%3D4305" u="1"/>
        <s v="https://analytics.zoho.com/open-view/2395394000008161224?ZOHO_CRITERIA=%22Localiza%20Chile%22.%22Codcom%22%3D4305" u="1"/>
        <s v="https://analytics.zoho.com/open-view/2395394000008161225?ZOHO_CRITERIA=%22Localiza%20Chile%22.%22Codcom%22%3D4305" u="1"/>
        <s v="https://analytics.zoho.com/open-view/2395394000008161226?ZOHO_CRITERIA=%22Localiza%20Chile%22.%22Codcom%22%3D4305" u="1"/>
        <s v="https://analytics.zoho.com/open-view/2395394000008161227?ZOHO_CRITERIA=%22Localiza%20Chile%22.%22Codcom%22%3D4305" u="1"/>
        <s v="https://analytics.zoho.com/open-view/2395394000008161228?ZOHO_CRITERIA=%22Localiza%20Chile%22.%22Codcom%22%3D4305" u="1"/>
        <s v="https://analytics.zoho.com/open-view/2395394000008161229?ZOHO_CRITERIA=%22Localiza%20Chile%22.%22Codcom%22%3D4305" u="1"/>
        <s v="https://analytics.zoho.com/open-view/2395394000008161231?ZOHO_CRITERIA=%22Localiza%20Chile%22.%22Codcom%22%3D4305" u="1"/>
        <s v="https://analytics.zoho.com/open-view/2395394000008161220?ZOHO_CRITERIA=%22Localiza%20Chile%22.%22Codcom%22%3D5301" u="1"/>
        <s v="https://analytics.zoho.com/open-view/2395394000008161221?ZOHO_CRITERIA=%22Localiza%20Chile%22.%22Codcom%22%3D5301" u="1"/>
        <s v="https://analytics.zoho.com/open-view/2395394000008161222?ZOHO_CRITERIA=%22Localiza%20Chile%22.%22Codcom%22%3D5301" u="1"/>
        <s v="https://analytics.zoho.com/open-view/2395394000008161223?ZOHO_CRITERIA=%22Localiza%20Chile%22.%22Codcom%22%3D5301" u="1"/>
        <s v="https://analytics.zoho.com/open-view/2395394000008161224?ZOHO_CRITERIA=%22Localiza%20Chile%22.%22Codcom%22%3D5301" u="1"/>
        <s v="https://analytics.zoho.com/open-view/2395394000008161225?ZOHO_CRITERIA=%22Localiza%20Chile%22.%22Codcom%22%3D5301" u="1"/>
        <s v="https://analytics.zoho.com/open-view/2395394000008161226?ZOHO_CRITERIA=%22Localiza%20Chile%22.%22Codcom%22%3D5301" u="1"/>
        <s v="https://analytics.zoho.com/open-view/2395394000008161227?ZOHO_CRITERIA=%22Localiza%20Chile%22.%22Codcom%22%3D5301" u="1"/>
        <s v="https://analytics.zoho.com/open-view/2395394000008161228?ZOHO_CRITERIA=%22Localiza%20Chile%22.%22Codcom%22%3D5301" u="1"/>
        <s v="https://analytics.zoho.com/open-view/2395394000008161229?ZOHO_CRITERIA=%22Localiza%20Chile%22.%22Codcom%22%3D5301" u="1"/>
        <s v="https://analytics.zoho.com/open-view/2395394000008161231?ZOHO_CRITERIA=%22Localiza%20Chile%22.%22Codcom%22%3D5301" u="1"/>
        <s v="https://analytics.zoho.com/open-view/2395394000008161220?ZOHO_CRITERIA=%22Localiza%20Chile%22.%22Codcom%22%3D5302" u="1"/>
        <s v="https://analytics.zoho.com/open-view/2395394000008161221?ZOHO_CRITERIA=%22Localiza%20Chile%22.%22Codcom%22%3D5302" u="1"/>
        <s v="https://analytics.zoho.com/open-view/2395394000008161222?ZOHO_CRITERIA=%22Localiza%20Chile%22.%22Codcom%22%3D5302" u="1"/>
        <s v="https://analytics.zoho.com/open-view/2395394000008161223?ZOHO_CRITERIA=%22Localiza%20Chile%22.%22Codcom%22%3D5302" u="1"/>
        <s v="https://analytics.zoho.com/open-view/2395394000008161224?ZOHO_CRITERIA=%22Localiza%20Chile%22.%22Codcom%22%3D5302" u="1"/>
        <s v="https://analytics.zoho.com/open-view/2395394000008161225?ZOHO_CRITERIA=%22Localiza%20Chile%22.%22Codcom%22%3D5302" u="1"/>
        <s v="https://analytics.zoho.com/open-view/2395394000008161226?ZOHO_CRITERIA=%22Localiza%20Chile%22.%22Codcom%22%3D5302" u="1"/>
        <s v="https://analytics.zoho.com/open-view/2395394000008161227?ZOHO_CRITERIA=%22Localiza%20Chile%22.%22Codcom%22%3D5302" u="1"/>
        <s v="https://analytics.zoho.com/open-view/2395394000008161228?ZOHO_CRITERIA=%22Localiza%20Chile%22.%22Codcom%22%3D5302" u="1"/>
        <s v="https://analytics.zoho.com/open-view/2395394000008161229?ZOHO_CRITERIA=%22Localiza%20Chile%22.%22Codcom%22%3D5302" u="1"/>
        <s v="https://analytics.zoho.com/open-view/2395394000008161231?ZOHO_CRITERIA=%22Localiza%20Chile%22.%22Codcom%22%3D5302" u="1"/>
        <s v="https://analytics.zoho.com/open-view/2395394000008161220?ZOHO_CRITERIA=%22Localiza%20Chile%22.%22Codcom%22%3D5303" u="1"/>
        <s v="https://analytics.zoho.com/open-view/2395394000008161221?ZOHO_CRITERIA=%22Localiza%20Chile%22.%22Codcom%22%3D5303" u="1"/>
        <s v="https://analytics.zoho.com/open-view/2395394000008161222?ZOHO_CRITERIA=%22Localiza%20Chile%22.%22Codcom%22%3D5303" u="1"/>
        <s v="https://analytics.zoho.com/open-view/2395394000008161223?ZOHO_CRITERIA=%22Localiza%20Chile%22.%22Codcom%22%3D5303" u="1"/>
        <s v="https://analytics.zoho.com/open-view/2395394000008161224?ZOHO_CRITERIA=%22Localiza%20Chile%22.%22Codcom%22%3D5303" u="1"/>
        <s v="https://analytics.zoho.com/open-view/2395394000008161225?ZOHO_CRITERIA=%22Localiza%20Chile%22.%22Codcom%22%3D5303" u="1"/>
        <s v="https://analytics.zoho.com/open-view/2395394000008161226?ZOHO_CRITERIA=%22Localiza%20Chile%22.%22Codcom%22%3D5303" u="1"/>
        <s v="https://analytics.zoho.com/open-view/2395394000008161227?ZOHO_CRITERIA=%22Localiza%20Chile%22.%22Codcom%22%3D5303" u="1"/>
        <s v="https://analytics.zoho.com/open-view/2395394000008161228?ZOHO_CRITERIA=%22Localiza%20Chile%22.%22Codcom%22%3D5303" u="1"/>
        <s v="https://analytics.zoho.com/open-view/2395394000008161229?ZOHO_CRITERIA=%22Localiza%20Chile%22.%22Codcom%22%3D5303" u="1"/>
        <s v="https://analytics.zoho.com/open-view/2395394000008161231?ZOHO_CRITERIA=%22Localiza%20Chile%22.%22Codcom%22%3D5303" u="1"/>
        <s v="https://analytics.zoho.com/open-view/2395394000008161220?ZOHO_CRITERIA=%22Localiza%20Chile%22.%22Codcom%22%3D5304" u="1"/>
        <s v="https://analytics.zoho.com/open-view/2395394000008161221?ZOHO_CRITERIA=%22Localiza%20Chile%22.%22Codcom%22%3D5304" u="1"/>
        <s v="https://analytics.zoho.com/open-view/2395394000008161222?ZOHO_CRITERIA=%22Localiza%20Chile%22.%22Codcom%22%3D5304" u="1"/>
        <s v="https://analytics.zoho.com/open-view/2395394000008161223?ZOHO_CRITERIA=%22Localiza%20Chile%22.%22Codcom%22%3D5304" u="1"/>
        <s v="https://analytics.zoho.com/open-view/2395394000008161224?ZOHO_CRITERIA=%22Localiza%20Chile%22.%22Codcom%22%3D5304" u="1"/>
        <s v="https://analytics.zoho.com/open-view/2395394000008161225?ZOHO_CRITERIA=%22Localiza%20Chile%22.%22Codcom%22%3D5304" u="1"/>
        <s v="https://analytics.zoho.com/open-view/2395394000008161226?ZOHO_CRITERIA=%22Localiza%20Chile%22.%22Codcom%22%3D5304" u="1"/>
        <s v="https://analytics.zoho.com/open-view/2395394000008161227?ZOHO_CRITERIA=%22Localiza%20Chile%22.%22Codcom%22%3D5304" u="1"/>
        <s v="https://analytics.zoho.com/open-view/2395394000008161228?ZOHO_CRITERIA=%22Localiza%20Chile%22.%22Codcom%22%3D5304" u="1"/>
        <s v="https://analytics.zoho.com/open-view/2395394000008161229?ZOHO_CRITERIA=%22Localiza%20Chile%22.%22Codcom%22%3D5304" u="1"/>
        <s v="https://analytics.zoho.com/open-view/2395394000008161231?ZOHO_CRITERIA=%22Localiza%20Chile%22.%22Codcom%22%3D5304" u="1"/>
        <s v="https://analytics.zoho.com/open-view/2395394000008161220?ZOHO_CRITERIA=%22Localiza%20Chile%22.%22Codcom%22%3D14105" u="1"/>
        <s v="https://analytics.zoho.com/open-view/2395394000008161221?ZOHO_CRITERIA=%22Localiza%20Chile%22.%22Codcom%22%3D14105" u="1"/>
        <s v="https://analytics.zoho.com/open-view/2395394000008161222?ZOHO_CRITERIA=%22Localiza%20Chile%22.%22Codcom%22%3D14105" u="1"/>
        <s v="https://analytics.zoho.com/open-view/2395394000008161223?ZOHO_CRITERIA=%22Localiza%20Chile%22.%22Codcom%22%3D14105" u="1"/>
        <s v="https://analytics.zoho.com/open-view/2395394000008161224?ZOHO_CRITERIA=%22Localiza%20Chile%22.%22Codcom%22%3D14105" u="1"/>
        <s v="https://analytics.zoho.com/open-view/2395394000008161225?ZOHO_CRITERIA=%22Localiza%20Chile%22.%22Codcom%22%3D14105" u="1"/>
        <s v="https://analytics.zoho.com/open-view/2395394000008161226?ZOHO_CRITERIA=%22Localiza%20Chile%22.%22Codcom%22%3D14105" u="1"/>
        <s v="https://analytics.zoho.com/open-view/2395394000008161227?ZOHO_CRITERIA=%22Localiza%20Chile%22.%22Codcom%22%3D14105" u="1"/>
        <s v="https://analytics.zoho.com/open-view/2395394000008161228?ZOHO_CRITERIA=%22Localiza%20Chile%22.%22Codcom%22%3D14105" u="1"/>
        <s v="https://analytics.zoho.com/open-view/2395394000008161229?ZOHO_CRITERIA=%22Localiza%20Chile%22.%22Codcom%22%3D14105" u="1"/>
        <s v="https://analytics.zoho.com/open-view/2395394000008161231?ZOHO_CRITERIA=%22Localiza%20Chile%22.%22Codcom%22%3D14105" u="1"/>
        <s v="https://analytics.zoho.com/open-view/2395394000008161220?ZOHO_CRITERIA=%22Localiza%20Chile%22.%22Codcom%22%3D10106" u="1"/>
        <s v="https://analytics.zoho.com/open-view/2395394000008161221?ZOHO_CRITERIA=%22Localiza%20Chile%22.%22Codcom%22%3D10106" u="1"/>
        <s v="https://analytics.zoho.com/open-view/2395394000008161222?ZOHO_CRITERIA=%22Localiza%20Chile%22.%22Codcom%22%3D10106" u="1"/>
        <s v="https://analytics.zoho.com/open-view/2395394000008161223?ZOHO_CRITERIA=%22Localiza%20Chile%22.%22Codcom%22%3D10106" u="1"/>
        <s v="https://analytics.zoho.com/open-view/2395394000008161224?ZOHO_CRITERIA=%22Localiza%20Chile%22.%22Codcom%22%3D10106" u="1"/>
        <s v="https://analytics.zoho.com/open-view/2395394000008161225?ZOHO_CRITERIA=%22Localiza%20Chile%22.%22Codcom%22%3D10106" u="1"/>
        <s v="https://analytics.zoho.com/open-view/2395394000008161226?ZOHO_CRITERIA=%22Localiza%20Chile%22.%22Codcom%22%3D10106" u="1"/>
        <s v="https://analytics.zoho.com/open-view/2395394000008161227?ZOHO_CRITERIA=%22Localiza%20Chile%22.%22Codcom%22%3D10106" u="1"/>
        <s v="https://analytics.zoho.com/open-view/2395394000008161228?ZOHO_CRITERIA=%22Localiza%20Chile%22.%22Codcom%22%3D10106" u="1"/>
        <s v="https://analytics.zoho.com/open-view/2395394000008161229?ZOHO_CRITERIA=%22Localiza%20Chile%22.%22Codcom%22%3D10106" u="1"/>
        <s v="https://analytics.zoho.com/open-view/2395394000008161231?ZOHO_CRITERIA=%22Localiza%20Chile%22.%22Codcom%22%3D10106" u="1"/>
        <s v="https://analytics.zoho.com/open-view/2395394000008161220?ZOHO_CRITERIA=%22Localiza%20Chile%22.%22Codcom%22%3D6301" u="1"/>
        <s v="https://analytics.zoho.com/open-view/2395394000008161221?ZOHO_CRITERIA=%22Localiza%20Chile%22.%22Codcom%22%3D6301" u="1"/>
        <s v="https://analytics.zoho.com/open-view/2395394000008161222?ZOHO_CRITERIA=%22Localiza%20Chile%22.%22Codcom%22%3D6301" u="1"/>
        <s v="https://analytics.zoho.com/open-view/2395394000008161223?ZOHO_CRITERIA=%22Localiza%20Chile%22.%22Codcom%22%3D6301" u="1"/>
        <s v="https://analytics.zoho.com/open-view/2395394000008161224?ZOHO_CRITERIA=%22Localiza%20Chile%22.%22Codcom%22%3D6301" u="1"/>
        <s v="https://analytics.zoho.com/open-view/2395394000008161225?ZOHO_CRITERIA=%22Localiza%20Chile%22.%22Codcom%22%3D6301" u="1"/>
        <s v="https://analytics.zoho.com/open-view/2395394000008161226?ZOHO_CRITERIA=%22Localiza%20Chile%22.%22Codcom%22%3D6301" u="1"/>
        <s v="https://analytics.zoho.com/open-view/2395394000008161227?ZOHO_CRITERIA=%22Localiza%20Chile%22.%22Codcom%22%3D6301" u="1"/>
        <s v="https://analytics.zoho.com/open-view/2395394000008161228?ZOHO_CRITERIA=%22Localiza%20Chile%22.%22Codcom%22%3D6301" u="1"/>
        <s v="https://analytics.zoho.com/open-view/2395394000008161229?ZOHO_CRITERIA=%22Localiza%20Chile%22.%22Codcom%22%3D6301" u="1"/>
        <s v="https://analytics.zoho.com/open-view/2395394000008161231?ZOHO_CRITERIA=%22Localiza%20Chile%22.%22Codcom%22%3D6301" u="1"/>
        <s v="https://analytics.zoho.com/open-view/2395394000008161220?ZOHO_CRITERIA=%22Localiza%20Chile%22.%22Codcom%22%3D6302" u="1"/>
        <s v="https://analytics.zoho.com/open-view/2395394000008161221?ZOHO_CRITERIA=%22Localiza%20Chile%22.%22Codcom%22%3D6302" u="1"/>
        <s v="https://analytics.zoho.com/open-view/2395394000008161222?ZOHO_CRITERIA=%22Localiza%20Chile%22.%22Codcom%22%3D6302" u="1"/>
        <s v="https://analytics.zoho.com/open-view/2395394000008161223?ZOHO_CRITERIA=%22Localiza%20Chile%22.%22Codcom%22%3D6302" u="1"/>
        <s v="https://analytics.zoho.com/open-view/2395394000008161224?ZOHO_CRITERIA=%22Localiza%20Chile%22.%22Codcom%22%3D6302" u="1"/>
        <s v="https://analytics.zoho.com/open-view/2395394000008161225?ZOHO_CRITERIA=%22Localiza%20Chile%22.%22Codcom%22%3D6302" u="1"/>
        <s v="https://analytics.zoho.com/open-view/2395394000008161226?ZOHO_CRITERIA=%22Localiza%20Chile%22.%22Codcom%22%3D6302" u="1"/>
        <s v="https://analytics.zoho.com/open-view/2395394000008161227?ZOHO_CRITERIA=%22Localiza%20Chile%22.%22Codcom%22%3D6302" u="1"/>
        <s v="https://analytics.zoho.com/open-view/2395394000008161228?ZOHO_CRITERIA=%22Localiza%20Chile%22.%22Codcom%22%3D6302" u="1"/>
        <s v="https://analytics.zoho.com/open-view/2395394000008161229?ZOHO_CRITERIA=%22Localiza%20Chile%22.%22Codcom%22%3D6302" u="1"/>
        <s v="https://analytics.zoho.com/open-view/2395394000008161231?ZOHO_CRITERIA=%22Localiza%20Chile%22.%22Codcom%22%3D6302" u="1"/>
        <s v="https://analytics.zoho.com/open-view/2395394000008161220?ZOHO_CRITERIA=%22Localiza%20Chile%22.%22Codcom%22%3D6303" u="1"/>
        <s v="https://analytics.zoho.com/open-view/2395394000008161221?ZOHO_CRITERIA=%22Localiza%20Chile%22.%22Codcom%22%3D6303" u="1"/>
        <s v="https://analytics.zoho.com/open-view/2395394000008161222?ZOHO_CRITERIA=%22Localiza%20Chile%22.%22Codcom%22%3D6303" u="1"/>
        <s v="https://analytics.zoho.com/open-view/2395394000008161223?ZOHO_CRITERIA=%22Localiza%20Chile%22.%22Codcom%22%3D6303" u="1"/>
        <s v="https://analytics.zoho.com/open-view/2395394000008161224?ZOHO_CRITERIA=%22Localiza%20Chile%22.%22Codcom%22%3D6303" u="1"/>
        <s v="https://analytics.zoho.com/open-view/2395394000008161225?ZOHO_CRITERIA=%22Localiza%20Chile%22.%22Codcom%22%3D6303" u="1"/>
        <s v="https://analytics.zoho.com/open-view/2395394000008161226?ZOHO_CRITERIA=%22Localiza%20Chile%22.%22Codcom%22%3D6303" u="1"/>
        <s v="https://analytics.zoho.com/open-view/2395394000008161227?ZOHO_CRITERIA=%22Localiza%20Chile%22.%22Codcom%22%3D6303" u="1"/>
        <s v="https://analytics.zoho.com/open-view/2395394000008161228?ZOHO_CRITERIA=%22Localiza%20Chile%22.%22Codcom%22%3D6303" u="1"/>
        <s v="https://analytics.zoho.com/open-view/2395394000008161229?ZOHO_CRITERIA=%22Localiza%20Chile%22.%22Codcom%22%3D6303" u="1"/>
        <s v="https://analytics.zoho.com/open-view/2395394000008161231?ZOHO_CRITERIA=%22Localiza%20Chile%22.%22Codcom%22%3D6303" u="1"/>
        <s v="https://analytics.zoho.com/open-view/2395394000008161220?ZOHO_CRITERIA=%22Localiza%20Chile%22.%22Codcom%22%3D6304" u="1"/>
        <s v="https://analytics.zoho.com/open-view/2395394000008161221?ZOHO_CRITERIA=%22Localiza%20Chile%22.%22Codcom%22%3D6304" u="1"/>
        <s v="https://analytics.zoho.com/open-view/2395394000008161222?ZOHO_CRITERIA=%22Localiza%20Chile%22.%22Codcom%22%3D6304" u="1"/>
        <s v="https://analytics.zoho.com/open-view/2395394000008161223?ZOHO_CRITERIA=%22Localiza%20Chile%22.%22Codcom%22%3D6304" u="1"/>
        <s v="https://analytics.zoho.com/open-view/2395394000008161224?ZOHO_CRITERIA=%22Localiza%20Chile%22.%22Codcom%22%3D6304" u="1"/>
        <s v="https://analytics.zoho.com/open-view/2395394000008161225?ZOHO_CRITERIA=%22Localiza%20Chile%22.%22Codcom%22%3D6304" u="1"/>
        <s v="https://analytics.zoho.com/open-view/2395394000008161226?ZOHO_CRITERIA=%22Localiza%20Chile%22.%22Codcom%22%3D6304" u="1"/>
        <s v="https://analytics.zoho.com/open-view/2395394000008161227?ZOHO_CRITERIA=%22Localiza%20Chile%22.%22Codcom%22%3D6304" u="1"/>
        <s v="https://analytics.zoho.com/open-view/2395394000008161228?ZOHO_CRITERIA=%22Localiza%20Chile%22.%22Codcom%22%3D6304" u="1"/>
        <s v="https://analytics.zoho.com/open-view/2395394000008161229?ZOHO_CRITERIA=%22Localiza%20Chile%22.%22Codcom%22%3D6304" u="1"/>
        <s v="https://analytics.zoho.com/open-view/2395394000008161231?ZOHO_CRITERIA=%22Localiza%20Chile%22.%22Codcom%22%3D6304" u="1"/>
        <s v="https://analytics.zoho.com/open-view/2395394000008161220?ZOHO_CRITERIA=%22Localiza%20Chile%22.%22Codcom%22%3D6305" u="1"/>
        <s v="https://analytics.zoho.com/open-view/2395394000008161221?ZOHO_CRITERIA=%22Localiza%20Chile%22.%22Codcom%22%3D6305" u="1"/>
        <s v="https://analytics.zoho.com/open-view/2395394000008161222?ZOHO_CRITERIA=%22Localiza%20Chile%22.%22Codcom%22%3D6305" u="1"/>
        <s v="https://analytics.zoho.com/open-view/2395394000008161223?ZOHO_CRITERIA=%22Localiza%20Chile%22.%22Codcom%22%3D6305" u="1"/>
        <s v="https://analytics.zoho.com/open-view/2395394000008161224?ZOHO_CRITERIA=%22Localiza%20Chile%22.%22Codcom%22%3D6305" u="1"/>
        <s v="https://analytics.zoho.com/open-view/2395394000008161225?ZOHO_CRITERIA=%22Localiza%20Chile%22.%22Codcom%22%3D6305" u="1"/>
        <s v="https://analytics.zoho.com/open-view/2395394000008161226?ZOHO_CRITERIA=%22Localiza%20Chile%22.%22Codcom%22%3D6305" u="1"/>
        <s v="https://analytics.zoho.com/open-view/2395394000008161227?ZOHO_CRITERIA=%22Localiza%20Chile%22.%22Codcom%22%3D6305" u="1"/>
        <s v="https://analytics.zoho.com/open-view/2395394000008161228?ZOHO_CRITERIA=%22Localiza%20Chile%22.%22Codcom%22%3D6305" u="1"/>
        <s v="https://analytics.zoho.com/open-view/2395394000008161229?ZOHO_CRITERIA=%22Localiza%20Chile%22.%22Codcom%22%3D6305" u="1"/>
        <s v="https://analytics.zoho.com/open-view/2395394000008161231?ZOHO_CRITERIA=%22Localiza%20Chile%22.%22Codcom%22%3D6305" u="1"/>
        <s v="https://analytics.zoho.com/open-view/2395394000008161220?ZOHO_CRITERIA=%22Localiza%20Chile%22.%22Codcom%22%3D6306" u="1"/>
        <s v="https://analytics.zoho.com/open-view/2395394000008161221?ZOHO_CRITERIA=%22Localiza%20Chile%22.%22Codcom%22%3D6306" u="1"/>
        <s v="https://analytics.zoho.com/open-view/2395394000008161222?ZOHO_CRITERIA=%22Localiza%20Chile%22.%22Codcom%22%3D6306" u="1"/>
        <s v="https://analytics.zoho.com/open-view/2395394000008161223?ZOHO_CRITERIA=%22Localiza%20Chile%22.%22Codcom%22%3D6306" u="1"/>
        <s v="https://analytics.zoho.com/open-view/2395394000008161224?ZOHO_CRITERIA=%22Localiza%20Chile%22.%22Codcom%22%3D6306" u="1"/>
        <s v="https://analytics.zoho.com/open-view/2395394000008161225?ZOHO_CRITERIA=%22Localiza%20Chile%22.%22Codcom%22%3D6306" u="1"/>
        <s v="https://analytics.zoho.com/open-view/2395394000008161226?ZOHO_CRITERIA=%22Localiza%20Chile%22.%22Codcom%22%3D6306" u="1"/>
        <s v="https://analytics.zoho.com/open-view/2395394000008161227?ZOHO_CRITERIA=%22Localiza%20Chile%22.%22Codcom%22%3D6306" u="1"/>
        <s v="https://analytics.zoho.com/open-view/2395394000008161228?ZOHO_CRITERIA=%22Localiza%20Chile%22.%22Codcom%22%3D6306" u="1"/>
        <s v="https://analytics.zoho.com/open-view/2395394000008161229?ZOHO_CRITERIA=%22Localiza%20Chile%22.%22Codcom%22%3D6306" u="1"/>
        <s v="https://analytics.zoho.com/open-view/2395394000008161231?ZOHO_CRITERIA=%22Localiza%20Chile%22.%22Codcom%22%3D6306" u="1"/>
        <s v="https://analytics.zoho.com/open-view/2395394000008161220?ZOHO_CRITERIA=%22Localiza%20Chile%22.%22Codcom%22%3D6307" u="1"/>
        <s v="https://analytics.zoho.com/open-view/2395394000008161221?ZOHO_CRITERIA=%22Localiza%20Chile%22.%22Codcom%22%3D6307" u="1"/>
        <s v="https://analytics.zoho.com/open-view/2395394000008161222?ZOHO_CRITERIA=%22Localiza%20Chile%22.%22Codcom%22%3D6307" u="1"/>
        <s v="https://analytics.zoho.com/open-view/2395394000008161223?ZOHO_CRITERIA=%22Localiza%20Chile%22.%22Codcom%22%3D6307" u="1"/>
        <s v="https://analytics.zoho.com/open-view/2395394000008161224?ZOHO_CRITERIA=%22Localiza%20Chile%22.%22Codcom%22%3D6307" u="1"/>
        <s v="https://analytics.zoho.com/open-view/2395394000008161225?ZOHO_CRITERIA=%22Localiza%20Chile%22.%22Codcom%22%3D6307" u="1"/>
        <s v="https://analytics.zoho.com/open-view/2395394000008161226?ZOHO_CRITERIA=%22Localiza%20Chile%22.%22Codcom%22%3D6307" u="1"/>
        <s v="https://analytics.zoho.com/open-view/2395394000008161227?ZOHO_CRITERIA=%22Localiza%20Chile%22.%22Codcom%22%3D6307" u="1"/>
        <s v="https://analytics.zoho.com/open-view/2395394000008161228?ZOHO_CRITERIA=%22Localiza%20Chile%22.%22Codcom%22%3D6307" u="1"/>
        <s v="https://analytics.zoho.com/open-view/2395394000008161229?ZOHO_CRITERIA=%22Localiza%20Chile%22.%22Codcom%22%3D6307" u="1"/>
        <s v="https://analytics.zoho.com/open-view/2395394000008161231?ZOHO_CRITERIA=%22Localiza%20Chile%22.%22Codcom%22%3D6307" u="1"/>
        <s v="https://analytics.zoho.com/open-view/2395394000008161220?ZOHO_CRITERIA=%22Localiza%20Chile%22.%22Codcom%22%3D6308" u="1"/>
        <s v="https://analytics.zoho.com/open-view/2395394000008161221?ZOHO_CRITERIA=%22Localiza%20Chile%22.%22Codcom%22%3D6308" u="1"/>
        <s v="https://analytics.zoho.com/open-view/2395394000008161222?ZOHO_CRITERIA=%22Localiza%20Chile%22.%22Codcom%22%3D6308" u="1"/>
        <s v="https://analytics.zoho.com/open-view/2395394000008161223?ZOHO_CRITERIA=%22Localiza%20Chile%22.%22Codcom%22%3D6308" u="1"/>
        <s v="https://analytics.zoho.com/open-view/2395394000008161224?ZOHO_CRITERIA=%22Localiza%20Chile%22.%22Codcom%22%3D6308" u="1"/>
        <s v="https://analytics.zoho.com/open-view/2395394000008161225?ZOHO_CRITERIA=%22Localiza%20Chile%22.%22Codcom%22%3D6308" u="1"/>
        <s v="https://analytics.zoho.com/open-view/2395394000008161226?ZOHO_CRITERIA=%22Localiza%20Chile%22.%22Codcom%22%3D6308" u="1"/>
        <s v="https://analytics.zoho.com/open-view/2395394000008161227?ZOHO_CRITERIA=%22Localiza%20Chile%22.%22Codcom%22%3D6308" u="1"/>
        <s v="https://analytics.zoho.com/open-view/2395394000008161228?ZOHO_CRITERIA=%22Localiza%20Chile%22.%22Codcom%22%3D6308" u="1"/>
        <s v="https://analytics.zoho.com/open-view/2395394000008161229?ZOHO_CRITERIA=%22Localiza%20Chile%22.%22Codcom%22%3D6308" u="1"/>
        <s v="https://analytics.zoho.com/open-view/2395394000008161231?ZOHO_CRITERIA=%22Localiza%20Chile%22.%22Codcom%22%3D6308" u="1"/>
        <s v="https://analytics.zoho.com/open-view/2395394000008161220?ZOHO_CRITERIA=%22Localiza%20Chile%22.%22Codcom%22%3D6309" u="1"/>
        <s v="https://analytics.zoho.com/open-view/2395394000008161221?ZOHO_CRITERIA=%22Localiza%20Chile%22.%22Codcom%22%3D6309" u="1"/>
        <s v="https://analytics.zoho.com/open-view/2395394000008161222?ZOHO_CRITERIA=%22Localiza%20Chile%22.%22Codcom%22%3D6309" u="1"/>
        <s v="https://analytics.zoho.com/open-view/2395394000008161223?ZOHO_CRITERIA=%22Localiza%20Chile%22.%22Codcom%22%3D6309" u="1"/>
        <s v="https://analytics.zoho.com/open-view/2395394000008161224?ZOHO_CRITERIA=%22Localiza%20Chile%22.%22Codcom%22%3D6309" u="1"/>
        <s v="https://analytics.zoho.com/open-view/2395394000008161225?ZOHO_CRITERIA=%22Localiza%20Chile%22.%22Codcom%22%3D6309" u="1"/>
        <s v="https://analytics.zoho.com/open-view/2395394000008161226?ZOHO_CRITERIA=%22Localiza%20Chile%22.%22Codcom%22%3D6309" u="1"/>
        <s v="https://analytics.zoho.com/open-view/2395394000008161227?ZOHO_CRITERIA=%22Localiza%20Chile%22.%22Codcom%22%3D6309" u="1"/>
        <s v="https://analytics.zoho.com/open-view/2395394000008161228?ZOHO_CRITERIA=%22Localiza%20Chile%22.%22Codcom%22%3D6309" u="1"/>
        <s v="https://analytics.zoho.com/open-view/2395394000008161229?ZOHO_CRITERIA=%22Localiza%20Chile%22.%22Codcom%22%3D6309" u="1"/>
        <s v="https://analytics.zoho.com/open-view/2395394000008161231?ZOHO_CRITERIA=%22Localiza%20Chile%22.%22Codcom%22%3D6309" u="1"/>
        <s v="https://analytics.zoho.com/open-view/2395394000008161220?ZOHO_CRITERIA=%22Localiza%20Chile%22.%22Codcom%22%3D5701" u="1"/>
        <s v="https://analytics.zoho.com/open-view/2395394000008161221?ZOHO_CRITERIA=%22Localiza%20Chile%22.%22Codcom%22%3D5701" u="1"/>
        <s v="https://analytics.zoho.com/open-view/2395394000008161222?ZOHO_CRITERIA=%22Localiza%20Chile%22.%22Codcom%22%3D5701" u="1"/>
        <s v="https://analytics.zoho.com/open-view/2395394000008161223?ZOHO_CRITERIA=%22Localiza%20Chile%22.%22Codcom%22%3D5701" u="1"/>
        <s v="https://analytics.zoho.com/open-view/2395394000008161224?ZOHO_CRITERIA=%22Localiza%20Chile%22.%22Codcom%22%3D5701" u="1"/>
        <s v="https://analytics.zoho.com/open-view/2395394000008161225?ZOHO_CRITERIA=%22Localiza%20Chile%22.%22Codcom%22%3D5701" u="1"/>
        <s v="https://analytics.zoho.com/open-view/2395394000008161226?ZOHO_CRITERIA=%22Localiza%20Chile%22.%22Codcom%22%3D5701" u="1"/>
        <s v="https://analytics.zoho.com/open-view/2395394000008161227?ZOHO_CRITERIA=%22Localiza%20Chile%22.%22Codcom%22%3D5701" u="1"/>
        <s v="https://analytics.zoho.com/open-view/2395394000008161228?ZOHO_CRITERIA=%22Localiza%20Chile%22.%22Codcom%22%3D5701" u="1"/>
        <s v="https://analytics.zoho.com/open-view/2395394000008161229?ZOHO_CRITERIA=%22Localiza%20Chile%22.%22Codcom%22%3D5701" u="1"/>
        <s v="https://analytics.zoho.com/open-view/2395394000008161231?ZOHO_CRITERIA=%22Localiza%20Chile%22.%22Codcom%22%3D5701" u="1"/>
        <s v="https://analytics.zoho.com/open-view/2395394000008161220?ZOHO_CRITERIA=%22Localiza%20Chile%22.%22Codcom%22%3D5702" u="1"/>
        <s v="https://analytics.zoho.com/open-view/2395394000008161220?ZOHO_CRITERIA=%22Localiza%20Chile%22.%22Codcom%22%3D7301" u="1"/>
        <s v="https://analytics.zoho.com/open-view/2395394000008161221?ZOHO_CRITERIA=%22Localiza%20Chile%22.%22Codcom%22%3D5702" u="1"/>
        <s v="https://analytics.zoho.com/open-view/2395394000008161221?ZOHO_CRITERIA=%22Localiza%20Chile%22.%22Codcom%22%3D7301" u="1"/>
        <s v="https://analytics.zoho.com/open-view/2395394000008161222?ZOHO_CRITERIA=%22Localiza%20Chile%22.%22Codcom%22%3D5702" u="1"/>
        <s v="https://analytics.zoho.com/open-view/2395394000008161222?ZOHO_CRITERIA=%22Localiza%20Chile%22.%22Codcom%22%3D7301" u="1"/>
        <s v="https://analytics.zoho.com/open-view/2395394000008161223?ZOHO_CRITERIA=%22Localiza%20Chile%22.%22Codcom%22%3D5702" u="1"/>
        <s v="https://analytics.zoho.com/open-view/2395394000008161223?ZOHO_CRITERIA=%22Localiza%20Chile%22.%22Codcom%22%3D7301" u="1"/>
        <s v="https://analytics.zoho.com/open-view/2395394000008161224?ZOHO_CRITERIA=%22Localiza%20Chile%22.%22Codcom%22%3D5702" u="1"/>
        <s v="https://analytics.zoho.com/open-view/2395394000008161224?ZOHO_CRITERIA=%22Localiza%20Chile%22.%22Codcom%22%3D7301" u="1"/>
        <s v="https://analytics.zoho.com/open-view/2395394000008161225?ZOHO_CRITERIA=%22Localiza%20Chile%22.%22Codcom%22%3D5702" u="1"/>
        <s v="https://analytics.zoho.com/open-view/2395394000008161225?ZOHO_CRITERIA=%22Localiza%20Chile%22.%22Codcom%22%3D7301" u="1"/>
        <s v="https://analytics.zoho.com/open-view/2395394000008161226?ZOHO_CRITERIA=%22Localiza%20Chile%22.%22Codcom%22%3D5702" u="1"/>
        <s v="https://analytics.zoho.com/open-view/2395394000008161226?ZOHO_CRITERIA=%22Localiza%20Chile%22.%22Codcom%22%3D7301" u="1"/>
        <s v="https://analytics.zoho.com/open-view/2395394000008161227?ZOHO_CRITERIA=%22Localiza%20Chile%22.%22Codcom%22%3D5702" u="1"/>
        <s v="https://analytics.zoho.com/open-view/2395394000008161227?ZOHO_CRITERIA=%22Localiza%20Chile%22.%22Codcom%22%3D7301" u="1"/>
        <s v="https://analytics.zoho.com/open-view/2395394000008161228?ZOHO_CRITERIA=%22Localiza%20Chile%22.%22Codcom%22%3D5702" u="1"/>
        <s v="https://analytics.zoho.com/open-view/2395394000008161228?ZOHO_CRITERIA=%22Localiza%20Chile%22.%22Codcom%22%3D7301" u="1"/>
        <s v="https://analytics.zoho.com/open-view/2395394000008161229?ZOHO_CRITERIA=%22Localiza%20Chile%22.%22Codcom%22%3D5702" u="1"/>
        <s v="https://analytics.zoho.com/open-view/2395394000008161229?ZOHO_CRITERIA=%22Localiza%20Chile%22.%22Codcom%22%3D7301" u="1"/>
        <s v="https://analytics.zoho.com/open-view/2395394000008161231?ZOHO_CRITERIA=%22Localiza%20Chile%22.%22Codcom%22%3D5702" u="1"/>
        <s v="https://analytics.zoho.com/open-view/2395394000008161231?ZOHO_CRITERIA=%22Localiza%20Chile%22.%22Codcom%22%3D7301" u="1"/>
        <s v="https://analytics.zoho.com/open-view/2395394000008161220?ZOHO_CRITERIA=%22Localiza%20Chile%22.%22Codcom%22%3D5703" u="1"/>
        <s v="https://analytics.zoho.com/open-view/2395394000008161220?ZOHO_CRITERIA=%22Localiza%20Chile%22.%22Codcom%22%3D7302" u="1"/>
        <s v="https://analytics.zoho.com/open-view/2395394000008161221?ZOHO_CRITERIA=%22Localiza%20Chile%22.%22Codcom%22%3D5703" u="1"/>
        <s v="https://analytics.zoho.com/open-view/2395394000008161221?ZOHO_CRITERIA=%22Localiza%20Chile%22.%22Codcom%22%3D7302" u="1"/>
        <s v="https://analytics.zoho.com/open-view/2395394000008161222?ZOHO_CRITERIA=%22Localiza%20Chile%22.%22Codcom%22%3D5703" u="1"/>
        <s v="https://analytics.zoho.com/open-view/2395394000008161222?ZOHO_CRITERIA=%22Localiza%20Chile%22.%22Codcom%22%3D7302" u="1"/>
        <s v="https://analytics.zoho.com/open-view/2395394000008161223?ZOHO_CRITERIA=%22Localiza%20Chile%22.%22Codcom%22%3D5703" u="1"/>
        <s v="https://analytics.zoho.com/open-view/2395394000008161223?ZOHO_CRITERIA=%22Localiza%20Chile%22.%22Codcom%22%3D7302" u="1"/>
        <s v="https://analytics.zoho.com/open-view/2395394000008161224?ZOHO_CRITERIA=%22Localiza%20Chile%22.%22Codcom%22%3D5703" u="1"/>
        <s v="https://analytics.zoho.com/open-view/2395394000008161224?ZOHO_CRITERIA=%22Localiza%20Chile%22.%22Codcom%22%3D7302" u="1"/>
        <s v="https://analytics.zoho.com/open-view/2395394000008161225?ZOHO_CRITERIA=%22Localiza%20Chile%22.%22Codcom%22%3D5703" u="1"/>
        <s v="https://analytics.zoho.com/open-view/2395394000008161225?ZOHO_CRITERIA=%22Localiza%20Chile%22.%22Codcom%22%3D7302" u="1"/>
        <s v="https://analytics.zoho.com/open-view/2395394000008161226?ZOHO_CRITERIA=%22Localiza%20Chile%22.%22Codcom%22%3D5703" u="1"/>
        <s v="https://analytics.zoho.com/open-view/2395394000008161226?ZOHO_CRITERIA=%22Localiza%20Chile%22.%22Codcom%22%3D7302" u="1"/>
        <s v="https://analytics.zoho.com/open-view/2395394000008161227?ZOHO_CRITERIA=%22Localiza%20Chile%22.%22Codcom%22%3D5703" u="1"/>
        <s v="https://analytics.zoho.com/open-view/2395394000008161227?ZOHO_CRITERIA=%22Localiza%20Chile%22.%22Codcom%22%3D7302" u="1"/>
        <s v="https://analytics.zoho.com/open-view/2395394000008161228?ZOHO_CRITERIA=%22Localiza%20Chile%22.%22Codcom%22%3D5703" u="1"/>
        <s v="https://analytics.zoho.com/open-view/2395394000008161228?ZOHO_CRITERIA=%22Localiza%20Chile%22.%22Codcom%22%3D7302" u="1"/>
        <s v="https://analytics.zoho.com/open-view/2395394000008161229?ZOHO_CRITERIA=%22Localiza%20Chile%22.%22Codcom%22%3D5703" u="1"/>
        <s v="https://analytics.zoho.com/open-view/2395394000008161229?ZOHO_CRITERIA=%22Localiza%20Chile%22.%22Codcom%22%3D7302" u="1"/>
        <s v="https://analytics.zoho.com/open-view/2395394000008161231?ZOHO_CRITERIA=%22Localiza%20Chile%22.%22Codcom%22%3D5703" u="1"/>
        <s v="https://analytics.zoho.com/open-view/2395394000008161231?ZOHO_CRITERIA=%22Localiza%20Chile%22.%22Codcom%22%3D7302" u="1"/>
        <s v="https://analytics.zoho.com/open-view/2395394000008161220?ZOHO_CRITERIA=%22Localiza%20Chile%22.%22Codcom%22%3D5704" u="1"/>
        <s v="https://analytics.zoho.com/open-view/2395394000008161220?ZOHO_CRITERIA=%22Localiza%20Chile%22.%22Codcom%22%3D7303" u="1"/>
        <s v="https://analytics.zoho.com/open-view/2395394000008161221?ZOHO_CRITERIA=%22Localiza%20Chile%22.%22Codcom%22%3D5704" u="1"/>
        <s v="https://analytics.zoho.com/open-view/2395394000008161221?ZOHO_CRITERIA=%22Localiza%20Chile%22.%22Codcom%22%3D7303" u="1"/>
        <s v="https://analytics.zoho.com/open-view/2395394000008161222?ZOHO_CRITERIA=%22Localiza%20Chile%22.%22Codcom%22%3D5704" u="1"/>
        <s v="https://analytics.zoho.com/open-view/2395394000008161222?ZOHO_CRITERIA=%22Localiza%20Chile%22.%22Codcom%22%3D7303" u="1"/>
        <s v="https://analytics.zoho.com/open-view/2395394000008161223?ZOHO_CRITERIA=%22Localiza%20Chile%22.%22Codcom%22%3D5704" u="1"/>
        <s v="https://analytics.zoho.com/open-view/2395394000008161223?ZOHO_CRITERIA=%22Localiza%20Chile%22.%22Codcom%22%3D7303" u="1"/>
        <s v="https://analytics.zoho.com/open-view/2395394000008161224?ZOHO_CRITERIA=%22Localiza%20Chile%22.%22Codcom%22%3D5704" u="1"/>
        <s v="https://analytics.zoho.com/open-view/2395394000008161224?ZOHO_CRITERIA=%22Localiza%20Chile%22.%22Codcom%22%3D7303" u="1"/>
        <s v="https://analytics.zoho.com/open-view/2395394000008161225?ZOHO_CRITERIA=%22Localiza%20Chile%22.%22Codcom%22%3D5704" u="1"/>
        <s v="https://analytics.zoho.com/open-view/2395394000008161225?ZOHO_CRITERIA=%22Localiza%20Chile%22.%22Codcom%22%3D7303" u="1"/>
        <s v="https://analytics.zoho.com/open-view/2395394000008161226?ZOHO_CRITERIA=%22Localiza%20Chile%22.%22Codcom%22%3D5704" u="1"/>
        <s v="https://analytics.zoho.com/open-view/2395394000008161226?ZOHO_CRITERIA=%22Localiza%20Chile%22.%22Codcom%22%3D7303" u="1"/>
        <s v="https://analytics.zoho.com/open-view/2395394000008161227?ZOHO_CRITERIA=%22Localiza%20Chile%22.%22Codcom%22%3D5704" u="1"/>
        <s v="https://analytics.zoho.com/open-view/2395394000008161227?ZOHO_CRITERIA=%22Localiza%20Chile%22.%22Codcom%22%3D7303" u="1"/>
        <s v="https://analytics.zoho.com/open-view/2395394000008161228?ZOHO_CRITERIA=%22Localiza%20Chile%22.%22Codcom%22%3D5704" u="1"/>
        <s v="https://analytics.zoho.com/open-view/2395394000008161228?ZOHO_CRITERIA=%22Localiza%20Chile%22.%22Codcom%22%3D7303" u="1"/>
        <s v="https://analytics.zoho.com/open-view/2395394000008161229?ZOHO_CRITERIA=%22Localiza%20Chile%22.%22Codcom%22%3D5704" u="1"/>
        <s v="https://analytics.zoho.com/open-view/2395394000008161229?ZOHO_CRITERIA=%22Localiza%20Chile%22.%22Codcom%22%3D7303" u="1"/>
        <s v="https://analytics.zoho.com/open-view/2395394000008161231?ZOHO_CRITERIA=%22Localiza%20Chile%22.%22Codcom%22%3D5704" u="1"/>
        <s v="https://analytics.zoho.com/open-view/2395394000008161231?ZOHO_CRITERIA=%22Localiza%20Chile%22.%22Codcom%22%3D7303" u="1"/>
        <s v="https://analytics.zoho.com/open-view/2395394000008161220?ZOHO_CRITERIA=%22Localiza%20Chile%22.%22Codcom%22%3D5705" u="1"/>
        <s v="https://analytics.zoho.com/open-view/2395394000008161220?ZOHO_CRITERIA=%22Localiza%20Chile%22.%22Codcom%22%3D7304" u="1"/>
        <s v="https://analytics.zoho.com/open-view/2395394000008161221?ZOHO_CRITERIA=%22Localiza%20Chile%22.%22Codcom%22%3D5705" u="1"/>
        <s v="https://analytics.zoho.com/open-view/2395394000008161221?ZOHO_CRITERIA=%22Localiza%20Chile%22.%22Codcom%22%3D7304" u="1"/>
        <s v="https://analytics.zoho.com/open-view/2395394000008161222?ZOHO_CRITERIA=%22Localiza%20Chile%22.%22Codcom%22%3D5705" u="1"/>
        <s v="https://analytics.zoho.com/open-view/2395394000008161222?ZOHO_CRITERIA=%22Localiza%20Chile%22.%22Codcom%22%3D7304" u="1"/>
        <s v="https://analytics.zoho.com/open-view/2395394000008161223?ZOHO_CRITERIA=%22Localiza%20Chile%22.%22Codcom%22%3D5705" u="1"/>
        <s v="https://analytics.zoho.com/open-view/2395394000008161223?ZOHO_CRITERIA=%22Localiza%20Chile%22.%22Codcom%22%3D7304" u="1"/>
        <s v="https://analytics.zoho.com/open-view/2395394000008161224?ZOHO_CRITERIA=%22Localiza%20Chile%22.%22Codcom%22%3D5705" u="1"/>
        <s v="https://analytics.zoho.com/open-view/2395394000008161224?ZOHO_CRITERIA=%22Localiza%20Chile%22.%22Codcom%22%3D7304" u="1"/>
        <s v="https://analytics.zoho.com/open-view/2395394000008161225?ZOHO_CRITERIA=%22Localiza%20Chile%22.%22Codcom%22%3D5705" u="1"/>
        <s v="https://analytics.zoho.com/open-view/2395394000008161225?ZOHO_CRITERIA=%22Localiza%20Chile%22.%22Codcom%22%3D7304" u="1"/>
        <s v="https://analytics.zoho.com/open-view/2395394000008161226?ZOHO_CRITERIA=%22Localiza%20Chile%22.%22Codcom%22%3D5705" u="1"/>
        <s v="https://analytics.zoho.com/open-view/2395394000008161226?ZOHO_CRITERIA=%22Localiza%20Chile%22.%22Codcom%22%3D7304" u="1"/>
        <s v="https://analytics.zoho.com/open-view/2395394000008161227?ZOHO_CRITERIA=%22Localiza%20Chile%22.%22Codcom%22%3D5705" u="1"/>
        <s v="https://analytics.zoho.com/open-view/2395394000008161227?ZOHO_CRITERIA=%22Localiza%20Chile%22.%22Codcom%22%3D7304" u="1"/>
        <s v="https://analytics.zoho.com/open-view/2395394000008161228?ZOHO_CRITERIA=%22Localiza%20Chile%22.%22Codcom%22%3D5705" u="1"/>
        <s v="https://analytics.zoho.com/open-view/2395394000008161228?ZOHO_CRITERIA=%22Localiza%20Chile%22.%22Codcom%22%3D7304" u="1"/>
        <s v="https://analytics.zoho.com/open-view/2395394000008161229?ZOHO_CRITERIA=%22Localiza%20Chile%22.%22Codcom%22%3D5705" u="1"/>
        <s v="https://analytics.zoho.com/open-view/2395394000008161229?ZOHO_CRITERIA=%22Localiza%20Chile%22.%22Codcom%22%3D7304" u="1"/>
        <s v="https://analytics.zoho.com/open-view/2395394000008161231?ZOHO_CRITERIA=%22Localiza%20Chile%22.%22Codcom%22%3D5705" u="1"/>
        <s v="https://analytics.zoho.com/open-view/2395394000008161231?ZOHO_CRITERIA=%22Localiza%20Chile%22.%22Codcom%22%3D7304" u="1"/>
        <s v="https://analytics.zoho.com/open-view/2395394000008161220?ZOHO_CRITERIA=%22Localiza%20Chile%22.%22Codcom%22%3D5706" u="1"/>
        <s v="https://analytics.zoho.com/open-view/2395394000008161220?ZOHO_CRITERIA=%22Localiza%20Chile%22.%22Codcom%22%3D7305" u="1"/>
        <s v="https://analytics.zoho.com/open-view/2395394000008161221?ZOHO_CRITERIA=%22Localiza%20Chile%22.%22Codcom%22%3D5706" u="1"/>
        <s v="https://analytics.zoho.com/open-view/2395394000008161221?ZOHO_CRITERIA=%22Localiza%20Chile%22.%22Codcom%22%3D7305" u="1"/>
        <s v="https://analytics.zoho.com/open-view/2395394000008161222?ZOHO_CRITERIA=%22Localiza%20Chile%22.%22Codcom%22%3D5706" u="1"/>
        <s v="https://analytics.zoho.com/open-view/2395394000008161222?ZOHO_CRITERIA=%22Localiza%20Chile%22.%22Codcom%22%3D7305" u="1"/>
        <s v="https://analytics.zoho.com/open-view/2395394000008161223?ZOHO_CRITERIA=%22Localiza%20Chile%22.%22Codcom%22%3D5706" u="1"/>
        <s v="https://analytics.zoho.com/open-view/2395394000008161223?ZOHO_CRITERIA=%22Localiza%20Chile%22.%22Codcom%22%3D7305" u="1"/>
        <s v="https://analytics.zoho.com/open-view/2395394000008161224?ZOHO_CRITERIA=%22Localiza%20Chile%22.%22Codcom%22%3D5706" u="1"/>
        <s v="https://analytics.zoho.com/open-view/2395394000008161224?ZOHO_CRITERIA=%22Localiza%20Chile%22.%22Codcom%22%3D7305" u="1"/>
        <s v="https://analytics.zoho.com/open-view/2395394000008161225?ZOHO_CRITERIA=%22Localiza%20Chile%22.%22Codcom%22%3D5706" u="1"/>
        <s v="https://analytics.zoho.com/open-view/2395394000008161225?ZOHO_CRITERIA=%22Localiza%20Chile%22.%22Codcom%22%3D7305" u="1"/>
        <s v="https://analytics.zoho.com/open-view/2395394000008161226?ZOHO_CRITERIA=%22Localiza%20Chile%22.%22Codcom%22%3D5706" u="1"/>
        <s v="https://analytics.zoho.com/open-view/2395394000008161226?ZOHO_CRITERIA=%22Localiza%20Chile%22.%22Codcom%22%3D7305" u="1"/>
        <s v="https://analytics.zoho.com/open-view/2395394000008161227?ZOHO_CRITERIA=%22Localiza%20Chile%22.%22Codcom%22%3D5706" u="1"/>
        <s v="https://analytics.zoho.com/open-view/2395394000008161227?ZOHO_CRITERIA=%22Localiza%20Chile%22.%22Codcom%22%3D7305" u="1"/>
        <s v="https://analytics.zoho.com/open-view/2395394000008161228?ZOHO_CRITERIA=%22Localiza%20Chile%22.%22Codcom%22%3D5706" u="1"/>
        <s v="https://analytics.zoho.com/open-view/2395394000008161228?ZOHO_CRITERIA=%22Localiza%20Chile%22.%22Codcom%22%3D7305" u="1"/>
        <s v="https://analytics.zoho.com/open-view/2395394000008161229?ZOHO_CRITERIA=%22Localiza%20Chile%22.%22Codcom%22%3D5706" u="1"/>
        <s v="https://analytics.zoho.com/open-view/2395394000008161229?ZOHO_CRITERIA=%22Localiza%20Chile%22.%22Codcom%22%3D7305" u="1"/>
        <s v="https://analytics.zoho.com/open-view/2395394000008161231?ZOHO_CRITERIA=%22Localiza%20Chile%22.%22Codcom%22%3D5706" u="1"/>
        <s v="https://analytics.zoho.com/open-view/2395394000008161231?ZOHO_CRITERIA=%22Localiza%20Chile%22.%22Codcom%22%3D7305" u="1"/>
        <s v="https://analytics.zoho.com/open-view/2395394000008161220?ZOHO_CRITERIA=%22Localiza%20Chile%22.%22Codcom%22%3D7306" u="1"/>
        <s v="https://analytics.zoho.com/open-view/2395394000008161221?ZOHO_CRITERIA=%22Localiza%20Chile%22.%22Codcom%22%3D7306" u="1"/>
        <s v="https://analytics.zoho.com/open-view/2395394000008161222?ZOHO_CRITERIA=%22Localiza%20Chile%22.%22Codcom%22%3D7306" u="1"/>
        <s v="https://analytics.zoho.com/open-view/2395394000008161223?ZOHO_CRITERIA=%22Localiza%20Chile%22.%22Codcom%22%3D7306" u="1"/>
        <s v="https://analytics.zoho.com/open-view/2395394000008161224?ZOHO_CRITERIA=%22Localiza%20Chile%22.%22Codcom%22%3D7306" u="1"/>
        <s v="https://analytics.zoho.com/open-view/2395394000008161225?ZOHO_CRITERIA=%22Localiza%20Chile%22.%22Codcom%22%3D7306" u="1"/>
        <s v="https://analytics.zoho.com/open-view/2395394000008161226?ZOHO_CRITERIA=%22Localiza%20Chile%22.%22Codcom%22%3D7306" u="1"/>
        <s v="https://analytics.zoho.com/open-view/2395394000008161227?ZOHO_CRITERIA=%22Localiza%20Chile%22.%22Codcom%22%3D7306" u="1"/>
        <s v="https://analytics.zoho.com/open-view/2395394000008161228?ZOHO_CRITERIA=%22Localiza%20Chile%22.%22Codcom%22%3D7306" u="1"/>
        <s v="https://analytics.zoho.com/open-view/2395394000008161229?ZOHO_CRITERIA=%22Localiza%20Chile%22.%22Codcom%22%3D7306" u="1"/>
        <s v="https://analytics.zoho.com/open-view/2395394000008161231?ZOHO_CRITERIA=%22Localiza%20Chile%22.%22Codcom%22%3D7306" u="1"/>
        <s v="https://analytics.zoho.com/open-view/2395394000008161220?ZOHO_CRITERIA=%22Localiza%20Chile%22.%22Codcom%22%3D7307" u="1"/>
        <s v="https://analytics.zoho.com/open-view/2395394000008161221?ZOHO_CRITERIA=%22Localiza%20Chile%22.%22Codcom%22%3D7307" u="1"/>
        <s v="https://analytics.zoho.com/open-view/2395394000008161222?ZOHO_CRITERIA=%22Localiza%20Chile%22.%22Codcom%22%3D7307" u="1"/>
        <s v="https://analytics.zoho.com/open-view/2395394000008161223?ZOHO_CRITERIA=%22Localiza%20Chile%22.%22Codcom%22%3D7307" u="1"/>
        <s v="https://analytics.zoho.com/open-view/2395394000008161224?ZOHO_CRITERIA=%22Localiza%20Chile%22.%22Codcom%22%3D7307" u="1"/>
        <s v="https://analytics.zoho.com/open-view/2395394000008161225?ZOHO_CRITERIA=%22Localiza%20Chile%22.%22Codcom%22%3D7307" u="1"/>
        <s v="https://analytics.zoho.com/open-view/2395394000008161226?ZOHO_CRITERIA=%22Localiza%20Chile%22.%22Codcom%22%3D7307" u="1"/>
        <s v="https://analytics.zoho.com/open-view/2395394000008161227?ZOHO_CRITERIA=%22Localiza%20Chile%22.%22Codcom%22%3D7307" u="1"/>
        <s v="https://analytics.zoho.com/open-view/2395394000008161228?ZOHO_CRITERIA=%22Localiza%20Chile%22.%22Codcom%22%3D7307" u="1"/>
        <s v="https://analytics.zoho.com/open-view/2395394000008161229?ZOHO_CRITERIA=%22Localiza%20Chile%22.%22Codcom%22%3D7307" u="1"/>
        <s v="https://analytics.zoho.com/open-view/2395394000008161231?ZOHO_CRITERIA=%22Localiza%20Chile%22.%22Codcom%22%3D7307" u="1"/>
        <s v="https://analytics.zoho.com/open-view/2395394000008161220?ZOHO_CRITERIA=%22Localiza%20Chile%22.%22Codcom%22%3D7308" u="1"/>
        <s v="https://analytics.zoho.com/open-view/2395394000008161221?ZOHO_CRITERIA=%22Localiza%20Chile%22.%22Codcom%22%3D7308" u="1"/>
        <s v="https://analytics.zoho.com/open-view/2395394000008161222?ZOHO_CRITERIA=%22Localiza%20Chile%22.%22Codcom%22%3D7308" u="1"/>
        <s v="https://analytics.zoho.com/open-view/2395394000008161223?ZOHO_CRITERIA=%22Localiza%20Chile%22.%22Codcom%22%3D7308" u="1"/>
        <s v="https://analytics.zoho.com/open-view/2395394000008161224?ZOHO_CRITERIA=%22Localiza%20Chile%22.%22Codcom%22%3D7308" u="1"/>
        <s v="https://analytics.zoho.com/open-view/2395394000008161225?ZOHO_CRITERIA=%22Localiza%20Chile%22.%22Codcom%22%3D7308" u="1"/>
        <s v="https://analytics.zoho.com/open-view/2395394000008161226?ZOHO_CRITERIA=%22Localiza%20Chile%22.%22Codcom%22%3D7308" u="1"/>
        <s v="https://analytics.zoho.com/open-view/2395394000008161227?ZOHO_CRITERIA=%22Localiza%20Chile%22.%22Codcom%22%3D7308" u="1"/>
        <s v="https://analytics.zoho.com/open-view/2395394000008161228?ZOHO_CRITERIA=%22Localiza%20Chile%22.%22Codcom%22%3D7308" u="1"/>
        <s v="https://analytics.zoho.com/open-view/2395394000008161229?ZOHO_CRITERIA=%22Localiza%20Chile%22.%22Codcom%22%3D7308" u="1"/>
        <s v="https://analytics.zoho.com/open-view/2395394000008161231?ZOHO_CRITERIA=%22Localiza%20Chile%22.%22Codcom%22%3D7308" u="1"/>
        <s v="https://analytics.zoho.com/open-view/2395394000008161220?ZOHO_CRITERIA=%22Localiza%20Chile%22.%22Codcom%22%3D7309" u="1"/>
        <s v="https://analytics.zoho.com/open-view/2395394000008161221?ZOHO_CRITERIA=%22Localiza%20Chile%22.%22Codcom%22%3D7309" u="1"/>
        <s v="https://analytics.zoho.com/open-view/2395394000008161222?ZOHO_CRITERIA=%22Localiza%20Chile%22.%22Codcom%22%3D7309" u="1"/>
        <s v="https://analytics.zoho.com/open-view/2395394000008161223?ZOHO_CRITERIA=%22Localiza%20Chile%22.%22Codcom%22%3D7309" u="1"/>
        <s v="https://analytics.zoho.com/open-view/2395394000008161224?ZOHO_CRITERIA=%22Localiza%20Chile%22.%22Codcom%22%3D7309" u="1"/>
        <s v="https://analytics.zoho.com/open-view/2395394000008161225?ZOHO_CRITERIA=%22Localiza%20Chile%22.%22Codcom%22%3D7309" u="1"/>
        <s v="https://analytics.zoho.com/open-view/2395394000008161226?ZOHO_CRITERIA=%22Localiza%20Chile%22.%22Codcom%22%3D7309" u="1"/>
        <s v="https://analytics.zoho.com/open-view/2395394000008161227?ZOHO_CRITERIA=%22Localiza%20Chile%22.%22Codcom%22%3D7309" u="1"/>
        <s v="https://analytics.zoho.com/open-view/2395394000008161228?ZOHO_CRITERIA=%22Localiza%20Chile%22.%22Codcom%22%3D7309" u="1"/>
        <s v="https://analytics.zoho.com/open-view/2395394000008161229?ZOHO_CRITERIA=%22Localiza%20Chile%22.%22Codcom%22%3D7309" u="1"/>
        <s v="https://analytics.zoho.com/open-view/2395394000008161231?ZOHO_CRITERIA=%22Localiza%20Chile%22.%22Codcom%22%3D7309" u="1"/>
        <s v="https://analytics.zoho.com/open-view/2395394000008161220?ZOHO_CRITERIA=%22Localiza%20Chile%22.%22Codcom%22%3D14106" u="1"/>
        <s v="https://analytics.zoho.com/open-view/2395394000008161221?ZOHO_CRITERIA=%22Localiza%20Chile%22.%22Codcom%22%3D14106" u="1"/>
        <s v="https://analytics.zoho.com/open-view/2395394000008161222?ZOHO_CRITERIA=%22Localiza%20Chile%22.%22Codcom%22%3D14106" u="1"/>
        <s v="https://analytics.zoho.com/open-view/2395394000008161223?ZOHO_CRITERIA=%22Localiza%20Chile%22.%22Codcom%22%3D14106" u="1"/>
        <s v="https://analytics.zoho.com/open-view/2395394000008161224?ZOHO_CRITERIA=%22Localiza%20Chile%22.%22Codcom%22%3D14106" u="1"/>
        <s v="https://analytics.zoho.com/open-view/2395394000008161225?ZOHO_CRITERIA=%22Localiza%20Chile%22.%22Codcom%22%3D14106" u="1"/>
        <s v="https://analytics.zoho.com/open-view/2395394000008161226?ZOHO_CRITERIA=%22Localiza%20Chile%22.%22Codcom%22%3D14106" u="1"/>
        <s v="https://analytics.zoho.com/open-view/2395394000008161227?ZOHO_CRITERIA=%22Localiza%20Chile%22.%22Codcom%22%3D14106" u="1"/>
        <s v="https://analytics.zoho.com/open-view/2395394000008161228?ZOHO_CRITERIA=%22Localiza%20Chile%22.%22Codcom%22%3D14106" u="1"/>
        <s v="https://analytics.zoho.com/open-view/2395394000008161229?ZOHO_CRITERIA=%22Localiza%20Chile%22.%22Codcom%22%3D14106" u="1"/>
        <s v="https://analytics.zoho.com/open-view/2395394000008161231?ZOHO_CRITERIA=%22Localiza%20Chile%22.%22Codcom%22%3D14106" u="1"/>
        <s v="https://analytics.zoho.com/open-view/2395394000008161220?ZOHO_CRITERIA=%22Localiza%20Chile%22.%22Codcom%22%3D10107" u="1"/>
        <s v="https://analytics.zoho.com/open-view/2395394000008161221?ZOHO_CRITERIA=%22Localiza%20Chile%22.%22Codcom%22%3D10107" u="1"/>
        <s v="https://analytics.zoho.com/open-view/2395394000008161222?ZOHO_CRITERIA=%22Localiza%20Chile%22.%22Codcom%22%3D10107" u="1"/>
        <s v="https://analytics.zoho.com/open-view/2395394000008161223?ZOHO_CRITERIA=%22Localiza%20Chile%22.%22Codcom%22%3D10107" u="1"/>
        <s v="https://analytics.zoho.com/open-view/2395394000008161224?ZOHO_CRITERIA=%22Localiza%20Chile%22.%22Codcom%22%3D10107" u="1"/>
        <s v="https://analytics.zoho.com/open-view/2395394000008161225?ZOHO_CRITERIA=%22Localiza%20Chile%22.%22Codcom%22%3D10107" u="1"/>
        <s v="https://analytics.zoho.com/open-view/2395394000008161226?ZOHO_CRITERIA=%22Localiza%20Chile%22.%22Codcom%22%3D10107" u="1"/>
        <s v="https://analytics.zoho.com/open-view/2395394000008161227?ZOHO_CRITERIA=%22Localiza%20Chile%22.%22Codcom%22%3D10107" u="1"/>
        <s v="https://analytics.zoho.com/open-view/2395394000008161228?ZOHO_CRITERIA=%22Localiza%20Chile%22.%22Codcom%22%3D10107" u="1"/>
        <s v="https://analytics.zoho.com/open-view/2395394000008161229?ZOHO_CRITERIA=%22Localiza%20Chile%22.%22Codcom%22%3D10107" u="1"/>
        <s v="https://analytics.zoho.com/open-view/2395394000008161231?ZOHO_CRITERIA=%22Localiza%20Chile%22.%22Codcom%22%3D10107" u="1"/>
        <s v="https://analytics.zoho.com/open-view/2395394000008161220?ZOHO_CRITERIA=%22Localiza%20Chile%22.%22Codcom%22%3D8301" u="1"/>
        <s v="https://analytics.zoho.com/open-view/2395394000008161221?ZOHO_CRITERIA=%22Localiza%20Chile%22.%22Codcom%22%3D8301" u="1"/>
        <s v="https://analytics.zoho.com/open-view/2395394000008161222?ZOHO_CRITERIA=%22Localiza%20Chile%22.%22Codcom%22%3D8301" u="1"/>
        <s v="https://analytics.zoho.com/open-view/2395394000008161223?ZOHO_CRITERIA=%22Localiza%20Chile%22.%22Codcom%22%3D8301" u="1"/>
        <s v="https://analytics.zoho.com/open-view/2395394000008161224?ZOHO_CRITERIA=%22Localiza%20Chile%22.%22Codcom%22%3D8301" u="1"/>
        <s v="https://analytics.zoho.com/open-view/2395394000008161225?ZOHO_CRITERIA=%22Localiza%20Chile%22.%22Codcom%22%3D8301" u="1"/>
        <s v="https://analytics.zoho.com/open-view/2395394000008161226?ZOHO_CRITERIA=%22Localiza%20Chile%22.%22Codcom%22%3D8301" u="1"/>
        <s v="https://analytics.zoho.com/open-view/2395394000008161227?ZOHO_CRITERIA=%22Localiza%20Chile%22.%22Codcom%22%3D8301" u="1"/>
        <s v="https://analytics.zoho.com/open-view/2395394000008161228?ZOHO_CRITERIA=%22Localiza%20Chile%22.%22Codcom%22%3D8301" u="1"/>
        <s v="https://analytics.zoho.com/open-view/2395394000008161229?ZOHO_CRITERIA=%22Localiza%20Chile%22.%22Codcom%22%3D8301" u="1"/>
        <s v="https://analytics.zoho.com/open-view/2395394000008161231?ZOHO_CRITERIA=%22Localiza%20Chile%22.%22Codcom%22%3D8301" u="1"/>
        <s v="https://analytics.zoho.com/open-view/2395394000008161220?ZOHO_CRITERIA=%22Localiza%20Chile%22.%22Codcom%22%3D8302" u="1"/>
        <s v="https://analytics.zoho.com/open-view/2395394000008161221?ZOHO_CRITERIA=%22Localiza%20Chile%22.%22Codcom%22%3D8302" u="1"/>
        <s v="https://analytics.zoho.com/open-view/2395394000008161222?ZOHO_CRITERIA=%22Localiza%20Chile%22.%22Codcom%22%3D8302" u="1"/>
        <s v="https://analytics.zoho.com/open-view/2395394000008161223?ZOHO_CRITERIA=%22Localiza%20Chile%22.%22Codcom%22%3D8302" u="1"/>
        <s v="https://analytics.zoho.com/open-view/2395394000008161224?ZOHO_CRITERIA=%22Localiza%20Chile%22.%22Codcom%22%3D8302" u="1"/>
        <s v="https://analytics.zoho.com/open-view/2395394000008161225?ZOHO_CRITERIA=%22Localiza%20Chile%22.%22Codcom%22%3D8302" u="1"/>
        <s v="https://analytics.zoho.com/open-view/2395394000008161226?ZOHO_CRITERIA=%22Localiza%20Chile%22.%22Codcom%22%3D8302" u="1"/>
        <s v="https://analytics.zoho.com/open-view/2395394000008161227?ZOHO_CRITERIA=%22Localiza%20Chile%22.%22Codcom%22%3D8302" u="1"/>
        <s v="https://analytics.zoho.com/open-view/2395394000008161228?ZOHO_CRITERIA=%22Localiza%20Chile%22.%22Codcom%22%3D8302" u="1"/>
        <s v="https://analytics.zoho.com/open-view/2395394000008161229?ZOHO_CRITERIA=%22Localiza%20Chile%22.%22Codcom%22%3D8302" u="1"/>
        <s v="https://analytics.zoho.com/open-view/2395394000008161231?ZOHO_CRITERIA=%22Localiza%20Chile%22.%22Codcom%22%3D8302" u="1"/>
        <s v="https://analytics.zoho.com/open-view/2395394000008161220?ZOHO_CRITERIA=%22Localiza%20Chile%22.%22Codcom%22%3D8303" u="1"/>
        <s v="https://analytics.zoho.com/open-view/2395394000008161221?ZOHO_CRITERIA=%22Localiza%20Chile%22.%22Codcom%22%3D8303" u="1"/>
        <s v="https://analytics.zoho.com/open-view/2395394000008161222?ZOHO_CRITERIA=%22Localiza%20Chile%22.%22Codcom%22%3D8303" u="1"/>
        <s v="https://analytics.zoho.com/open-view/2395394000008161223?ZOHO_CRITERIA=%22Localiza%20Chile%22.%22Codcom%22%3D8303" u="1"/>
        <s v="https://analytics.zoho.com/open-view/2395394000008161224?ZOHO_CRITERIA=%22Localiza%20Chile%22.%22Codcom%22%3D8303" u="1"/>
        <s v="https://analytics.zoho.com/open-view/2395394000008161225?ZOHO_CRITERIA=%22Localiza%20Chile%22.%22Codcom%22%3D8303" u="1"/>
        <s v="https://analytics.zoho.com/open-view/2395394000008161226?ZOHO_CRITERIA=%22Localiza%20Chile%22.%22Codcom%22%3D8303" u="1"/>
        <s v="https://analytics.zoho.com/open-view/2395394000008161227?ZOHO_CRITERIA=%22Localiza%20Chile%22.%22Codcom%22%3D8303" u="1"/>
        <s v="https://analytics.zoho.com/open-view/2395394000008161228?ZOHO_CRITERIA=%22Localiza%20Chile%22.%22Codcom%22%3D8303" u="1"/>
        <s v="https://analytics.zoho.com/open-view/2395394000008161229?ZOHO_CRITERIA=%22Localiza%20Chile%22.%22Codcom%22%3D8303" u="1"/>
        <s v="https://analytics.zoho.com/open-view/2395394000008161231?ZOHO_CRITERIA=%22Localiza%20Chile%22.%22Codcom%22%3D8303" u="1"/>
        <s v="https://analytics.zoho.com/open-view/2395394000008161220?ZOHO_CRITERIA=%22Localiza%20Chile%22.%22Codcom%22%3D8304" u="1"/>
        <s v="https://analytics.zoho.com/open-view/2395394000008161221?ZOHO_CRITERIA=%22Localiza%20Chile%22.%22Codcom%22%3D8304" u="1"/>
        <s v="https://analytics.zoho.com/open-view/2395394000008161222?ZOHO_CRITERIA=%22Localiza%20Chile%22.%22Codcom%22%3D8304" u="1"/>
        <s v="https://analytics.zoho.com/open-view/2395394000008161223?ZOHO_CRITERIA=%22Localiza%20Chile%22.%22Codcom%22%3D8304" u="1"/>
        <s v="https://analytics.zoho.com/open-view/2395394000008161224?ZOHO_CRITERIA=%22Localiza%20Chile%22.%22Codcom%22%3D8304" u="1"/>
        <s v="https://analytics.zoho.com/open-view/2395394000008161225?ZOHO_CRITERIA=%22Localiza%20Chile%22.%22Codcom%22%3D8304" u="1"/>
        <s v="https://analytics.zoho.com/open-view/2395394000008161226?ZOHO_CRITERIA=%22Localiza%20Chile%22.%22Codcom%22%3D8304" u="1"/>
        <s v="https://analytics.zoho.com/open-view/2395394000008161227?ZOHO_CRITERIA=%22Localiza%20Chile%22.%22Codcom%22%3D8304" u="1"/>
        <s v="https://analytics.zoho.com/open-view/2395394000008161228?ZOHO_CRITERIA=%22Localiza%20Chile%22.%22Codcom%22%3D8304" u="1"/>
        <s v="https://analytics.zoho.com/open-view/2395394000008161229?ZOHO_CRITERIA=%22Localiza%20Chile%22.%22Codcom%22%3D8304" u="1"/>
        <s v="https://analytics.zoho.com/open-view/2395394000008161231?ZOHO_CRITERIA=%22Localiza%20Chile%22.%22Codcom%22%3D8304" u="1"/>
        <s v="https://analytics.zoho.com/open-view/2395394000008161220?ZOHO_CRITERIA=%22Localiza%20Chile%22.%22Codcom%22%3D8305" u="1"/>
        <s v="https://analytics.zoho.com/open-view/2395394000008161221?ZOHO_CRITERIA=%22Localiza%20Chile%22.%22Codcom%22%3D8305" u="1"/>
        <s v="https://analytics.zoho.com/open-view/2395394000008161222?ZOHO_CRITERIA=%22Localiza%20Chile%22.%22Codcom%22%3D8305" u="1"/>
        <s v="https://analytics.zoho.com/open-view/2395394000008161223?ZOHO_CRITERIA=%22Localiza%20Chile%22.%22Codcom%22%3D8305" u="1"/>
        <s v="https://analytics.zoho.com/open-view/2395394000008161224?ZOHO_CRITERIA=%22Localiza%20Chile%22.%22Codcom%22%3D8305" u="1"/>
        <s v="https://analytics.zoho.com/open-view/2395394000008161225?ZOHO_CRITERIA=%22Localiza%20Chile%22.%22Codcom%22%3D8305" u="1"/>
        <s v="https://analytics.zoho.com/open-view/2395394000008161226?ZOHO_CRITERIA=%22Localiza%20Chile%22.%22Codcom%22%3D8305" u="1"/>
        <s v="https://analytics.zoho.com/open-view/2395394000008161227?ZOHO_CRITERIA=%22Localiza%20Chile%22.%22Codcom%22%3D8305" u="1"/>
        <s v="https://analytics.zoho.com/open-view/2395394000008161228?ZOHO_CRITERIA=%22Localiza%20Chile%22.%22Codcom%22%3D8305" u="1"/>
        <s v="https://analytics.zoho.com/open-view/2395394000008161229?ZOHO_CRITERIA=%22Localiza%20Chile%22.%22Codcom%22%3D8305" u="1"/>
        <s v="https://analytics.zoho.com/open-view/2395394000008161231?ZOHO_CRITERIA=%22Localiza%20Chile%22.%22Codcom%22%3D8305" u="1"/>
        <s v="https://analytics.zoho.com/open-view/2395394000008161220?ZOHO_CRITERIA=%22Localiza%20Chile%22.%22Codcom%22%3D8306" u="1"/>
        <s v="https://analytics.zoho.com/open-view/2395394000008161221?ZOHO_CRITERIA=%22Localiza%20Chile%22.%22Codcom%22%3D8306" u="1"/>
        <s v="https://analytics.zoho.com/open-view/2395394000008161222?ZOHO_CRITERIA=%22Localiza%20Chile%22.%22Codcom%22%3D8306" u="1"/>
        <s v="https://analytics.zoho.com/open-view/2395394000008161223?ZOHO_CRITERIA=%22Localiza%20Chile%22.%22Codcom%22%3D8306" u="1"/>
        <s v="https://analytics.zoho.com/open-view/2395394000008161224?ZOHO_CRITERIA=%22Localiza%20Chile%22.%22Codcom%22%3D8306" u="1"/>
        <s v="https://analytics.zoho.com/open-view/2395394000008161225?ZOHO_CRITERIA=%22Localiza%20Chile%22.%22Codcom%22%3D8306" u="1"/>
        <s v="https://analytics.zoho.com/open-view/2395394000008161226?ZOHO_CRITERIA=%22Localiza%20Chile%22.%22Codcom%22%3D8306" u="1"/>
        <s v="https://analytics.zoho.com/open-view/2395394000008161227?ZOHO_CRITERIA=%22Localiza%20Chile%22.%22Codcom%22%3D8306" u="1"/>
        <s v="https://analytics.zoho.com/open-view/2395394000008161228?ZOHO_CRITERIA=%22Localiza%20Chile%22.%22Codcom%22%3D8306" u="1"/>
        <s v="https://analytics.zoho.com/open-view/2395394000008161229?ZOHO_CRITERIA=%22Localiza%20Chile%22.%22Codcom%22%3D8306" u="1"/>
        <s v="https://analytics.zoho.com/open-view/2395394000008161231?ZOHO_CRITERIA=%22Localiza%20Chile%22.%22Codcom%22%3D8306" u="1"/>
        <s v="https://analytics.zoho.com/open-view/2395394000008161220?ZOHO_CRITERIA=%22Localiza%20Chile%22.%22Codcom%22%3D8307" u="1"/>
        <s v="https://analytics.zoho.com/open-view/2395394000008161221?ZOHO_CRITERIA=%22Localiza%20Chile%22.%22Codcom%22%3D8307" u="1"/>
        <s v="https://analytics.zoho.com/open-view/2395394000008161222?ZOHO_CRITERIA=%22Localiza%20Chile%22.%22Codcom%22%3D8307" u="1"/>
        <s v="https://analytics.zoho.com/open-view/2395394000008161223?ZOHO_CRITERIA=%22Localiza%20Chile%22.%22Codcom%22%3D8307" u="1"/>
        <s v="https://analytics.zoho.com/open-view/2395394000008161224?ZOHO_CRITERIA=%22Localiza%20Chile%22.%22Codcom%22%3D8307" u="1"/>
        <s v="https://analytics.zoho.com/open-view/2395394000008161225?ZOHO_CRITERIA=%22Localiza%20Chile%22.%22Codcom%22%3D8307" u="1"/>
        <s v="https://analytics.zoho.com/open-view/2395394000008161226?ZOHO_CRITERIA=%22Localiza%20Chile%22.%22Codcom%22%3D8307" u="1"/>
        <s v="https://analytics.zoho.com/open-view/2395394000008161227?ZOHO_CRITERIA=%22Localiza%20Chile%22.%22Codcom%22%3D8307" u="1"/>
        <s v="https://analytics.zoho.com/open-view/2395394000008161228?ZOHO_CRITERIA=%22Localiza%20Chile%22.%22Codcom%22%3D8307" u="1"/>
        <s v="https://analytics.zoho.com/open-view/2395394000008161229?ZOHO_CRITERIA=%22Localiza%20Chile%22.%22Codcom%22%3D8307" u="1"/>
        <s v="https://analytics.zoho.com/open-view/2395394000008161231?ZOHO_CRITERIA=%22Localiza%20Chile%22.%22Codcom%22%3D8307" u="1"/>
        <s v="https://analytics.zoho.com/open-view/2395394000008161220?ZOHO_CRITERIA=%22Localiza%20Chile%22.%22Codcom%22%3D8308" u="1"/>
        <s v="https://analytics.zoho.com/open-view/2395394000008161221?ZOHO_CRITERIA=%22Localiza%20Chile%22.%22Codcom%22%3D8308" u="1"/>
        <s v="https://analytics.zoho.com/open-view/2395394000008161222?ZOHO_CRITERIA=%22Localiza%20Chile%22.%22Codcom%22%3D8308" u="1"/>
        <s v="https://analytics.zoho.com/open-view/2395394000008161223?ZOHO_CRITERIA=%22Localiza%20Chile%22.%22Codcom%22%3D8308" u="1"/>
        <s v="https://analytics.zoho.com/open-view/2395394000008161224?ZOHO_CRITERIA=%22Localiza%20Chile%22.%22Codcom%22%3D8308" u="1"/>
        <s v="https://analytics.zoho.com/open-view/2395394000008161225?ZOHO_CRITERIA=%22Localiza%20Chile%22.%22Codcom%22%3D8308" u="1"/>
        <s v="https://analytics.zoho.com/open-view/2395394000008161226?ZOHO_CRITERIA=%22Localiza%20Chile%22.%22Codcom%22%3D8308" u="1"/>
        <s v="https://analytics.zoho.com/open-view/2395394000008161227?ZOHO_CRITERIA=%22Localiza%20Chile%22.%22Codcom%22%3D8308" u="1"/>
        <s v="https://analytics.zoho.com/open-view/2395394000008161228?ZOHO_CRITERIA=%22Localiza%20Chile%22.%22Codcom%22%3D8308" u="1"/>
        <s v="https://analytics.zoho.com/open-view/2395394000008161229?ZOHO_CRITERIA=%22Localiza%20Chile%22.%22Codcom%22%3D8308" u="1"/>
        <s v="https://analytics.zoho.com/open-view/2395394000008161231?ZOHO_CRITERIA=%22Localiza%20Chile%22.%22Codcom%22%3D8308" u="1"/>
        <s v="https://analytics.zoho.com/open-view/2395394000008161220?ZOHO_CRITERIA=%22Localiza%20Chile%22.%22Codcom%22%3D8309" u="1"/>
        <s v="https://analytics.zoho.com/open-view/2395394000008161221?ZOHO_CRITERIA=%22Localiza%20Chile%22.%22Codcom%22%3D8309" u="1"/>
        <s v="https://analytics.zoho.com/open-view/2395394000008161222?ZOHO_CRITERIA=%22Localiza%20Chile%22.%22Codcom%22%3D8309" u="1"/>
        <s v="https://analytics.zoho.com/open-view/2395394000008161223?ZOHO_CRITERIA=%22Localiza%20Chile%22.%22Codcom%22%3D8309" u="1"/>
        <s v="https://analytics.zoho.com/open-view/2395394000008161224?ZOHO_CRITERIA=%22Localiza%20Chile%22.%22Codcom%22%3D8309" u="1"/>
        <s v="https://analytics.zoho.com/open-view/2395394000008161225?ZOHO_CRITERIA=%22Localiza%20Chile%22.%22Codcom%22%3D8309" u="1"/>
        <s v="https://analytics.zoho.com/open-view/2395394000008161226?ZOHO_CRITERIA=%22Localiza%20Chile%22.%22Codcom%22%3D8309" u="1"/>
        <s v="https://analytics.zoho.com/open-view/2395394000008161227?ZOHO_CRITERIA=%22Localiza%20Chile%22.%22Codcom%22%3D8309" u="1"/>
        <s v="https://analytics.zoho.com/open-view/2395394000008161228?ZOHO_CRITERIA=%22Localiza%20Chile%22.%22Codcom%22%3D8309" u="1"/>
        <s v="https://analytics.zoho.com/open-view/2395394000008161229?ZOHO_CRITERIA=%22Localiza%20Chile%22.%22Codcom%22%3D8309" u="1"/>
        <s v="https://analytics.zoho.com/open-view/2395394000008161231?ZOHO_CRITERIA=%22Localiza%20Chile%22.%22Codcom%22%3D8309" u="1"/>
        <s v="https://analytics.zoho.com/open-view/2395394000008161220?ZOHO_CRITERIA=%22Localiza%20Chile%22.%22Codcom%22%3D10210" u="1"/>
        <s v="https://analytics.zoho.com/open-view/2395394000008161221?ZOHO_CRITERIA=%22Localiza%20Chile%22.%22Codcom%22%3D10210" u="1"/>
        <s v="https://analytics.zoho.com/open-view/2395394000008161222?ZOHO_CRITERIA=%22Localiza%20Chile%22.%22Codcom%22%3D10210" u="1"/>
        <s v="https://analytics.zoho.com/open-view/2395394000008161223?ZOHO_CRITERIA=%22Localiza%20Chile%22.%22Codcom%22%3D10210" u="1"/>
        <s v="https://analytics.zoho.com/open-view/2395394000008161224?ZOHO_CRITERIA=%22Localiza%20Chile%22.%22Codcom%22%3D10210" u="1"/>
        <s v="https://analytics.zoho.com/open-view/2395394000008161225?ZOHO_CRITERIA=%22Localiza%20Chile%22.%22Codcom%22%3D10210" u="1"/>
        <s v="https://analytics.zoho.com/open-view/2395394000008161226?ZOHO_CRITERIA=%22Localiza%20Chile%22.%22Codcom%22%3D10210" u="1"/>
        <s v="https://analytics.zoho.com/open-view/2395394000008161227?ZOHO_CRITERIA=%22Localiza%20Chile%22.%22Codcom%22%3D10210" u="1"/>
        <s v="https://analytics.zoho.com/open-view/2395394000008161228?ZOHO_CRITERIA=%22Localiza%20Chile%22.%22Codcom%22%3D10210" u="1"/>
        <s v="https://analytics.zoho.com/open-view/2395394000008161229?ZOHO_CRITERIA=%22Localiza%20Chile%22.%22Codcom%22%3D10210" u="1"/>
        <s v="https://analytics.zoho.com/open-view/2395394000008161231?ZOHO_CRITERIA=%22Localiza%20Chile%22.%22Codcom%22%3D10210" u="1"/>
        <s v="https://analytics.zoho.com/open-view/2395394000008161220?ZOHO_CRITERIA=%22Localiza%20Chile%22.%22Codcom%22%3D14107" u="1"/>
        <s v="https://analytics.zoho.com/open-view/2395394000008161221?ZOHO_CRITERIA=%22Localiza%20Chile%22.%22Codcom%22%3D14107" u="1"/>
        <s v="https://analytics.zoho.com/open-view/2395394000008161222?ZOHO_CRITERIA=%22Localiza%20Chile%22.%22Codcom%22%3D14107" u="1"/>
        <s v="https://analytics.zoho.com/open-view/2395394000008161223?ZOHO_CRITERIA=%22Localiza%20Chile%22.%22Codcom%22%3D14107" u="1"/>
        <s v="https://analytics.zoho.com/open-view/2395394000008161224?ZOHO_CRITERIA=%22Localiza%20Chile%22.%22Codcom%22%3D14107" u="1"/>
        <s v="https://analytics.zoho.com/open-view/2395394000008161225?ZOHO_CRITERIA=%22Localiza%20Chile%22.%22Codcom%22%3D14107" u="1"/>
        <s v="https://analytics.zoho.com/open-view/2395394000008161226?ZOHO_CRITERIA=%22Localiza%20Chile%22.%22Codcom%22%3D14107" u="1"/>
        <s v="https://analytics.zoho.com/open-view/2395394000008161227?ZOHO_CRITERIA=%22Localiza%20Chile%22.%22Codcom%22%3D14107" u="1"/>
        <s v="https://analytics.zoho.com/open-view/2395394000008161228?ZOHO_CRITERIA=%22Localiza%20Chile%22.%22Codcom%22%3D14107" u="1"/>
        <s v="https://analytics.zoho.com/open-view/2395394000008161229?ZOHO_CRITERIA=%22Localiza%20Chile%22.%22Codcom%22%3D14107" u="1"/>
        <s v="https://analytics.zoho.com/open-view/2395394000008161231?ZOHO_CRITERIA=%22Localiza%20Chile%22.%22Codcom%22%3D14107" u="1"/>
        <s v="https://analytics.zoho.com/open-view/2395394000008161220?ZOHO_CRITERIA=%22Localiza%20Chile%22.%22Codcom%22%3D10108" u="1"/>
        <s v="https://analytics.zoho.com/open-view/2395394000008161221?ZOHO_CRITERIA=%22Localiza%20Chile%22.%22Codcom%22%3D10108" u="1"/>
        <s v="https://analytics.zoho.com/open-view/2395394000008161222?ZOHO_CRITERIA=%22Localiza%20Chile%22.%22Codcom%22%3D10108" u="1"/>
        <s v="https://analytics.zoho.com/open-view/2395394000008161223?ZOHO_CRITERIA=%22Localiza%20Chile%22.%22Codcom%22%3D10108" u="1"/>
        <s v="https://analytics.zoho.com/open-view/2395394000008161224?ZOHO_CRITERIA=%22Localiza%20Chile%22.%22Codcom%22%3D10108" u="1"/>
        <s v="https://analytics.zoho.com/open-view/2395394000008161225?ZOHO_CRITERIA=%22Localiza%20Chile%22.%22Codcom%22%3D10108" u="1"/>
        <s v="https://analytics.zoho.com/open-view/2395394000008161226?ZOHO_CRITERIA=%22Localiza%20Chile%22.%22Codcom%22%3D10108" u="1"/>
        <s v="https://analytics.zoho.com/open-view/2395394000008161227?ZOHO_CRITERIA=%22Localiza%20Chile%22.%22Codcom%22%3D10108" u="1"/>
        <s v="https://analytics.zoho.com/open-view/2395394000008161228?ZOHO_CRITERIA=%22Localiza%20Chile%22.%22Codcom%22%3D10108" u="1"/>
        <s v="https://analytics.zoho.com/open-view/2395394000008161229?ZOHO_CRITERIA=%22Localiza%20Chile%22.%22Codcom%22%3D10108" u="1"/>
        <s v="https://analytics.zoho.com/open-view/2395394000008161231?ZOHO_CRITERIA=%22Localiza%20Chile%22.%22Codcom%22%3D10108" u="1"/>
        <s v="https://analytics.zoho.com/open-view/2395394000008161220?ZOHO_CRITERIA=%22Localiza%20Chile%22.%22Codcom%22%3D10201" u="1"/>
        <s v="https://analytics.zoho.com/open-view/2395394000008161221?ZOHO_CRITERIA=%22Localiza%20Chile%22.%22Codcom%22%3D10201" u="1"/>
        <s v="https://analytics.zoho.com/open-view/2395394000008161222?ZOHO_CRITERIA=%22Localiza%20Chile%22.%22Codcom%22%3D10201" u="1"/>
        <s v="https://analytics.zoho.com/open-view/2395394000008161223?ZOHO_CRITERIA=%22Localiza%20Chile%22.%22Codcom%22%3D10201" u="1"/>
        <s v="https://analytics.zoho.com/open-view/2395394000008161224?ZOHO_CRITERIA=%22Localiza%20Chile%22.%22Codcom%22%3D10201" u="1"/>
        <s v="https://analytics.zoho.com/open-view/2395394000008161225?ZOHO_CRITERIA=%22Localiza%20Chile%22.%22Codcom%22%3D10201" u="1"/>
        <s v="https://analytics.zoho.com/open-view/2395394000008161226?ZOHO_CRITERIA=%22Localiza%20Chile%22.%22Codcom%22%3D10201" u="1"/>
        <s v="https://analytics.zoho.com/open-view/2395394000008161227?ZOHO_CRITERIA=%22Localiza%20Chile%22.%22Codcom%22%3D10201" u="1"/>
        <s v="https://analytics.zoho.com/open-view/2395394000008161228?ZOHO_CRITERIA=%22Localiza%20Chile%22.%22Codcom%22%3D10201" u="1"/>
        <s v="https://analytics.zoho.com/open-view/2395394000008161229?ZOHO_CRITERIA=%22Localiza%20Chile%22.%22Codcom%22%3D10201" u="1"/>
        <s v="https://analytics.zoho.com/open-view/2395394000008161231?ZOHO_CRITERIA=%22Localiza%20Chile%22.%22Codcom%22%3D10201" u="1"/>
        <s v="https://analytics.zoho.com/open-view/2395394000008161220?ZOHO_CRITERIA=%22Localiza%20Chile%22.%22Codcom%22%3D14108" u="1"/>
        <s v="https://analytics.zoho.com/open-view/2395394000008161221?ZOHO_CRITERIA=%22Localiza%20Chile%22.%22Codcom%22%3D14108" u="1"/>
        <s v="https://analytics.zoho.com/open-view/2395394000008161222?ZOHO_CRITERIA=%22Localiza%20Chile%22.%22Codcom%22%3D14108" u="1"/>
        <s v="https://analytics.zoho.com/open-view/2395394000008161223?ZOHO_CRITERIA=%22Localiza%20Chile%22.%22Codcom%22%3D14108" u="1"/>
        <s v="https://analytics.zoho.com/open-view/2395394000008161224?ZOHO_CRITERIA=%22Localiza%20Chile%22.%22Codcom%22%3D14108" u="1"/>
        <s v="https://analytics.zoho.com/open-view/2395394000008161225?ZOHO_CRITERIA=%22Localiza%20Chile%22.%22Codcom%22%3D14108" u="1"/>
        <s v="https://analytics.zoho.com/open-view/2395394000008161226?ZOHO_CRITERIA=%22Localiza%20Chile%22.%22Codcom%22%3D14108" u="1"/>
        <s v="https://analytics.zoho.com/open-view/2395394000008161227?ZOHO_CRITERIA=%22Localiza%20Chile%22.%22Codcom%22%3D14108" u="1"/>
        <s v="https://analytics.zoho.com/open-view/2395394000008161228?ZOHO_CRITERIA=%22Localiza%20Chile%22.%22Codcom%22%3D14108" u="1"/>
        <s v="https://analytics.zoho.com/open-view/2395394000008161229?ZOHO_CRITERIA=%22Localiza%20Chile%22.%22Codcom%22%3D14108" u="1"/>
        <s v="https://analytics.zoho.com/open-view/2395394000008161231?ZOHO_CRITERIA=%22Localiza%20Chile%22.%22Codcom%22%3D14108" u="1"/>
        <s v="https://analytics.zoho.com/open-view/2395394000008161220?ZOHO_CRITERIA=%22Localiza%20Chile%22.%22Codcom%22%3D10109" u="1"/>
        <s v="https://analytics.zoho.com/open-view/2395394000008161221?ZOHO_CRITERIA=%22Localiza%20Chile%22.%22Codcom%22%3D10109" u="1"/>
        <s v="https://analytics.zoho.com/open-view/2395394000008161222?ZOHO_CRITERIA=%22Localiza%20Chile%22.%22Codcom%22%3D10109" u="1"/>
        <s v="https://analytics.zoho.com/open-view/2395394000008161223?ZOHO_CRITERIA=%22Localiza%20Chile%22.%22Codcom%22%3D10109" u="1"/>
        <s v="https://analytics.zoho.com/open-view/2395394000008161224?ZOHO_CRITERIA=%22Localiza%20Chile%22.%22Codcom%22%3D10109" u="1"/>
        <s v="https://analytics.zoho.com/open-view/2395394000008161225?ZOHO_CRITERIA=%22Localiza%20Chile%22.%22Codcom%22%3D10109" u="1"/>
        <s v="https://analytics.zoho.com/open-view/2395394000008161226?ZOHO_CRITERIA=%22Localiza%20Chile%22.%22Codcom%22%3D10109" u="1"/>
        <s v="https://analytics.zoho.com/open-view/2395394000008161227?ZOHO_CRITERIA=%22Localiza%20Chile%22.%22Codcom%22%3D10109" u="1"/>
        <s v="https://analytics.zoho.com/open-view/2395394000008161228?ZOHO_CRITERIA=%22Localiza%20Chile%22.%22Codcom%22%3D10109" u="1"/>
        <s v="https://analytics.zoho.com/open-view/2395394000008161229?ZOHO_CRITERIA=%22Localiza%20Chile%22.%22Codcom%22%3D10109" u="1"/>
        <s v="https://analytics.zoho.com/open-view/2395394000008161231?ZOHO_CRITERIA=%22Localiza%20Chile%22.%22Codcom%22%3D10109" u="1"/>
        <s v="https://analytics.zoho.com/open-view/2395394000008161220?ZOHO_CRITERIA=%22Localiza%20Chile%22.%22Codcom%22%3D13401" u="1"/>
        <s v="https://analytics.zoho.com/open-view/2395394000008161221?ZOHO_CRITERIA=%22Localiza%20Chile%22.%22Codcom%22%3D13401" u="1"/>
        <s v="https://analytics.zoho.com/open-view/2395394000008161222?ZOHO_CRITERIA=%22Localiza%20Chile%22.%22Codcom%22%3D13401" u="1"/>
        <s v="https://analytics.zoho.com/open-view/2395394000008161223?ZOHO_CRITERIA=%22Localiza%20Chile%22.%22Codcom%22%3D13401" u="1"/>
        <s v="https://analytics.zoho.com/open-view/2395394000008161224?ZOHO_CRITERIA=%22Localiza%20Chile%22.%22Codcom%22%3D13401" u="1"/>
        <s v="https://analytics.zoho.com/open-view/2395394000008161225?ZOHO_CRITERIA=%22Localiza%20Chile%22.%22Codcom%22%3D13401" u="1"/>
        <s v="https://analytics.zoho.com/open-view/2395394000008161226?ZOHO_CRITERIA=%22Localiza%20Chile%22.%22Codcom%22%3D13401" u="1"/>
        <s v="https://analytics.zoho.com/open-view/2395394000008161227?ZOHO_CRITERIA=%22Localiza%20Chile%22.%22Codcom%22%3D13401" u="1"/>
        <s v="https://analytics.zoho.com/open-view/2395394000008161228?ZOHO_CRITERIA=%22Localiza%20Chile%22.%22Codcom%22%3D13401" u="1"/>
        <s v="https://analytics.zoho.com/open-view/2395394000008161229?ZOHO_CRITERIA=%22Localiza%20Chile%22.%22Codcom%22%3D13401" u="1"/>
        <s v="https://analytics.zoho.com/open-view/2395394000008161231?ZOHO_CRITERIA=%22Localiza%20Chile%22.%22Codcom%22%3D13401" u="1"/>
        <s v="https://analytics.zoho.com/open-view/2395394000008161220?ZOHO_CRITERIA=%22Localiza%20Chile%22.%22Codcom%22%3D14201" u="1"/>
        <s v="https://analytics.zoho.com/open-view/2395394000008161221?ZOHO_CRITERIA=%22Localiza%20Chile%22.%22Codcom%22%3D14201" u="1"/>
        <s v="https://analytics.zoho.com/open-view/2395394000008161222?ZOHO_CRITERIA=%22Localiza%20Chile%22.%22Codcom%22%3D14201" u="1"/>
        <s v="https://analytics.zoho.com/open-view/2395394000008161223?ZOHO_CRITERIA=%22Localiza%20Chile%22.%22Codcom%22%3D14201" u="1"/>
        <s v="https://analytics.zoho.com/open-view/2395394000008161224?ZOHO_CRITERIA=%22Localiza%20Chile%22.%22Codcom%22%3D14201" u="1"/>
        <s v="https://analytics.zoho.com/open-view/2395394000008161225?ZOHO_CRITERIA=%22Localiza%20Chile%22.%22Codcom%22%3D14201" u="1"/>
        <s v="https://analytics.zoho.com/open-view/2395394000008161226?ZOHO_CRITERIA=%22Localiza%20Chile%22.%22Codcom%22%3D14201" u="1"/>
        <s v="https://analytics.zoho.com/open-view/2395394000008161227?ZOHO_CRITERIA=%22Localiza%20Chile%22.%22Codcom%22%3D14201" u="1"/>
        <s v="https://analytics.zoho.com/open-view/2395394000008161228?ZOHO_CRITERIA=%22Localiza%20Chile%22.%22Codcom%22%3D14201" u="1"/>
        <s v="https://analytics.zoho.com/open-view/2395394000008161229?ZOHO_CRITERIA=%22Localiza%20Chile%22.%22Codcom%22%3D14201" u="1"/>
        <s v="https://analytics.zoho.com/open-view/2395394000008161231?ZOHO_CRITERIA=%22Localiza%20Chile%22.%22Codcom%22%3D14201" u="1"/>
        <s v="https://analytics.zoho.com/open-view/2395394000008161220?ZOHO_CRITERIA=%22Localiza%20Chile%22.%22Codcom%22%3D10202" u="1"/>
        <s v="https://analytics.zoho.com/open-view/2395394000008161221?ZOHO_CRITERIA=%22Localiza%20Chile%22.%22Codcom%22%3D10202" u="1"/>
        <s v="https://analytics.zoho.com/open-view/2395394000008161222?ZOHO_CRITERIA=%22Localiza%20Chile%22.%22Codcom%22%3D10202" u="1"/>
        <s v="https://analytics.zoho.com/open-view/2395394000008161223?ZOHO_CRITERIA=%22Localiza%20Chile%22.%22Codcom%22%3D10202" u="1"/>
        <s v="https://analytics.zoho.com/open-view/2395394000008161224?ZOHO_CRITERIA=%22Localiza%20Chile%22.%22Codcom%22%3D10202" u="1"/>
        <s v="https://analytics.zoho.com/open-view/2395394000008161225?ZOHO_CRITERIA=%22Localiza%20Chile%22.%22Codcom%22%3D10202" u="1"/>
        <s v="https://analytics.zoho.com/open-view/2395394000008161226?ZOHO_CRITERIA=%22Localiza%20Chile%22.%22Codcom%22%3D10202" u="1"/>
        <s v="https://analytics.zoho.com/open-view/2395394000008161227?ZOHO_CRITERIA=%22Localiza%20Chile%22.%22Codcom%22%3D10202" u="1"/>
        <s v="https://analytics.zoho.com/open-view/2395394000008161228?ZOHO_CRITERIA=%22Localiza%20Chile%22.%22Codcom%22%3D10202" u="1"/>
        <s v="https://analytics.zoho.com/open-view/2395394000008161229?ZOHO_CRITERIA=%22Localiza%20Chile%22.%22Codcom%22%3D10202" u="1"/>
        <s v="https://analytics.zoho.com/open-view/2395394000008161231?ZOHO_CRITERIA=%22Localiza%20Chile%22.%22Codcom%22%3D10202" u="1"/>
        <s v="https://analytics.zoho.com/open-view/2395394000008161220?ZOHO_CRITERIA=%22Localiza%20Chile%22.%22Codcom%22%3D13402" u="1"/>
        <s v="https://analytics.zoho.com/open-view/2395394000008161221?ZOHO_CRITERIA=%22Localiza%20Chile%22.%22Codcom%22%3D13402" u="1"/>
        <s v="https://analytics.zoho.com/open-view/2395394000008161222?ZOHO_CRITERIA=%22Localiza%20Chile%22.%22Codcom%22%3D13402" u="1"/>
        <s v="https://analytics.zoho.com/open-view/2395394000008161223?ZOHO_CRITERIA=%22Localiza%20Chile%22.%22Codcom%22%3D13402" u="1"/>
        <s v="https://analytics.zoho.com/open-view/2395394000008161224?ZOHO_CRITERIA=%22Localiza%20Chile%22.%22Codcom%22%3D13402" u="1"/>
        <s v="https://analytics.zoho.com/open-view/2395394000008161225?ZOHO_CRITERIA=%22Localiza%20Chile%22.%22Codcom%22%3D13402" u="1"/>
        <s v="https://analytics.zoho.com/open-view/2395394000008161226?ZOHO_CRITERIA=%22Localiza%20Chile%22.%22Codcom%22%3D13402" u="1"/>
        <s v="https://analytics.zoho.com/open-view/2395394000008161227?ZOHO_CRITERIA=%22Localiza%20Chile%22.%22Codcom%22%3D13402" u="1"/>
        <s v="https://analytics.zoho.com/open-view/2395394000008161228?ZOHO_CRITERIA=%22Localiza%20Chile%22.%22Codcom%22%3D13402" u="1"/>
        <s v="https://analytics.zoho.com/open-view/2395394000008161229?ZOHO_CRITERIA=%22Localiza%20Chile%22.%22Codcom%22%3D13402" u="1"/>
        <s v="https://analytics.zoho.com/open-view/2395394000008161231?ZOHO_CRITERIA=%22Localiza%20Chile%22.%22Codcom%22%3D13402" u="1"/>
        <s v="https://analytics.zoho.com/open-view/2395394000008161220?ZOHO_CRITERIA=%22Localiza%20Chile%22.%22Codcom%22%3D14202" u="1"/>
        <s v="https://analytics.zoho.com/open-view/2395394000008161221?ZOHO_CRITERIA=%22Localiza%20Chile%22.%22Codcom%22%3D14202" u="1"/>
        <s v="https://analytics.zoho.com/open-view/2395394000008161222?ZOHO_CRITERIA=%22Localiza%20Chile%22.%22Codcom%22%3D14202" u="1"/>
        <s v="https://analytics.zoho.com/open-view/2395394000008161223?ZOHO_CRITERIA=%22Localiza%20Chile%22.%22Codcom%22%3D14202" u="1"/>
        <s v="https://analytics.zoho.com/open-view/2395394000008161224?ZOHO_CRITERIA=%22Localiza%20Chile%22.%22Codcom%22%3D14202" u="1"/>
        <s v="https://analytics.zoho.com/open-view/2395394000008161225?ZOHO_CRITERIA=%22Localiza%20Chile%22.%22Codcom%22%3D14202" u="1"/>
        <s v="https://analytics.zoho.com/open-view/2395394000008161226?ZOHO_CRITERIA=%22Localiza%20Chile%22.%22Codcom%22%3D14202" u="1"/>
        <s v="https://analytics.zoho.com/open-view/2395394000008161227?ZOHO_CRITERIA=%22Localiza%20Chile%22.%22Codcom%22%3D14202" u="1"/>
        <s v="https://analytics.zoho.com/open-view/2395394000008161228?ZOHO_CRITERIA=%22Localiza%20Chile%22.%22Codcom%22%3D14202" u="1"/>
        <s v="https://analytics.zoho.com/open-view/2395394000008161229?ZOHO_CRITERIA=%22Localiza%20Chile%22.%22Codcom%22%3D14202" u="1"/>
        <s v="https://analytics.zoho.com/open-view/2395394000008161231?ZOHO_CRITERIA=%22Localiza%20Chile%22.%22Codcom%22%3D14202" u="1"/>
        <s v="https://analytics.zoho.com/open-view/2395394000008161220?ZOHO_CRITERIA=%22Localiza%20Chile%22.%22Codcom%22%3D10203" u="1"/>
        <s v="https://analytics.zoho.com/open-view/2395394000008161221?ZOHO_CRITERIA=%22Localiza%20Chile%22.%22Codcom%22%3D10203" u="1"/>
        <s v="https://analytics.zoho.com/open-view/2395394000008161222?ZOHO_CRITERIA=%22Localiza%20Chile%22.%22Codcom%22%3D10203" u="1"/>
        <s v="https://analytics.zoho.com/open-view/2395394000008161223?ZOHO_CRITERIA=%22Localiza%20Chile%22.%22Codcom%22%3D10203" u="1"/>
        <s v="https://analytics.zoho.com/open-view/2395394000008161224?ZOHO_CRITERIA=%22Localiza%20Chile%22.%22Codcom%22%3D10203" u="1"/>
        <s v="https://analytics.zoho.com/open-view/2395394000008161225?ZOHO_CRITERIA=%22Localiza%20Chile%22.%22Codcom%22%3D10203" u="1"/>
        <s v="https://analytics.zoho.com/open-view/2395394000008161226?ZOHO_CRITERIA=%22Localiza%20Chile%22.%22Codcom%22%3D10203" u="1"/>
        <s v="https://analytics.zoho.com/open-view/2395394000008161227?ZOHO_CRITERIA=%22Localiza%20Chile%22.%22Codcom%22%3D10203" u="1"/>
        <s v="https://analytics.zoho.com/open-view/2395394000008161228?ZOHO_CRITERIA=%22Localiza%20Chile%22.%22Codcom%22%3D10203" u="1"/>
        <s v="https://analytics.zoho.com/open-view/2395394000008161229?ZOHO_CRITERIA=%22Localiza%20Chile%22.%22Codcom%22%3D10203" u="1"/>
        <s v="https://analytics.zoho.com/open-view/2395394000008161231?ZOHO_CRITERIA=%22Localiza%20Chile%22.%22Codcom%22%3D10203" u="1"/>
        <s v="https://analytics.zoho.com/open-view/2395394000008161220?ZOHO_CRITERIA=%22Localiza%20Chile%22.%22Codcom%22%3D13403" u="1"/>
        <s v="https://analytics.zoho.com/open-view/2395394000008161221?ZOHO_CRITERIA=%22Localiza%20Chile%22.%22Codcom%22%3D13403" u="1"/>
        <s v="https://analytics.zoho.com/open-view/2395394000008161222?ZOHO_CRITERIA=%22Localiza%20Chile%22.%22Codcom%22%3D13403" u="1"/>
        <s v="https://analytics.zoho.com/open-view/2395394000008161223?ZOHO_CRITERIA=%22Localiza%20Chile%22.%22Codcom%22%3D13403" u="1"/>
        <s v="https://analytics.zoho.com/open-view/2395394000008161224?ZOHO_CRITERIA=%22Localiza%20Chile%22.%22Codcom%22%3D13403" u="1"/>
        <s v="https://analytics.zoho.com/open-view/2395394000008161225?ZOHO_CRITERIA=%22Localiza%20Chile%22.%22Codcom%22%3D13403" u="1"/>
        <s v="https://analytics.zoho.com/open-view/2395394000008161226?ZOHO_CRITERIA=%22Localiza%20Chile%22.%22Codcom%22%3D13403" u="1"/>
        <s v="https://analytics.zoho.com/open-view/2395394000008161227?ZOHO_CRITERIA=%22Localiza%20Chile%22.%22Codcom%22%3D13403" u="1"/>
        <s v="https://analytics.zoho.com/open-view/2395394000008161228?ZOHO_CRITERIA=%22Localiza%20Chile%22.%22Codcom%22%3D13403" u="1"/>
        <s v="https://analytics.zoho.com/open-view/2395394000008161229?ZOHO_CRITERIA=%22Localiza%20Chile%22.%22Codcom%22%3D13403" u="1"/>
        <s v="https://analytics.zoho.com/open-view/2395394000008161231?ZOHO_CRITERIA=%22Localiza%20Chile%22.%22Codcom%22%3D13403" u="1"/>
        <s v="https://analytics.zoho.com/open-view/2395394000008161220?ZOHO_CRITERIA=%22Localiza%20Chile%22.%22Codcom%22%3D14203" u="1"/>
        <s v="https://analytics.zoho.com/open-view/2395394000008161221?ZOHO_CRITERIA=%22Localiza%20Chile%22.%22Codcom%22%3D14203" u="1"/>
        <s v="https://analytics.zoho.com/open-view/2395394000008161222?ZOHO_CRITERIA=%22Localiza%20Chile%22.%22Codcom%22%3D14203" u="1"/>
        <s v="https://analytics.zoho.com/open-view/2395394000008161223?ZOHO_CRITERIA=%22Localiza%20Chile%22.%22Codcom%22%3D14203" u="1"/>
        <s v="https://analytics.zoho.com/open-view/2395394000008161224?ZOHO_CRITERIA=%22Localiza%20Chile%22.%22Codcom%22%3D14203" u="1"/>
        <s v="https://analytics.zoho.com/open-view/2395394000008161225?ZOHO_CRITERIA=%22Localiza%20Chile%22.%22Codcom%22%3D14203" u="1"/>
        <s v="https://analytics.zoho.com/open-view/2395394000008161226?ZOHO_CRITERIA=%22Localiza%20Chile%22.%22Codcom%22%3D14203" u="1"/>
        <s v="https://analytics.zoho.com/open-view/2395394000008161227?ZOHO_CRITERIA=%22Localiza%20Chile%22.%22Codcom%22%3D14203" u="1"/>
        <s v="https://analytics.zoho.com/open-view/2395394000008161228?ZOHO_CRITERIA=%22Localiza%20Chile%22.%22Codcom%22%3D14203" u="1"/>
        <s v="https://analytics.zoho.com/open-view/2395394000008161229?ZOHO_CRITERIA=%22Localiza%20Chile%22.%22Codcom%22%3D14203" u="1"/>
        <s v="https://analytics.zoho.com/open-view/2395394000008161231?ZOHO_CRITERIA=%22Localiza%20Chile%22.%22Codcom%22%3D14203" u="1"/>
        <s v="https://analytics.zoho.com/open-view/2395394000008161220?ZOHO_CRITERIA=%22Localiza%20Chile%22.%22Codcom%22%3D10204" u="1"/>
        <s v="https://analytics.zoho.com/open-view/2395394000008161221?ZOHO_CRITERIA=%22Localiza%20Chile%22.%22Codcom%22%3D10204" u="1"/>
        <s v="https://analytics.zoho.com/open-view/2395394000008161222?ZOHO_CRITERIA=%22Localiza%20Chile%22.%22Codcom%22%3D10204" u="1"/>
        <s v="https://analytics.zoho.com/open-view/2395394000008161223?ZOHO_CRITERIA=%22Localiza%20Chile%22.%22Codcom%22%3D10204" u="1"/>
        <s v="https://analytics.zoho.com/open-view/2395394000008161224?ZOHO_CRITERIA=%22Localiza%20Chile%22.%22Codcom%22%3D10204" u="1"/>
        <s v="https://analytics.zoho.com/open-view/2395394000008161225?ZOHO_CRITERIA=%22Localiza%20Chile%22.%22Codcom%22%3D10204" u="1"/>
        <s v="https://analytics.zoho.com/open-view/2395394000008161226?ZOHO_CRITERIA=%22Localiza%20Chile%22.%22Codcom%22%3D10204" u="1"/>
        <s v="https://analytics.zoho.com/open-view/2395394000008161227?ZOHO_CRITERIA=%22Localiza%20Chile%22.%22Codcom%22%3D10204" u="1"/>
        <s v="https://analytics.zoho.com/open-view/2395394000008161228?ZOHO_CRITERIA=%22Localiza%20Chile%22.%22Codcom%22%3D10204" u="1"/>
        <s v="https://analytics.zoho.com/open-view/2395394000008161229?ZOHO_CRITERIA=%22Localiza%20Chile%22.%22Codcom%22%3D10204" u="1"/>
        <s v="https://analytics.zoho.com/open-view/2395394000008161231?ZOHO_CRITERIA=%22Localiza%20Chile%22.%22Codcom%22%3D10204" u="1"/>
        <s v="https://analytics.zoho.com/open-view/2395394000008161220?ZOHO_CRITERIA=%22Localiza%20Chile%22.%22Codcom%22%3D13404" u="1"/>
        <s v="https://analytics.zoho.com/open-view/2395394000008161221?ZOHO_CRITERIA=%22Localiza%20Chile%22.%22Codcom%22%3D13404" u="1"/>
        <s v="https://analytics.zoho.com/open-view/2395394000008161222?ZOHO_CRITERIA=%22Localiza%20Chile%22.%22Codcom%22%3D13404" u="1"/>
        <s v="https://analytics.zoho.com/open-view/2395394000008161223?ZOHO_CRITERIA=%22Localiza%20Chile%22.%22Codcom%22%3D13404" u="1"/>
        <s v="https://analytics.zoho.com/open-view/2395394000008161224?ZOHO_CRITERIA=%22Localiza%20Chile%22.%22Codcom%22%3D13404" u="1"/>
        <s v="https://analytics.zoho.com/open-view/2395394000008161225?ZOHO_CRITERIA=%22Localiza%20Chile%22.%22Codcom%22%3D13404" u="1"/>
        <s v="https://analytics.zoho.com/open-view/2395394000008161226?ZOHO_CRITERIA=%22Localiza%20Chile%22.%22Codcom%22%3D13404" u="1"/>
        <s v="https://analytics.zoho.com/open-view/2395394000008161227?ZOHO_CRITERIA=%22Localiza%20Chile%22.%22Codcom%22%3D13404" u="1"/>
        <s v="https://analytics.zoho.com/open-view/2395394000008161228?ZOHO_CRITERIA=%22Localiza%20Chile%22.%22Codcom%22%3D13404" u="1"/>
        <s v="https://analytics.zoho.com/open-view/2395394000008161229?ZOHO_CRITERIA=%22Localiza%20Chile%22.%22Codcom%22%3D13404" u="1"/>
        <s v="https://analytics.zoho.com/open-view/2395394000008161231?ZOHO_CRITERIA=%22Localiza%20Chile%22.%22Codcom%22%3D13404" u="1"/>
        <s v="https://analytics.zoho.com/open-view/2395394000008161220?ZOHO_CRITERIA=%22Localiza%20Chile%22.%22Codcom%22%3D14204" u="1"/>
        <s v="https://analytics.zoho.com/open-view/2395394000008161221?ZOHO_CRITERIA=%22Localiza%20Chile%22.%22Codcom%22%3D14204" u="1"/>
        <s v="https://analytics.zoho.com/open-view/2395394000008161222?ZOHO_CRITERIA=%22Localiza%20Chile%22.%22Codcom%22%3D14204" u="1"/>
        <s v="https://analytics.zoho.com/open-view/2395394000008161223?ZOHO_CRITERIA=%22Localiza%20Chile%22.%22Codcom%22%3D14204" u="1"/>
        <s v="https://analytics.zoho.com/open-view/2395394000008161224?ZOHO_CRITERIA=%22Localiza%20Chile%22.%22Codcom%22%3D14204" u="1"/>
        <s v="https://analytics.zoho.com/open-view/2395394000008161225?ZOHO_CRITERIA=%22Localiza%20Chile%22.%22Codcom%22%3D14204" u="1"/>
        <s v="https://analytics.zoho.com/open-view/2395394000008161226?ZOHO_CRITERIA=%22Localiza%20Chile%22.%22Codcom%22%3D14204" u="1"/>
        <s v="https://analytics.zoho.com/open-view/2395394000008161227?ZOHO_CRITERIA=%22Localiza%20Chile%22.%22Codcom%22%3D14204" u="1"/>
        <s v="https://analytics.zoho.com/open-view/2395394000008161228?ZOHO_CRITERIA=%22Localiza%20Chile%22.%22Codcom%22%3D14204" u="1"/>
        <s v="https://analytics.zoho.com/open-view/2395394000008161229?ZOHO_CRITERIA=%22Localiza%20Chile%22.%22Codcom%22%3D14204" u="1"/>
        <s v="https://analytics.zoho.com/open-view/2395394000008161231?ZOHO_CRITERIA=%22Localiza%20Chile%22.%22Codcom%22%3D14204" u="1"/>
        <s v="https://analytics.zoho.com/open-view/2395394000008161220?ZOHO_CRITERIA=%22Localiza%20Chile%22.%22Codcom%22%3D10205" u="1"/>
        <s v="https://analytics.zoho.com/open-view/2395394000008161221?ZOHO_CRITERIA=%22Localiza%20Chile%22.%22Codcom%22%3D10205" u="1"/>
        <s v="https://analytics.zoho.com/open-view/2395394000008161222?ZOHO_CRITERIA=%22Localiza%20Chile%22.%22Codcom%22%3D10205" u="1"/>
        <s v="https://analytics.zoho.com/open-view/2395394000008161223?ZOHO_CRITERIA=%22Localiza%20Chile%22.%22Codcom%22%3D10205" u="1"/>
        <s v="https://analytics.zoho.com/open-view/2395394000008161224?ZOHO_CRITERIA=%22Localiza%20Chile%22.%22Codcom%22%3D10205" u="1"/>
        <s v="https://analytics.zoho.com/open-view/2395394000008161225?ZOHO_CRITERIA=%22Localiza%20Chile%22.%22Codcom%22%3D10205" u="1"/>
        <s v="https://analytics.zoho.com/open-view/2395394000008161226?ZOHO_CRITERIA=%22Localiza%20Chile%22.%22Codcom%22%3D10205" u="1"/>
        <s v="https://analytics.zoho.com/open-view/2395394000008161227?ZOHO_CRITERIA=%22Localiza%20Chile%22.%22Codcom%22%3D10205" u="1"/>
        <s v="https://analytics.zoho.com/open-view/2395394000008161228?ZOHO_CRITERIA=%22Localiza%20Chile%22.%22Codcom%22%3D10205" u="1"/>
        <s v="https://analytics.zoho.com/open-view/2395394000008161229?ZOHO_CRITERIA=%22Localiza%20Chile%22.%22Codcom%22%3D10205" u="1"/>
        <s v="https://analytics.zoho.com/open-view/2395394000008161231?ZOHO_CRITERIA=%22Localiza%20Chile%22.%22Codcom%22%3D10205" u="1"/>
        <s v="https://analytics.zoho.com/open-view/2395394000008161220?ZOHO_CRITERIA=%22Localiza%20Chile%22.%22Codcom%22%3D10206" u="1"/>
        <s v="https://analytics.zoho.com/open-view/2395394000008161221?ZOHO_CRITERIA=%22Localiza%20Chile%22.%22Codcom%22%3D10206" u="1"/>
        <s v="https://analytics.zoho.com/open-view/2395394000008161222?ZOHO_CRITERIA=%22Localiza%20Chile%22.%22Codcom%22%3D10206" u="1"/>
        <s v="https://analytics.zoho.com/open-view/2395394000008161223?ZOHO_CRITERIA=%22Localiza%20Chile%22.%22Codcom%22%3D10206" u="1"/>
        <s v="https://analytics.zoho.com/open-view/2395394000008161224?ZOHO_CRITERIA=%22Localiza%20Chile%22.%22Codcom%22%3D10206" u="1"/>
        <s v="https://analytics.zoho.com/open-view/2395394000008161225?ZOHO_CRITERIA=%22Localiza%20Chile%22.%22Codcom%22%3D10206" u="1"/>
        <s v="https://analytics.zoho.com/open-view/2395394000008161226?ZOHO_CRITERIA=%22Localiza%20Chile%22.%22Codcom%22%3D10206" u="1"/>
        <s v="https://analytics.zoho.com/open-view/2395394000008161227?ZOHO_CRITERIA=%22Localiza%20Chile%22.%22Codcom%22%3D10206" u="1"/>
        <s v="https://analytics.zoho.com/open-view/2395394000008161228?ZOHO_CRITERIA=%22Localiza%20Chile%22.%22Codcom%22%3D10206" u="1"/>
        <s v="https://analytics.zoho.com/open-view/2395394000008161229?ZOHO_CRITERIA=%22Localiza%20Chile%22.%22Codcom%22%3D10206" u="1"/>
        <s v="https://analytics.zoho.com/open-view/2395394000008161231?ZOHO_CRITERIA=%22Localiza%20Chile%22.%22Codcom%22%3D10206" u="1"/>
        <s v="https://analytics.zoho.com/open-view/2395394000008161220?ZOHO_CRITERIA=%22Localiza%20Chile%22.%22Codcom%22%3D6310" u="1"/>
        <s v="https://analytics.zoho.com/open-view/2395394000008161221?ZOHO_CRITERIA=%22Localiza%20Chile%22.%22Codcom%22%3D6310" u="1"/>
        <s v="https://analytics.zoho.com/open-view/2395394000008161222?ZOHO_CRITERIA=%22Localiza%20Chile%22.%22Codcom%22%3D6310" u="1"/>
        <s v="https://analytics.zoho.com/open-view/2395394000008161223?ZOHO_CRITERIA=%22Localiza%20Chile%22.%22Codcom%22%3D6310" u="1"/>
        <s v="https://analytics.zoho.com/open-view/2395394000008161224?ZOHO_CRITERIA=%22Localiza%20Chile%22.%22Codcom%22%3D6310" u="1"/>
        <s v="https://analytics.zoho.com/open-view/2395394000008161225?ZOHO_CRITERIA=%22Localiza%20Chile%22.%22Codcom%22%3D6310" u="1"/>
        <s v="https://analytics.zoho.com/open-view/2395394000008161226?ZOHO_CRITERIA=%22Localiza%20Chile%22.%22Codcom%22%3D6310" u="1"/>
        <s v="https://analytics.zoho.com/open-view/2395394000008161227?ZOHO_CRITERIA=%22Localiza%20Chile%22.%22Codcom%22%3D6310" u="1"/>
        <s v="https://analytics.zoho.com/open-view/2395394000008161228?ZOHO_CRITERIA=%22Localiza%20Chile%22.%22Codcom%22%3D6310" u="1"/>
        <s v="https://analytics.zoho.com/open-view/2395394000008161229?ZOHO_CRITERIA=%22Localiza%20Chile%22.%22Codcom%22%3D6310" u="1"/>
        <s v="https://analytics.zoho.com/open-view/2395394000008161231?ZOHO_CRITERIA=%22Localiza%20Chile%22.%22Codcom%22%3D6310" u="1"/>
        <s v="https://analytics.zoho.com/open-view/2395394000008161220?ZOHO_CRITERIA=%22Localiza%20Chile%22.%22Codcom%22%3D10207" u="1"/>
        <s v="https://analytics.zoho.com/open-view/2395394000008161221?ZOHO_CRITERIA=%22Localiza%20Chile%22.%22Codcom%22%3D10207" u="1"/>
        <s v="https://analytics.zoho.com/open-view/2395394000008161222?ZOHO_CRITERIA=%22Localiza%20Chile%22.%22Codcom%22%3D10207" u="1"/>
        <s v="https://analytics.zoho.com/open-view/2395394000008161223?ZOHO_CRITERIA=%22Localiza%20Chile%22.%22Codcom%22%3D10207" u="1"/>
        <s v="https://analytics.zoho.com/open-view/2395394000008161224?ZOHO_CRITERIA=%22Localiza%20Chile%22.%22Codcom%22%3D10207" u="1"/>
        <s v="https://analytics.zoho.com/open-view/2395394000008161225?ZOHO_CRITERIA=%22Localiza%20Chile%22.%22Codcom%22%3D10207" u="1"/>
        <s v="https://analytics.zoho.com/open-view/2395394000008161226?ZOHO_CRITERIA=%22Localiza%20Chile%22.%22Codcom%22%3D10207" u="1"/>
        <s v="https://analytics.zoho.com/open-view/2395394000008161227?ZOHO_CRITERIA=%22Localiza%20Chile%22.%22Codcom%22%3D10207" u="1"/>
        <s v="https://analytics.zoho.com/open-view/2395394000008161228?ZOHO_CRITERIA=%22Localiza%20Chile%22.%22Codcom%22%3D10207" u="1"/>
        <s v="https://analytics.zoho.com/open-view/2395394000008161229?ZOHO_CRITERIA=%22Localiza%20Chile%22.%22Codcom%22%3D10207" u="1"/>
        <s v="https://analytics.zoho.com/open-view/2395394000008161231?ZOHO_CRITERIA=%22Localiza%20Chile%22.%22Codcom%22%3D10207" u="1"/>
        <s v="https://analytics.zoho.com/open-view/2395394000008161220?ZOHO_CRITERIA=%22Localiza%20Chile%22.%22Codcom%22%3D8310" u="1"/>
        <s v="https://analytics.zoho.com/open-view/2395394000008161221?ZOHO_CRITERIA=%22Localiza%20Chile%22.%22Codcom%22%3D8310" u="1"/>
        <s v="https://analytics.zoho.com/open-view/2395394000008161222?ZOHO_CRITERIA=%22Localiza%20Chile%22.%22Codcom%22%3D8310" u="1"/>
        <s v="https://analytics.zoho.com/open-view/2395394000008161223?ZOHO_CRITERIA=%22Localiza%20Chile%22.%22Codcom%22%3D8310" u="1"/>
        <s v="https://analytics.zoho.com/open-view/2395394000008161224?ZOHO_CRITERIA=%22Localiza%20Chile%22.%22Codcom%22%3D8310" u="1"/>
        <s v="https://analytics.zoho.com/open-view/2395394000008161225?ZOHO_CRITERIA=%22Localiza%20Chile%22.%22Codcom%22%3D8310" u="1"/>
        <s v="https://analytics.zoho.com/open-view/2395394000008161226?ZOHO_CRITERIA=%22Localiza%20Chile%22.%22Codcom%22%3D8310" u="1"/>
        <s v="https://analytics.zoho.com/open-view/2395394000008161227?ZOHO_CRITERIA=%22Localiza%20Chile%22.%22Codcom%22%3D8310" u="1"/>
        <s v="https://analytics.zoho.com/open-view/2395394000008161228?ZOHO_CRITERIA=%22Localiza%20Chile%22.%22Codcom%22%3D8310" u="1"/>
        <s v="https://analytics.zoho.com/open-view/2395394000008161229?ZOHO_CRITERIA=%22Localiza%20Chile%22.%22Codcom%22%3D8310" u="1"/>
        <s v="https://analytics.zoho.com/open-view/2395394000008161231?ZOHO_CRITERIA=%22Localiza%20Chile%22.%22Codcom%22%3D8310" u="1"/>
        <s v="https://analytics.zoho.com/open-view/2395394000008161220?ZOHO_CRITERIA=%22Localiza%20Chile%22.%22Codcom%22%3D8311" u="1"/>
        <s v="https://analytics.zoho.com/open-view/2395394000008161221?ZOHO_CRITERIA=%22Localiza%20Chile%22.%22Codcom%22%3D8311" u="1"/>
        <s v="https://analytics.zoho.com/open-view/2395394000008161222?ZOHO_CRITERIA=%22Localiza%20Chile%22.%22Codcom%22%3D8311" u="1"/>
        <s v="https://analytics.zoho.com/open-view/2395394000008161223?ZOHO_CRITERIA=%22Localiza%20Chile%22.%22Codcom%22%3D8311" u="1"/>
        <s v="https://analytics.zoho.com/open-view/2395394000008161224?ZOHO_CRITERIA=%22Localiza%20Chile%22.%22Codcom%22%3D8311" u="1"/>
        <s v="https://analytics.zoho.com/open-view/2395394000008161225?ZOHO_CRITERIA=%22Localiza%20Chile%22.%22Codcom%22%3D8311" u="1"/>
        <s v="https://analytics.zoho.com/open-view/2395394000008161226?ZOHO_CRITERIA=%22Localiza%20Chile%22.%22Codcom%22%3D8311" u="1"/>
        <s v="https://analytics.zoho.com/open-view/2395394000008161227?ZOHO_CRITERIA=%22Localiza%20Chile%22.%22Codcom%22%3D8311" u="1"/>
        <s v="https://analytics.zoho.com/open-view/2395394000008161228?ZOHO_CRITERIA=%22Localiza%20Chile%22.%22Codcom%22%3D8311" u="1"/>
        <s v="https://analytics.zoho.com/open-view/2395394000008161229?ZOHO_CRITERIA=%22Localiza%20Chile%22.%22Codcom%22%3D8311" u="1"/>
        <s v="https://analytics.zoho.com/open-view/2395394000008161231?ZOHO_CRITERIA=%22Localiza%20Chile%22.%22Codcom%22%3D8311" u="1"/>
        <s v="https://analytics.zoho.com/open-view/2395394000008161220?ZOHO_CRITERIA=%22Localiza%20Chile%22.%22Codcom%22%3D8312" u="1"/>
        <s v="https://analytics.zoho.com/open-view/2395394000008161221?ZOHO_CRITERIA=%22Localiza%20Chile%22.%22Codcom%22%3D8312" u="1"/>
        <s v="https://analytics.zoho.com/open-view/2395394000008161222?ZOHO_CRITERIA=%22Localiza%20Chile%22.%22Codcom%22%3D8312" u="1"/>
        <s v="https://analytics.zoho.com/open-view/2395394000008161223?ZOHO_CRITERIA=%22Localiza%20Chile%22.%22Codcom%22%3D8312" u="1"/>
        <s v="https://analytics.zoho.com/open-view/2395394000008161224?ZOHO_CRITERIA=%22Localiza%20Chile%22.%22Codcom%22%3D8312" u="1"/>
        <s v="https://analytics.zoho.com/open-view/2395394000008161225?ZOHO_CRITERIA=%22Localiza%20Chile%22.%22Codcom%22%3D8312" u="1"/>
        <s v="https://analytics.zoho.com/open-view/2395394000008161226?ZOHO_CRITERIA=%22Localiza%20Chile%22.%22Codcom%22%3D8312" u="1"/>
        <s v="https://analytics.zoho.com/open-view/2395394000008161227?ZOHO_CRITERIA=%22Localiza%20Chile%22.%22Codcom%22%3D8312" u="1"/>
        <s v="https://analytics.zoho.com/open-view/2395394000008161228?ZOHO_CRITERIA=%22Localiza%20Chile%22.%22Codcom%22%3D8312" u="1"/>
        <s v="https://analytics.zoho.com/open-view/2395394000008161229?ZOHO_CRITERIA=%22Localiza%20Chile%22.%22Codcom%22%3D8312" u="1"/>
        <s v="https://analytics.zoho.com/open-view/2395394000008161231?ZOHO_CRITERIA=%22Localiza%20Chile%22.%22Codcom%22%3D8312" u="1"/>
        <s v="https://analytics.zoho.com/open-view/2395394000008161220?ZOHO_CRITERIA=%22Localiza%20Chile%22.%22Codcom%22%3D8313" u="1"/>
        <s v="https://analytics.zoho.com/open-view/2395394000008161221?ZOHO_CRITERIA=%22Localiza%20Chile%22.%22Codcom%22%3D8313" u="1"/>
        <s v="https://analytics.zoho.com/open-view/2395394000008161222?ZOHO_CRITERIA=%22Localiza%20Chile%22.%22Codcom%22%3D8313" u="1"/>
        <s v="https://analytics.zoho.com/open-view/2395394000008161223?ZOHO_CRITERIA=%22Localiza%20Chile%22.%22Codcom%22%3D8313" u="1"/>
        <s v="https://analytics.zoho.com/open-view/2395394000008161224?ZOHO_CRITERIA=%22Localiza%20Chile%22.%22Codcom%22%3D8313" u="1"/>
        <s v="https://analytics.zoho.com/open-view/2395394000008161225?ZOHO_CRITERIA=%22Localiza%20Chile%22.%22Codcom%22%3D8313" u="1"/>
        <s v="https://analytics.zoho.com/open-view/2395394000008161226?ZOHO_CRITERIA=%22Localiza%20Chile%22.%22Codcom%22%3D8313" u="1"/>
        <s v="https://analytics.zoho.com/open-view/2395394000008161227?ZOHO_CRITERIA=%22Localiza%20Chile%22.%22Codcom%22%3D8313" u="1"/>
        <s v="https://analytics.zoho.com/open-view/2395394000008161228?ZOHO_CRITERIA=%22Localiza%20Chile%22.%22Codcom%22%3D8313" u="1"/>
        <s v="https://analytics.zoho.com/open-view/2395394000008161229?ZOHO_CRITERIA=%22Localiza%20Chile%22.%22Codcom%22%3D8313" u="1"/>
        <s v="https://analytics.zoho.com/open-view/2395394000008161231?ZOHO_CRITERIA=%22Localiza%20Chile%22.%22Codcom%22%3D8313" u="1"/>
        <s v="https://analytics.zoho.com/open-view/2395394000008161220?ZOHO_CRITERIA=%22Localiza%20Chile%22.%22Codcom%22%3D8314" u="1"/>
        <s v="https://analytics.zoho.com/open-view/2395394000008161221?ZOHO_CRITERIA=%22Localiza%20Chile%22.%22Codcom%22%3D8314" u="1"/>
        <s v="https://analytics.zoho.com/open-view/2395394000008161222?ZOHO_CRITERIA=%22Localiza%20Chile%22.%22Codcom%22%3D8314" u="1"/>
        <s v="https://analytics.zoho.com/open-view/2395394000008161223?ZOHO_CRITERIA=%22Localiza%20Chile%22.%22Codcom%22%3D8314" u="1"/>
        <s v="https://analytics.zoho.com/open-view/2395394000008161224?ZOHO_CRITERIA=%22Localiza%20Chile%22.%22Codcom%22%3D8314" u="1"/>
        <s v="https://analytics.zoho.com/open-view/2395394000008161225?ZOHO_CRITERIA=%22Localiza%20Chile%22.%22Codcom%22%3D8314" u="1"/>
        <s v="https://analytics.zoho.com/open-view/2395394000008161226?ZOHO_CRITERIA=%22Localiza%20Chile%22.%22Codcom%22%3D8314" u="1"/>
        <s v="https://analytics.zoho.com/open-view/2395394000008161227?ZOHO_CRITERIA=%22Localiza%20Chile%22.%22Codcom%22%3D8314" u="1"/>
        <s v="https://analytics.zoho.com/open-view/2395394000008161228?ZOHO_CRITERIA=%22Localiza%20Chile%22.%22Codcom%22%3D8314" u="1"/>
        <s v="https://analytics.zoho.com/open-view/2395394000008161229?ZOHO_CRITERIA=%22Localiza%20Chile%22.%22Codcom%22%3D8314" u="1"/>
        <s v="https://analytics.zoho.com/open-view/2395394000008161231?ZOHO_CRITERIA=%22Localiza%20Chile%22.%22Codcom%22%3D8314" u="1"/>
        <s v="https://analytics.zoho.com/open-view/2395394000008161220?ZOHO_CRITERIA=%22Localiza%20Chile%22.%22Codcom%22%3D10208" u="1"/>
        <s v="https://analytics.zoho.com/open-view/2395394000008161221?ZOHO_CRITERIA=%22Localiza%20Chile%22.%22Codcom%22%3D10208" u="1"/>
        <s v="https://analytics.zoho.com/open-view/2395394000008161222?ZOHO_CRITERIA=%22Localiza%20Chile%22.%22Codcom%22%3D10208" u="1"/>
        <s v="https://analytics.zoho.com/open-view/2395394000008161223?ZOHO_CRITERIA=%22Localiza%20Chile%22.%22Codcom%22%3D10208" u="1"/>
        <s v="https://analytics.zoho.com/open-view/2395394000008161224?ZOHO_CRITERIA=%22Localiza%20Chile%22.%22Codcom%22%3D10208" u="1"/>
        <s v="https://analytics.zoho.com/open-view/2395394000008161225?ZOHO_CRITERIA=%22Localiza%20Chile%22.%22Codcom%22%3D10208" u="1"/>
        <s v="https://analytics.zoho.com/open-view/2395394000008161226?ZOHO_CRITERIA=%22Localiza%20Chile%22.%22Codcom%22%3D10208" u="1"/>
        <s v="https://analytics.zoho.com/open-view/2395394000008161227?ZOHO_CRITERIA=%22Localiza%20Chile%22.%22Codcom%22%3D10208" u="1"/>
        <s v="https://analytics.zoho.com/open-view/2395394000008161228?ZOHO_CRITERIA=%22Localiza%20Chile%22.%22Codcom%22%3D10208" u="1"/>
        <s v="https://analytics.zoho.com/open-view/2395394000008161229?ZOHO_CRITERIA=%22Localiza%20Chile%22.%22Codcom%22%3D10208" u="1"/>
        <s v="https://analytics.zoho.com/open-view/2395394000008161231?ZOHO_CRITERIA=%22Localiza%20Chile%22.%22Codcom%22%3D10208" u="1"/>
        <s v="https://analytics.zoho.com/open-view/2395394000008161220?ZOHO_CRITERIA=%22Localiza%20Chile%22.%22Codcom%22%3D10301" u="1"/>
        <s v="https://analytics.zoho.com/open-view/2395394000008161221?ZOHO_CRITERIA=%22Localiza%20Chile%22.%22Codcom%22%3D10301" u="1"/>
        <s v="https://analytics.zoho.com/open-view/2395394000008161222?ZOHO_CRITERIA=%22Localiza%20Chile%22.%22Codcom%22%3D10301" u="1"/>
        <s v="https://analytics.zoho.com/open-view/2395394000008161223?ZOHO_CRITERIA=%22Localiza%20Chile%22.%22Codcom%22%3D10301" u="1"/>
        <s v="https://analytics.zoho.com/open-view/2395394000008161224?ZOHO_CRITERIA=%22Localiza%20Chile%22.%22Codcom%22%3D10301" u="1"/>
        <s v="https://analytics.zoho.com/open-view/2395394000008161225?ZOHO_CRITERIA=%22Localiza%20Chile%22.%22Codcom%22%3D10301" u="1"/>
        <s v="https://analytics.zoho.com/open-view/2395394000008161226?ZOHO_CRITERIA=%22Localiza%20Chile%22.%22Codcom%22%3D10301" u="1"/>
        <s v="https://analytics.zoho.com/open-view/2395394000008161227?ZOHO_CRITERIA=%22Localiza%20Chile%22.%22Codcom%22%3D10301" u="1"/>
        <s v="https://analytics.zoho.com/open-view/2395394000008161228?ZOHO_CRITERIA=%22Localiza%20Chile%22.%22Codcom%22%3D10301" u="1"/>
        <s v="https://analytics.zoho.com/open-view/2395394000008161229?ZOHO_CRITERIA=%22Localiza%20Chile%22.%22Codcom%22%3D10301" u="1"/>
        <s v="https://analytics.zoho.com/open-view/2395394000008161231?ZOHO_CRITERIA=%22Localiza%20Chile%22.%22Codcom%22%3D10301" u="1"/>
        <s v="https://analytics.zoho.com/open-view/2395394000008161220?ZOHO_CRITERIA=%22Localiza%20Chile%22.%22Codcom%22%3D10209" u="1"/>
        <s v="https://analytics.zoho.com/open-view/2395394000008161221?ZOHO_CRITERIA=%22Localiza%20Chile%22.%22Codcom%22%3D10209" u="1"/>
        <s v="https://analytics.zoho.com/open-view/2395394000008161222?ZOHO_CRITERIA=%22Localiza%20Chile%22.%22Codcom%22%3D10209" u="1"/>
        <s v="https://analytics.zoho.com/open-view/2395394000008161223?ZOHO_CRITERIA=%22Localiza%20Chile%22.%22Codcom%22%3D10209" u="1"/>
        <s v="https://analytics.zoho.com/open-view/2395394000008161224?ZOHO_CRITERIA=%22Localiza%20Chile%22.%22Codcom%22%3D10209" u="1"/>
        <s v="https://analytics.zoho.com/open-view/2395394000008161225?ZOHO_CRITERIA=%22Localiza%20Chile%22.%22Codcom%22%3D10209" u="1"/>
        <s v="https://analytics.zoho.com/open-view/2395394000008161226?ZOHO_CRITERIA=%22Localiza%20Chile%22.%22Codcom%22%3D10209" u="1"/>
        <s v="https://analytics.zoho.com/open-view/2395394000008161227?ZOHO_CRITERIA=%22Localiza%20Chile%22.%22Codcom%22%3D10209" u="1"/>
        <s v="https://analytics.zoho.com/open-view/2395394000008161228?ZOHO_CRITERIA=%22Localiza%20Chile%22.%22Codcom%22%3D10209" u="1"/>
        <s v="https://analytics.zoho.com/open-view/2395394000008161229?ZOHO_CRITERIA=%22Localiza%20Chile%22.%22Codcom%22%3D10209" u="1"/>
        <s v="https://analytics.zoho.com/open-view/2395394000008161231?ZOHO_CRITERIA=%22Localiza%20Chile%22.%22Codcom%22%3D10209" u="1"/>
        <s v="https://analytics.zoho.com/open-view/2395394000008161200?ZOHO_CRITERIA=%22Localiza%20Chile%22.%22Codreg%22%3D11" u="1"/>
        <s v="https://analytics.zoho.com/open-view/2395394000008161201?ZOHO_CRITERIA=%22Localiza%20Chile%22.%22Codreg%22%3D11" u="1"/>
        <s v="https://analytics.zoho.com/open-view/2395394000008161202?ZOHO_CRITERIA=%22Localiza%20Chile%22.%22Codreg%22%3D11" u="1"/>
        <s v="https://analytics.zoho.com/open-view/2395394000008161203?ZOHO_CRITERIA=%22Localiza%20Chile%22.%22Codreg%22%3D11" u="1"/>
        <s v="https://analytics.zoho.com/open-view/2395394000008161204?ZOHO_CRITERIA=%22Localiza%20Chile%22.%22Codreg%22%3D11" u="1"/>
        <s v="https://analytics.zoho.com/open-view/2395394000008161205?ZOHO_CRITERIA=%22Localiza%20Chile%22.%22Codreg%22%3D11" u="1"/>
        <s v="https://analytics.zoho.com/open-view/2395394000008161206?ZOHO_CRITERIA=%22Localiza%20Chile%22.%22Codreg%22%3D11" u="1"/>
        <s v="https://analytics.zoho.com/open-view/2395394000008161207?ZOHO_CRITERIA=%22Localiza%20Chile%22.%22Codreg%22%3D11" u="1"/>
        <s v="https://analytics.zoho.com/open-view/2395394000008161208?ZOHO_CRITERIA=%22Localiza%20Chile%22.%22Codreg%22%3D11" u="1"/>
        <s v="https://analytics.zoho.com/open-view/2395394000008161209?ZOHO_CRITERIA=%22Localiza%20Chile%22.%22Codreg%22%3D11" u="1"/>
        <s v="https://analytics.zoho.com/open-view/2395394000008161214?ZOHO_CRITERIA=%22Localiza%20Chile%22.%22Codreg%22%3D11" u="1"/>
        <s v="https://analytics.zoho.com/open-view/2395394000008161220?ZOHO_CRITERIA=%22Localiza%20Chile%22.%22Codcom%22%3D13501" u="1"/>
        <s v="https://analytics.zoho.com/open-view/2395394000008161221?ZOHO_CRITERIA=%22Localiza%20Chile%22.%22Codcom%22%3D13501" u="1"/>
        <s v="https://analytics.zoho.com/open-view/2395394000008161222?ZOHO_CRITERIA=%22Localiza%20Chile%22.%22Codcom%22%3D13501" u="1"/>
        <s v="https://analytics.zoho.com/open-view/2395394000008161223?ZOHO_CRITERIA=%22Localiza%20Chile%22.%22Codcom%22%3D13501" u="1"/>
        <s v="https://analytics.zoho.com/open-view/2395394000008161224?ZOHO_CRITERIA=%22Localiza%20Chile%22.%22Codcom%22%3D13501" u="1"/>
        <s v="https://analytics.zoho.com/open-view/2395394000008161225?ZOHO_CRITERIA=%22Localiza%20Chile%22.%22Codcom%22%3D13501" u="1"/>
        <s v="https://analytics.zoho.com/open-view/2395394000008161226?ZOHO_CRITERIA=%22Localiza%20Chile%22.%22Codcom%22%3D13501" u="1"/>
        <s v="https://analytics.zoho.com/open-view/2395394000008161227?ZOHO_CRITERIA=%22Localiza%20Chile%22.%22Codcom%22%3D13501" u="1"/>
        <s v="https://analytics.zoho.com/open-view/2395394000008161228?ZOHO_CRITERIA=%22Localiza%20Chile%22.%22Codcom%22%3D13501" u="1"/>
        <s v="https://analytics.zoho.com/open-view/2395394000008161229?ZOHO_CRITERIA=%22Localiza%20Chile%22.%22Codcom%22%3D13501" u="1"/>
        <s v="https://analytics.zoho.com/open-view/2395394000008161231?ZOHO_CRITERIA=%22Localiza%20Chile%22.%22Codcom%22%3D13501" u="1"/>
        <s v="https://analytics.zoho.com/open-view/2395394000008161220?ZOHO_CRITERIA=%22Localiza%20Chile%22.%22Codcom%22%3D11101" u="1"/>
        <s v="https://analytics.zoho.com/open-view/2395394000008161221?ZOHO_CRITERIA=%22Localiza%20Chile%22.%22Codcom%22%3D11101" u="1"/>
        <s v="https://analytics.zoho.com/open-view/2395394000008161222?ZOHO_CRITERIA=%22Localiza%20Chile%22.%22Codcom%22%3D11101" u="1"/>
        <s v="https://analytics.zoho.com/open-view/2395394000008161223?ZOHO_CRITERIA=%22Localiza%20Chile%22.%22Codcom%22%3D11101" u="1"/>
        <s v="https://analytics.zoho.com/open-view/2395394000008161224?ZOHO_CRITERIA=%22Localiza%20Chile%22.%22Codcom%22%3D11101" u="1"/>
        <s v="https://analytics.zoho.com/open-view/2395394000008161225?ZOHO_CRITERIA=%22Localiza%20Chile%22.%22Codcom%22%3D11101" u="1"/>
        <s v="https://analytics.zoho.com/open-view/2395394000008161226?ZOHO_CRITERIA=%22Localiza%20Chile%22.%22Codcom%22%3D11101" u="1"/>
        <s v="https://analytics.zoho.com/open-view/2395394000008161227?ZOHO_CRITERIA=%22Localiza%20Chile%22.%22Codcom%22%3D11101" u="1"/>
        <s v="https://analytics.zoho.com/open-view/2395394000008161228?ZOHO_CRITERIA=%22Localiza%20Chile%22.%22Codcom%22%3D11101" u="1"/>
        <s v="https://analytics.zoho.com/open-view/2395394000008161229?ZOHO_CRITERIA=%22Localiza%20Chile%22.%22Codcom%22%3D11101" u="1"/>
        <s v="https://analytics.zoho.com/open-view/2395394000008161231?ZOHO_CRITERIA=%22Localiza%20Chile%22.%22Codcom%22%3D11101" u="1"/>
        <s v="https://analytics.zoho.com/open-view/2395394000008161220?ZOHO_CRITERIA=%22Localiza%20Chile%22.%22Codcom%22%3D10302" u="1"/>
        <s v="https://analytics.zoho.com/open-view/2395394000008161221?ZOHO_CRITERIA=%22Localiza%20Chile%22.%22Codcom%22%3D10302" u="1"/>
        <s v="https://analytics.zoho.com/open-view/2395394000008161222?ZOHO_CRITERIA=%22Localiza%20Chile%22.%22Codcom%22%3D10302" u="1"/>
        <s v="https://analytics.zoho.com/open-view/2395394000008161223?ZOHO_CRITERIA=%22Localiza%20Chile%22.%22Codcom%22%3D10302" u="1"/>
        <s v="https://analytics.zoho.com/open-view/2395394000008161224?ZOHO_CRITERIA=%22Localiza%20Chile%22.%22Codcom%22%3D10302" u="1"/>
        <s v="https://analytics.zoho.com/open-view/2395394000008161225?ZOHO_CRITERIA=%22Localiza%20Chile%22.%22Codcom%22%3D10302" u="1"/>
        <s v="https://analytics.zoho.com/open-view/2395394000008161226?ZOHO_CRITERIA=%22Localiza%20Chile%22.%22Codcom%22%3D10302" u="1"/>
        <s v="https://analytics.zoho.com/open-view/2395394000008161227?ZOHO_CRITERIA=%22Localiza%20Chile%22.%22Codcom%22%3D10302" u="1"/>
        <s v="https://analytics.zoho.com/open-view/2395394000008161228?ZOHO_CRITERIA=%22Localiza%20Chile%22.%22Codcom%22%3D10302" u="1"/>
        <s v="https://analytics.zoho.com/open-view/2395394000008161229?ZOHO_CRITERIA=%22Localiza%20Chile%22.%22Codcom%22%3D10302" u="1"/>
        <s v="https://analytics.zoho.com/open-view/2395394000008161231?ZOHO_CRITERIA=%22Localiza%20Chile%22.%22Codcom%22%3D10302" u="1"/>
        <s v="https://analytics.zoho.com/open-view/2395394000008161186" u="1"/>
        <s v="https://analytics.zoho.com/open-view/2395394000008161187" u="1"/>
        <s v="https://analytics.zoho.com/open-view/2395394000008161189" u="1"/>
        <s v="https://analytics.zoho.com/open-view/2395394000008161200?ZOHO_CRITERIA=%22Localiza%20Chile%22.%22Codreg%22%3D15" u="1"/>
        <s v="https://analytics.zoho.com/open-view/2395394000008161201?ZOHO_CRITERIA=%22Localiza%20Chile%22.%22Codreg%22%3D15" u="1"/>
        <s v="https://analytics.zoho.com/open-view/2395394000008161202?ZOHO_CRITERIA=%22Localiza%20Chile%22.%22Codreg%22%3D15" u="1"/>
        <s v="https://analytics.zoho.com/open-view/2395394000008161203?ZOHO_CRITERIA=%22Localiza%20Chile%22.%22Codreg%22%3D15" u="1"/>
        <s v="https://analytics.zoho.com/open-view/2395394000008161204?ZOHO_CRITERIA=%22Localiza%20Chile%22.%22Codreg%22%3D15" u="1"/>
        <s v="https://analytics.zoho.com/open-view/2395394000008161205?ZOHO_CRITERIA=%22Localiza%20Chile%22.%22Codreg%22%3D15" u="1"/>
        <s v="https://analytics.zoho.com/open-view/2395394000008161206?ZOHO_CRITERIA=%22Localiza%20Chile%22.%22Codreg%22%3D15" u="1"/>
        <s v="https://analytics.zoho.com/open-view/2395394000008161207?ZOHO_CRITERIA=%22Localiza%20Chile%22.%22Codreg%22%3D15" u="1"/>
        <s v="https://analytics.zoho.com/open-view/2395394000008161208?ZOHO_CRITERIA=%22Localiza%20Chile%22.%22Codreg%22%3D15" u="1"/>
        <s v="https://analytics.zoho.com/open-view/2395394000008161209?ZOHO_CRITERIA=%22Localiza%20Chile%22.%22Codreg%22%3D15" u="1"/>
        <s v="https://analytics.zoho.com/open-view/2395394000008161214?ZOHO_CRITERIA=%22Localiza%20Chile%22.%22Codreg%22%3D15" u="1"/>
        <s v="https://analytics.zoho.com/open-view/2395394000008161220?ZOHO_CRITERIA=%22Localiza%20Chile%22.%22Codcom%22%3D13502" u="1"/>
        <s v="https://analytics.zoho.com/open-view/2395394000008161220?ZOHO_CRITERIA=%22Localiza%20Chile%22.%22Codcom%22%3D15101" u="1"/>
        <s v="https://analytics.zoho.com/open-view/2395394000008161221?ZOHO_CRITERIA=%22Localiza%20Chile%22.%22Codcom%22%3D13502" u="1"/>
        <s v="https://analytics.zoho.com/open-view/2395394000008161221?ZOHO_CRITERIA=%22Localiza%20Chile%22.%22Codcom%22%3D15101" u="1"/>
        <s v="https://analytics.zoho.com/open-view/2395394000008161222?ZOHO_CRITERIA=%22Localiza%20Chile%22.%22Codcom%22%3D13502" u="1"/>
        <s v="https://analytics.zoho.com/open-view/2395394000008161222?ZOHO_CRITERIA=%22Localiza%20Chile%22.%22Codcom%22%3D15101" u="1"/>
        <s v="https://analytics.zoho.com/open-view/2395394000008161223?ZOHO_CRITERIA=%22Localiza%20Chile%22.%22Codcom%22%3D13502" u="1"/>
        <s v="https://analytics.zoho.com/open-view/2395394000008161223?ZOHO_CRITERIA=%22Localiza%20Chile%22.%22Codcom%22%3D15101" u="1"/>
        <s v="https://analytics.zoho.com/open-view/2395394000008161224?ZOHO_CRITERIA=%22Localiza%20Chile%22.%22Codcom%22%3D13502" u="1"/>
        <s v="https://analytics.zoho.com/open-view/2395394000008161224?ZOHO_CRITERIA=%22Localiza%20Chile%22.%22Codcom%22%3D15101" u="1"/>
        <s v="https://analytics.zoho.com/open-view/2395394000008161225?ZOHO_CRITERIA=%22Localiza%20Chile%22.%22Codcom%22%3D13502" u="1"/>
        <s v="https://analytics.zoho.com/open-view/2395394000008161225?ZOHO_CRITERIA=%22Localiza%20Chile%22.%22Codcom%22%3D15101" u="1"/>
        <s v="https://analytics.zoho.com/open-view/2395394000008161226?ZOHO_CRITERIA=%22Localiza%20Chile%22.%22Codcom%22%3D13502" u="1"/>
        <s v="https://analytics.zoho.com/open-view/2395394000008161226?ZOHO_CRITERIA=%22Localiza%20Chile%22.%22Codcom%22%3D15101" u="1"/>
        <s v="https://analytics.zoho.com/open-view/2395394000008161227?ZOHO_CRITERIA=%22Localiza%20Chile%22.%22Codcom%22%3D13502" u="1"/>
        <s v="https://analytics.zoho.com/open-view/2395394000008161227?ZOHO_CRITERIA=%22Localiza%20Chile%22.%22Codcom%22%3D15101" u="1"/>
        <s v="https://analytics.zoho.com/open-view/2395394000008161228?ZOHO_CRITERIA=%22Localiza%20Chile%22.%22Codcom%22%3D13502" u="1"/>
        <s v="https://analytics.zoho.com/open-view/2395394000008161228?ZOHO_CRITERIA=%22Localiza%20Chile%22.%22Codcom%22%3D15101" u="1"/>
        <s v="https://analytics.zoho.com/open-view/2395394000008161229?ZOHO_CRITERIA=%22Localiza%20Chile%22.%22Codcom%22%3D13502" u="1"/>
        <s v="https://analytics.zoho.com/open-view/2395394000008161229?ZOHO_CRITERIA=%22Localiza%20Chile%22.%22Codcom%22%3D15101" u="1"/>
        <s v="https://analytics.zoho.com/open-view/2395394000008161231?ZOHO_CRITERIA=%22Localiza%20Chile%22.%22Codcom%22%3D13502" u="1"/>
        <s v="https://analytics.zoho.com/open-view/2395394000008161231?ZOHO_CRITERIA=%22Localiza%20Chile%22.%22Codcom%22%3D15101" u="1"/>
        <s v="https://analytics.zoho.com/open-view/2395394000008161220?ZOHO_CRITERIA=%22Localiza%20Chile%22.%22Codcom%22%3D11102" u="1"/>
        <s v="https://analytics.zoho.com/open-view/2395394000008161221?ZOHO_CRITERIA=%22Localiza%20Chile%22.%22Codcom%22%3D11102" u="1"/>
        <s v="https://analytics.zoho.com/open-view/2395394000008161222?ZOHO_CRITERIA=%22Localiza%20Chile%22.%22Codcom%22%3D11102" u="1"/>
        <s v="https://analytics.zoho.com/open-view/2395394000008161223?ZOHO_CRITERIA=%22Localiza%20Chile%22.%22Codcom%22%3D11102" u="1"/>
        <s v="https://analytics.zoho.com/open-view/2395394000008161224?ZOHO_CRITERIA=%22Localiza%20Chile%22.%22Codcom%22%3D11102" u="1"/>
        <s v="https://analytics.zoho.com/open-view/2395394000008161225?ZOHO_CRITERIA=%22Localiza%20Chile%22.%22Codcom%22%3D11102" u="1"/>
        <s v="https://analytics.zoho.com/open-view/2395394000008161226?ZOHO_CRITERIA=%22Localiza%20Chile%22.%22Codcom%22%3D11102" u="1"/>
        <s v="https://analytics.zoho.com/open-view/2395394000008161227?ZOHO_CRITERIA=%22Localiza%20Chile%22.%22Codcom%22%3D11102" u="1"/>
        <s v="https://analytics.zoho.com/open-view/2395394000008161228?ZOHO_CRITERIA=%22Localiza%20Chile%22.%22Codcom%22%3D11102" u="1"/>
        <s v="https://analytics.zoho.com/open-view/2395394000008161229?ZOHO_CRITERIA=%22Localiza%20Chile%22.%22Codcom%22%3D11102" u="1"/>
        <s v="https://analytics.zoho.com/open-view/2395394000008161231?ZOHO_CRITERIA=%22Localiza%20Chile%22.%22Codcom%22%3D11102" u="1"/>
        <s v="https://analytics.zoho.com/open-view/2395394000008161220?ZOHO_CRITERIA=%22Localiza%20Chile%22.%22Codcom%22%3D10303" u="1"/>
        <s v="https://analytics.zoho.com/open-view/2395394000008161221?ZOHO_CRITERIA=%22Localiza%20Chile%22.%22Codcom%22%3D10303" u="1"/>
        <s v="https://analytics.zoho.com/open-view/2395394000008161222?ZOHO_CRITERIA=%22Localiza%20Chile%22.%22Codcom%22%3D10303" u="1"/>
        <s v="https://analytics.zoho.com/open-view/2395394000008161223?ZOHO_CRITERIA=%22Localiza%20Chile%22.%22Codcom%22%3D10303" u="1"/>
        <s v="https://analytics.zoho.com/open-view/2395394000008161224?ZOHO_CRITERIA=%22Localiza%20Chile%22.%22Codcom%22%3D10303" u="1"/>
        <s v="https://analytics.zoho.com/open-view/2395394000008161225?ZOHO_CRITERIA=%22Localiza%20Chile%22.%22Codcom%22%3D10303" u="1"/>
        <s v="https://analytics.zoho.com/open-view/2395394000008161226?ZOHO_CRITERIA=%22Localiza%20Chile%22.%22Codcom%22%3D10303" u="1"/>
        <s v="https://analytics.zoho.com/open-view/2395394000008161227?ZOHO_CRITERIA=%22Localiza%20Chile%22.%22Codcom%22%3D10303" u="1"/>
        <s v="https://analytics.zoho.com/open-view/2395394000008161228?ZOHO_CRITERIA=%22Localiza%20Chile%22.%22Codcom%22%3D10303" u="1"/>
        <s v="https://analytics.zoho.com/open-view/2395394000008161229?ZOHO_CRITERIA=%22Localiza%20Chile%22.%22Codcom%22%3D10303" u="1"/>
        <s v="https://analytics.zoho.com/open-view/2395394000008161231?ZOHO_CRITERIA=%22Localiza%20Chile%22.%22Codcom%22%3D10303" u="1"/>
        <s v="https://analytics.zoho.com/open-view/2395394000008161220?ZOHO_CRITERIA=%22Localiza%20Chile%22.%22Codcom%22%3D13503" u="1"/>
        <s v="https://analytics.zoho.com/open-view/2395394000008161220?ZOHO_CRITERIA=%22Localiza%20Chile%22.%22Codcom%22%3D15102" u="1"/>
        <s v="https://analytics.zoho.com/open-view/2395394000008161221?ZOHO_CRITERIA=%22Localiza%20Chile%22.%22Codcom%22%3D13503" u="1"/>
        <s v="https://analytics.zoho.com/open-view/2395394000008161221?ZOHO_CRITERIA=%22Localiza%20Chile%22.%22Codcom%22%3D15102" u="1"/>
        <s v="https://analytics.zoho.com/open-view/2395394000008161222?ZOHO_CRITERIA=%22Localiza%20Chile%22.%22Codcom%22%3D13503" u="1"/>
        <s v="https://analytics.zoho.com/open-view/2395394000008161222?ZOHO_CRITERIA=%22Localiza%20Chile%22.%22Codcom%22%3D15102" u="1"/>
        <s v="https://analytics.zoho.com/open-view/2395394000008161223?ZOHO_CRITERIA=%22Localiza%20Chile%22.%22Codcom%22%3D13503" u="1"/>
        <s v="https://analytics.zoho.com/open-view/2395394000008161223?ZOHO_CRITERIA=%22Localiza%20Chile%22.%22Codcom%22%3D15102" u="1"/>
        <s v="https://analytics.zoho.com/open-view/2395394000008161224?ZOHO_CRITERIA=%22Localiza%20Chile%22.%22Codcom%22%3D13503" u="1"/>
        <s v="https://analytics.zoho.com/open-view/2395394000008161224?ZOHO_CRITERIA=%22Localiza%20Chile%22.%22Codcom%22%3D15102" u="1"/>
        <s v="https://analytics.zoho.com/open-view/2395394000008161225?ZOHO_CRITERIA=%22Localiza%20Chile%22.%22Codcom%22%3D13503" u="1"/>
        <s v="https://analytics.zoho.com/open-view/2395394000008161225?ZOHO_CRITERIA=%22Localiza%20Chile%22.%22Codcom%22%3D15102" u="1"/>
        <s v="https://analytics.zoho.com/open-view/2395394000008161226?ZOHO_CRITERIA=%22Localiza%20Chile%22.%22Codcom%22%3D13503" u="1"/>
        <s v="https://analytics.zoho.com/open-view/2395394000008161226?ZOHO_CRITERIA=%22Localiza%20Chile%22.%22Codcom%22%3D15102" u="1"/>
        <s v="https://analytics.zoho.com/open-view/2395394000008161227?ZOHO_CRITERIA=%22Localiza%20Chile%22.%22Codcom%22%3D13503" u="1"/>
        <s v="https://analytics.zoho.com/open-view/2395394000008161227?ZOHO_CRITERIA=%22Localiza%20Chile%22.%22Codcom%22%3D15102" u="1"/>
        <s v="https://analytics.zoho.com/open-view/2395394000008161228?ZOHO_CRITERIA=%22Localiza%20Chile%22.%22Codcom%22%3D13503" u="1"/>
        <s v="https://analytics.zoho.com/open-view/2395394000008161228?ZOHO_CRITERIA=%22Localiza%20Chile%22.%22Codcom%22%3D15102" u="1"/>
        <s v="https://analytics.zoho.com/open-view/2395394000008161229?ZOHO_CRITERIA=%22Localiza%20Chile%22.%22Codcom%22%3D13503" u="1"/>
        <s v="https://analytics.zoho.com/open-view/2395394000008161229?ZOHO_CRITERIA=%22Localiza%20Chile%22.%22Codcom%22%3D15102" u="1"/>
        <s v="https://analytics.zoho.com/open-view/2395394000008161231?ZOHO_CRITERIA=%22Localiza%20Chile%22.%22Codcom%22%3D13503" u="1"/>
        <s v="https://analytics.zoho.com/open-view/2395394000008161231?ZOHO_CRITERIA=%22Localiza%20Chile%22.%22Codcom%22%3D15102" u="1"/>
        <s v="https://analytics.zoho.com/open-view/2395394000008161220?ZOHO_CRITERIA=%22Localiza%20Chile%22.%22Codcom%22%3D10304" u="1"/>
        <s v="https://analytics.zoho.com/open-view/2395394000008161221?ZOHO_CRITERIA=%22Localiza%20Chile%22.%22Codcom%22%3D10304" u="1"/>
        <s v="https://analytics.zoho.com/open-view/2395394000008161222?ZOHO_CRITERIA=%22Localiza%20Chile%22.%22Codcom%22%3D10304" u="1"/>
        <s v="https://analytics.zoho.com/open-view/2395394000008161223?ZOHO_CRITERIA=%22Localiza%20Chile%22.%22Codcom%22%3D10304" u="1"/>
        <s v="https://analytics.zoho.com/open-view/2395394000008161224?ZOHO_CRITERIA=%22Localiza%20Chile%22.%22Codcom%22%3D10304" u="1"/>
        <s v="https://analytics.zoho.com/open-view/2395394000008161225?ZOHO_CRITERIA=%22Localiza%20Chile%22.%22Codcom%22%3D10304" u="1"/>
        <s v="https://analytics.zoho.com/open-view/2395394000008161226?ZOHO_CRITERIA=%22Localiza%20Chile%22.%22Codcom%22%3D10304" u="1"/>
        <s v="https://analytics.zoho.com/open-view/2395394000008161227?ZOHO_CRITERIA=%22Localiza%20Chile%22.%22Codcom%22%3D10304" u="1"/>
        <s v="https://analytics.zoho.com/open-view/2395394000008161228?ZOHO_CRITERIA=%22Localiza%20Chile%22.%22Codcom%22%3D10304" u="1"/>
        <s v="https://analytics.zoho.com/open-view/2395394000008161229?ZOHO_CRITERIA=%22Localiza%20Chile%22.%22Codcom%22%3D10304" u="1"/>
        <s v="https://analytics.zoho.com/open-view/2395394000008161231?ZOHO_CRITERIA=%22Localiza%20Chile%22.%22Codcom%22%3D10304" u="1"/>
        <s v="https://analytics.zoho.com/open-view/2395394000008161220?ZOHO_CRITERIA=%22Localiza%20Chile%22.%22Codcom%22%3D1401" u="1"/>
        <s v="https://analytics.zoho.com/open-view/2395394000008161221?ZOHO_CRITERIA=%22Localiza%20Chile%22.%22Codcom%22%3D1401" u="1"/>
        <s v="https://analytics.zoho.com/open-view/2395394000008161222?ZOHO_CRITERIA=%22Localiza%20Chile%22.%22Codcom%22%3D1401" u="1"/>
        <s v="https://analytics.zoho.com/open-view/2395394000008161223?ZOHO_CRITERIA=%22Localiza%20Chile%22.%22Codcom%22%3D1401" u="1"/>
        <s v="https://analytics.zoho.com/open-view/2395394000008161224?ZOHO_CRITERIA=%22Localiza%20Chile%22.%22Codcom%22%3D1401" u="1"/>
        <s v="https://analytics.zoho.com/open-view/2395394000008161225?ZOHO_CRITERIA=%22Localiza%20Chile%22.%22Codcom%22%3D1401" u="1"/>
        <s v="https://analytics.zoho.com/open-view/2395394000008161226?ZOHO_CRITERIA=%22Localiza%20Chile%22.%22Codcom%22%3D1401" u="1"/>
        <s v="https://analytics.zoho.com/open-view/2395394000008161227?ZOHO_CRITERIA=%22Localiza%20Chile%22.%22Codcom%22%3D1401" u="1"/>
        <s v="https://analytics.zoho.com/open-view/2395394000008161228?ZOHO_CRITERIA=%22Localiza%20Chile%22.%22Codcom%22%3D1401" u="1"/>
        <s v="https://analytics.zoho.com/open-view/2395394000008161229?ZOHO_CRITERIA=%22Localiza%20Chile%22.%22Codcom%22%3D1401" u="1"/>
        <s v="https://analytics.zoho.com/open-view/2395394000008161231?ZOHO_CRITERIA=%22Localiza%20Chile%22.%22Codcom%22%3D1401" u="1"/>
        <s v="https://analytics.zoho.com/open-view/2395394000008161220?ZOHO_CRITERIA=%22Localiza%20Chile%22.%22Codcom%22%3D1402" u="1"/>
        <s v="https://analytics.zoho.com/open-view/2395394000008161221?ZOHO_CRITERIA=%22Localiza%20Chile%22.%22Codcom%22%3D1402" u="1"/>
        <s v="https://analytics.zoho.com/open-view/2395394000008161222?ZOHO_CRITERIA=%22Localiza%20Chile%22.%22Codcom%22%3D1402" u="1"/>
        <s v="https://analytics.zoho.com/open-view/2395394000008161223?ZOHO_CRITERIA=%22Localiza%20Chile%22.%22Codcom%22%3D1402" u="1"/>
        <s v="https://analytics.zoho.com/open-view/2395394000008161224?ZOHO_CRITERIA=%22Localiza%20Chile%22.%22Codcom%22%3D1402" u="1"/>
        <s v="https://analytics.zoho.com/open-view/2395394000008161225?ZOHO_CRITERIA=%22Localiza%20Chile%22.%22Codcom%22%3D1402" u="1"/>
        <s v="https://analytics.zoho.com/open-view/2395394000008161226?ZOHO_CRITERIA=%22Localiza%20Chile%22.%22Codcom%22%3D1402" u="1"/>
        <s v="https://analytics.zoho.com/open-view/2395394000008161227?ZOHO_CRITERIA=%22Localiza%20Chile%22.%22Codcom%22%3D1402" u="1"/>
        <s v="https://analytics.zoho.com/open-view/2395394000008161228?ZOHO_CRITERIA=%22Localiza%20Chile%22.%22Codcom%22%3D1402" u="1"/>
        <s v="https://analytics.zoho.com/open-view/2395394000008161229?ZOHO_CRITERIA=%22Localiza%20Chile%22.%22Codcom%22%3D1402" u="1"/>
        <s v="https://analytics.zoho.com/open-view/2395394000008161231?ZOHO_CRITERIA=%22Localiza%20Chile%22.%22Codcom%22%3D1402" u="1"/>
        <s v="https://analytics.zoho.com/open-view/2395394000008161220?ZOHO_CRITERIA=%22Localiza%20Chile%22.%22Codcom%22%3D1403" u="1"/>
        <s v="https://analytics.zoho.com/open-view/2395394000008161221?ZOHO_CRITERIA=%22Localiza%20Chile%22.%22Codcom%22%3D1403" u="1"/>
        <s v="https://analytics.zoho.com/open-view/2395394000008161222?ZOHO_CRITERIA=%22Localiza%20Chile%22.%22Codcom%22%3D1403" u="1"/>
        <s v="https://analytics.zoho.com/open-view/2395394000008161223?ZOHO_CRITERIA=%22Localiza%20Chile%22.%22Codcom%22%3D1403" u="1"/>
        <s v="https://analytics.zoho.com/open-view/2395394000008161224?ZOHO_CRITERIA=%22Localiza%20Chile%22.%22Codcom%22%3D1403" u="1"/>
        <s v="https://analytics.zoho.com/open-view/2395394000008161225?ZOHO_CRITERIA=%22Localiza%20Chile%22.%22Codcom%22%3D1403" u="1"/>
        <s v="https://analytics.zoho.com/open-view/2395394000008161226?ZOHO_CRITERIA=%22Localiza%20Chile%22.%22Codcom%22%3D1403" u="1"/>
        <s v="https://analytics.zoho.com/open-view/2395394000008161227?ZOHO_CRITERIA=%22Localiza%20Chile%22.%22Codcom%22%3D1403" u="1"/>
        <s v="https://analytics.zoho.com/open-view/2395394000008161228?ZOHO_CRITERIA=%22Localiza%20Chile%22.%22Codcom%22%3D1403" u="1"/>
        <s v="https://analytics.zoho.com/open-view/2395394000008161229?ZOHO_CRITERIA=%22Localiza%20Chile%22.%22Codcom%22%3D1403" u="1"/>
        <s v="https://analytics.zoho.com/open-view/2395394000008161231?ZOHO_CRITERIA=%22Localiza%20Chile%22.%22Codcom%22%3D1403" u="1"/>
        <s v="https://analytics.zoho.com/open-view/2395394000008161220?ZOHO_CRITERIA=%22Localiza%20Chile%22.%22Codcom%22%3D1404" u="1"/>
        <s v="https://analytics.zoho.com/open-view/2395394000008161221?ZOHO_CRITERIA=%22Localiza%20Chile%22.%22Codcom%22%3D1404" u="1"/>
        <s v="https://analytics.zoho.com/open-view/2395394000008161222?ZOHO_CRITERIA=%22Localiza%20Chile%22.%22Codcom%22%3D1404" u="1"/>
        <s v="https://analytics.zoho.com/open-view/2395394000008161223?ZOHO_CRITERIA=%22Localiza%20Chile%22.%22Codcom%22%3D1404" u="1"/>
        <s v="https://analytics.zoho.com/open-view/2395394000008161224?ZOHO_CRITERIA=%22Localiza%20Chile%22.%22Codcom%22%3D1404" u="1"/>
        <s v="https://analytics.zoho.com/open-view/2395394000008161225?ZOHO_CRITERIA=%22Localiza%20Chile%22.%22Codcom%22%3D1404" u="1"/>
        <s v="https://analytics.zoho.com/open-view/2395394000008161226?ZOHO_CRITERIA=%22Localiza%20Chile%22.%22Codcom%22%3D1404" u="1"/>
        <s v="https://analytics.zoho.com/open-view/2395394000008161227?ZOHO_CRITERIA=%22Localiza%20Chile%22.%22Codcom%22%3D1404" u="1"/>
        <s v="https://analytics.zoho.com/open-view/2395394000008161228?ZOHO_CRITERIA=%22Localiza%20Chile%22.%22Codcom%22%3D1404" u="1"/>
        <s v="https://analytics.zoho.com/open-view/2395394000008161229?ZOHO_CRITERIA=%22Localiza%20Chile%22.%22Codcom%22%3D1404" u="1"/>
        <s v="https://analytics.zoho.com/open-view/2395394000008161231?ZOHO_CRITERIA=%22Localiza%20Chile%22.%22Codcom%22%3D1404" u="1"/>
        <s v="https://analytics.zoho.com/open-view/2395394000008161220?ZOHO_CRITERIA=%22Localiza%20Chile%22.%22Codcom%22%3D1405" u="1"/>
        <s v="https://analytics.zoho.com/open-view/2395394000008161221?ZOHO_CRITERIA=%22Localiza%20Chile%22.%22Codcom%22%3D1405" u="1"/>
        <s v="https://analytics.zoho.com/open-view/2395394000008161222?ZOHO_CRITERIA=%22Localiza%20Chile%22.%22Codcom%22%3D1405" u="1"/>
        <s v="https://analytics.zoho.com/open-view/2395394000008161223?ZOHO_CRITERIA=%22Localiza%20Chile%22.%22Codcom%22%3D1405" u="1"/>
        <s v="https://analytics.zoho.com/open-view/2395394000008161224?ZOHO_CRITERIA=%22Localiza%20Chile%22.%22Codcom%22%3D1405" u="1"/>
        <s v="https://analytics.zoho.com/open-view/2395394000008161225?ZOHO_CRITERIA=%22Localiza%20Chile%22.%22Codcom%22%3D1405" u="1"/>
        <s v="https://analytics.zoho.com/open-view/2395394000008161226?ZOHO_CRITERIA=%22Localiza%20Chile%22.%22Codcom%22%3D1405" u="1"/>
        <s v="https://analytics.zoho.com/open-view/2395394000008161227?ZOHO_CRITERIA=%22Localiza%20Chile%22.%22Codcom%22%3D1405" u="1"/>
        <s v="https://analytics.zoho.com/open-view/2395394000008161228?ZOHO_CRITERIA=%22Localiza%20Chile%22.%22Codcom%22%3D1405" u="1"/>
        <s v="https://analytics.zoho.com/open-view/2395394000008161229?ZOHO_CRITERIA=%22Localiza%20Chile%22.%22Codcom%22%3D1405" u="1"/>
        <s v="https://analytics.zoho.com/open-view/2395394000008161231?ZOHO_CRITERIA=%22Localiza%20Chile%22.%22Codcom%22%3D1405" u="1"/>
        <s v="https://analytics.zoho.com/open-view/2395394000008161220?ZOHO_CRITERIA=%22Localiza%20Chile%22.%22Codcom%22%3D13504" u="1"/>
        <s v="https://analytics.zoho.com/open-view/2395394000008161221?ZOHO_CRITERIA=%22Localiza%20Chile%22.%22Codcom%22%3D13504" u="1"/>
        <s v="https://analytics.zoho.com/open-view/2395394000008161222?ZOHO_CRITERIA=%22Localiza%20Chile%22.%22Codcom%22%3D13504" u="1"/>
        <s v="https://analytics.zoho.com/open-view/2395394000008161223?ZOHO_CRITERIA=%22Localiza%20Chile%22.%22Codcom%22%3D13504" u="1"/>
        <s v="https://analytics.zoho.com/open-view/2395394000008161224?ZOHO_CRITERIA=%22Localiza%20Chile%22.%22Codcom%22%3D13504" u="1"/>
        <s v="https://analytics.zoho.com/open-view/2395394000008161225?ZOHO_CRITERIA=%22Localiza%20Chile%22.%22Codcom%22%3D13504" u="1"/>
        <s v="https://analytics.zoho.com/open-view/2395394000008161226?ZOHO_CRITERIA=%22Localiza%20Chile%22.%22Codcom%22%3D13504" u="1"/>
        <s v="https://analytics.zoho.com/open-view/2395394000008161227?ZOHO_CRITERIA=%22Localiza%20Chile%22.%22Codcom%22%3D13504" u="1"/>
        <s v="https://analytics.zoho.com/open-view/2395394000008161228?ZOHO_CRITERIA=%22Localiza%20Chile%22.%22Codcom%22%3D13504" u="1"/>
        <s v="https://analytics.zoho.com/open-view/2395394000008161229?ZOHO_CRITERIA=%22Localiza%20Chile%22.%22Codcom%22%3D13504" u="1"/>
        <s v="https://analytics.zoho.com/open-view/2395394000008161231?ZOHO_CRITERIA=%22Localiza%20Chile%22.%22Codcom%22%3D13504" u="1"/>
        <s v="https://analytics.zoho.com/open-view/2395394000008161220?ZOHO_CRITERIA=%22Localiza%20Chile%22.%22Codcom%22%3D10305" u="1"/>
        <s v="https://analytics.zoho.com/open-view/2395394000008161221?ZOHO_CRITERIA=%22Localiza%20Chile%22.%22Codcom%22%3D10305" u="1"/>
        <s v="https://analytics.zoho.com/open-view/2395394000008161222?ZOHO_CRITERIA=%22Localiza%20Chile%22.%22Codcom%22%3D10305" u="1"/>
        <s v="https://analytics.zoho.com/open-view/2395394000008161223?ZOHO_CRITERIA=%22Localiza%20Chile%22.%22Codcom%22%3D10305" u="1"/>
        <s v="https://analytics.zoho.com/open-view/2395394000008161224?ZOHO_CRITERIA=%22Localiza%20Chile%22.%22Codcom%22%3D10305" u="1"/>
        <s v="https://analytics.zoho.com/open-view/2395394000008161225?ZOHO_CRITERIA=%22Localiza%20Chile%22.%22Codcom%22%3D10305" u="1"/>
        <s v="https://analytics.zoho.com/open-view/2395394000008161226?ZOHO_CRITERIA=%22Localiza%20Chile%22.%22Codcom%22%3D10305" u="1"/>
        <s v="https://analytics.zoho.com/open-view/2395394000008161227?ZOHO_CRITERIA=%22Localiza%20Chile%22.%22Codcom%22%3D10305" u="1"/>
        <s v="https://analytics.zoho.com/open-view/2395394000008161228?ZOHO_CRITERIA=%22Localiza%20Chile%22.%22Codcom%22%3D10305" u="1"/>
        <s v="https://analytics.zoho.com/open-view/2395394000008161229?ZOHO_CRITERIA=%22Localiza%20Chile%22.%22Codcom%22%3D10305" u="1"/>
        <s v="https://analytics.zoho.com/open-view/2395394000008161231?ZOHO_CRITERIA=%22Localiza%20Chile%22.%22Codcom%22%3D10305" u="1"/>
        <s v="https://analytics.zoho.com/open-view/2395394000008161220?ZOHO_CRITERIA=%22Localiza%20Chile%22.%22Codcom%22%3D13505" u="1"/>
        <s v="https://analytics.zoho.com/open-view/2395394000008161221?ZOHO_CRITERIA=%22Localiza%20Chile%22.%22Codcom%22%3D13505" u="1"/>
        <s v="https://analytics.zoho.com/open-view/2395394000008161222?ZOHO_CRITERIA=%22Localiza%20Chile%22.%22Codcom%22%3D13505" u="1"/>
        <s v="https://analytics.zoho.com/open-view/2395394000008161223?ZOHO_CRITERIA=%22Localiza%20Chile%22.%22Codcom%22%3D13505" u="1"/>
        <s v="https://analytics.zoho.com/open-view/2395394000008161224?ZOHO_CRITERIA=%22Localiza%20Chile%22.%22Codcom%22%3D13505" u="1"/>
        <s v="https://analytics.zoho.com/open-view/2395394000008161225?ZOHO_CRITERIA=%22Localiza%20Chile%22.%22Codcom%22%3D13505" u="1"/>
        <s v="https://analytics.zoho.com/open-view/2395394000008161226?ZOHO_CRITERIA=%22Localiza%20Chile%22.%22Codcom%22%3D13505" u="1"/>
        <s v="https://analytics.zoho.com/open-view/2395394000008161227?ZOHO_CRITERIA=%22Localiza%20Chile%22.%22Codcom%22%3D13505" u="1"/>
        <s v="https://analytics.zoho.com/open-view/2395394000008161228?ZOHO_CRITERIA=%22Localiza%20Chile%22.%22Codcom%22%3D13505" u="1"/>
        <s v="https://analytics.zoho.com/open-view/2395394000008161229?ZOHO_CRITERIA=%22Localiza%20Chile%22.%22Codcom%22%3D13505" u="1"/>
        <s v="https://analytics.zoho.com/open-view/2395394000008161231?ZOHO_CRITERIA=%22Localiza%20Chile%22.%22Codcom%22%3D13505" u="1"/>
        <s v="https://analytics.zoho.com/open-view/2395394000008161220?ZOHO_CRITERIA=%22Localiza%20Chile%22.%22Codcom%22%3D10306" u="1"/>
        <s v="https://analytics.zoho.com/open-view/2395394000008161221?ZOHO_CRITERIA=%22Localiza%20Chile%22.%22Codcom%22%3D10306" u="1"/>
        <s v="https://analytics.zoho.com/open-view/2395394000008161222?ZOHO_CRITERIA=%22Localiza%20Chile%22.%22Codcom%22%3D10306" u="1"/>
        <s v="https://analytics.zoho.com/open-view/2395394000008161223?ZOHO_CRITERIA=%22Localiza%20Chile%22.%22Codcom%22%3D10306" u="1"/>
        <s v="https://analytics.zoho.com/open-view/2395394000008161224?ZOHO_CRITERIA=%22Localiza%20Chile%22.%22Codcom%22%3D10306" u="1"/>
        <s v="https://analytics.zoho.com/open-view/2395394000008161225?ZOHO_CRITERIA=%22Localiza%20Chile%22.%22Codcom%22%3D10306" u="1"/>
        <s v="https://analytics.zoho.com/open-view/2395394000008161226?ZOHO_CRITERIA=%22Localiza%20Chile%22.%22Codcom%22%3D10306" u="1"/>
        <s v="https://analytics.zoho.com/open-view/2395394000008161227?ZOHO_CRITERIA=%22Localiza%20Chile%22.%22Codcom%22%3D10306" u="1"/>
        <s v="https://analytics.zoho.com/open-view/2395394000008161228?ZOHO_CRITERIA=%22Localiza%20Chile%22.%22Codcom%22%3D10306" u="1"/>
        <s v="https://analytics.zoho.com/open-view/2395394000008161229?ZOHO_CRITERIA=%22Localiza%20Chile%22.%22Codcom%22%3D10306" u="1"/>
        <s v="https://analytics.zoho.com/open-view/2395394000008161231?ZOHO_CRITERIA=%22Localiza%20Chile%22.%22Codcom%22%3D10306" u="1"/>
        <s v="https://analytics.zoho.com/open-view/2395394000008161220?ZOHO_CRITERIA=%22Localiza%20Chile%22.%22Codcom%22%3D5401" u="1"/>
        <s v="https://analytics.zoho.com/open-view/2395394000008161221?ZOHO_CRITERIA=%22Localiza%20Chile%22.%22Codcom%22%3D5401" u="1"/>
        <s v="https://analytics.zoho.com/open-view/2395394000008161222?ZOHO_CRITERIA=%22Localiza%20Chile%22.%22Codcom%22%3D5401" u="1"/>
        <s v="https://analytics.zoho.com/open-view/2395394000008161223?ZOHO_CRITERIA=%22Localiza%20Chile%22.%22Codcom%22%3D5401" u="1"/>
        <s v="https://analytics.zoho.com/open-view/2395394000008161224?ZOHO_CRITERIA=%22Localiza%20Chile%22.%22Codcom%22%3D5401" u="1"/>
        <s v="https://analytics.zoho.com/open-view/2395394000008161225?ZOHO_CRITERIA=%22Localiza%20Chile%22.%22Codcom%22%3D5401" u="1"/>
        <s v="https://analytics.zoho.com/open-view/2395394000008161226?ZOHO_CRITERIA=%22Localiza%20Chile%22.%22Codcom%22%3D5401" u="1"/>
        <s v="https://analytics.zoho.com/open-view/2395394000008161227?ZOHO_CRITERIA=%22Localiza%20Chile%22.%22Codcom%22%3D5401" u="1"/>
        <s v="https://analytics.zoho.com/open-view/2395394000008161228?ZOHO_CRITERIA=%22Localiza%20Chile%22.%22Codcom%22%3D5401" u="1"/>
        <s v="https://analytics.zoho.com/open-view/2395394000008161229?ZOHO_CRITERIA=%22Localiza%20Chile%22.%22Codcom%22%3D5401" u="1"/>
        <s v="https://analytics.zoho.com/open-view/2395394000008161231?ZOHO_CRITERIA=%22Localiza%20Chile%22.%22Codcom%22%3D5401" u="1"/>
        <s v="https://analytics.zoho.com/open-view/2395394000008161220?ZOHO_CRITERIA=%22Localiza%20Chile%22.%22Codcom%22%3D5402" u="1"/>
        <s v="https://analytics.zoho.com/open-view/2395394000008161221?ZOHO_CRITERIA=%22Localiza%20Chile%22.%22Codcom%22%3D5402" u="1"/>
        <s v="https://analytics.zoho.com/open-view/2395394000008161222?ZOHO_CRITERIA=%22Localiza%20Chile%22.%22Codcom%22%3D5402" u="1"/>
        <s v="https://analytics.zoho.com/open-view/2395394000008161223?ZOHO_CRITERIA=%22Localiza%20Chile%22.%22Codcom%22%3D5402" u="1"/>
        <s v="https://analytics.zoho.com/open-view/2395394000008161224?ZOHO_CRITERIA=%22Localiza%20Chile%22.%22Codcom%22%3D5402" u="1"/>
        <s v="https://analytics.zoho.com/open-view/2395394000008161225?ZOHO_CRITERIA=%22Localiza%20Chile%22.%22Codcom%22%3D5402" u="1"/>
        <s v="https://analytics.zoho.com/open-view/2395394000008161226?ZOHO_CRITERIA=%22Localiza%20Chile%22.%22Codcom%22%3D5402" u="1"/>
        <s v="https://analytics.zoho.com/open-view/2395394000008161227?ZOHO_CRITERIA=%22Localiza%20Chile%22.%22Codcom%22%3D5402" u="1"/>
        <s v="https://analytics.zoho.com/open-view/2395394000008161228?ZOHO_CRITERIA=%22Localiza%20Chile%22.%22Codcom%22%3D5402" u="1"/>
        <s v="https://analytics.zoho.com/open-view/2395394000008161229?ZOHO_CRITERIA=%22Localiza%20Chile%22.%22Codcom%22%3D5402" u="1"/>
        <s v="https://analytics.zoho.com/open-view/2395394000008161231?ZOHO_CRITERIA=%22Localiza%20Chile%22.%22Codcom%22%3D5402" u="1"/>
        <s v="https://analytics.zoho.com/open-view/2395394000008161220?ZOHO_CRITERIA=%22Localiza%20Chile%22.%22Codcom%22%3D5403" u="1"/>
        <s v="https://analytics.zoho.com/open-view/2395394000008161221?ZOHO_CRITERIA=%22Localiza%20Chile%22.%22Codcom%22%3D5403" u="1"/>
        <s v="https://analytics.zoho.com/open-view/2395394000008161222?ZOHO_CRITERIA=%22Localiza%20Chile%22.%22Codcom%22%3D5403" u="1"/>
        <s v="https://analytics.zoho.com/open-view/2395394000008161223?ZOHO_CRITERIA=%22Localiza%20Chile%22.%22Codcom%22%3D5403" u="1"/>
        <s v="https://analytics.zoho.com/open-view/2395394000008161224?ZOHO_CRITERIA=%22Localiza%20Chile%22.%22Codcom%22%3D5403" u="1"/>
        <s v="https://analytics.zoho.com/open-view/2395394000008161225?ZOHO_CRITERIA=%22Localiza%20Chile%22.%22Codcom%22%3D5403" u="1"/>
        <s v="https://analytics.zoho.com/open-view/2395394000008161226?ZOHO_CRITERIA=%22Localiza%20Chile%22.%22Codcom%22%3D5403" u="1"/>
        <s v="https://analytics.zoho.com/open-view/2395394000008161227?ZOHO_CRITERIA=%22Localiza%20Chile%22.%22Codcom%22%3D5403" u="1"/>
        <s v="https://analytics.zoho.com/open-view/2395394000008161228?ZOHO_CRITERIA=%22Localiza%20Chile%22.%22Codcom%22%3D5403" u="1"/>
        <s v="https://analytics.zoho.com/open-view/2395394000008161229?ZOHO_CRITERIA=%22Localiza%20Chile%22.%22Codcom%22%3D5403" u="1"/>
        <s v="https://analytics.zoho.com/open-view/2395394000008161231?ZOHO_CRITERIA=%22Localiza%20Chile%22.%22Codcom%22%3D5403" u="1"/>
        <s v="https://analytics.zoho.com/open-view/2395394000008161220?ZOHO_CRITERIA=%22Localiza%20Chile%22.%22Codcom%22%3D5404" u="1"/>
        <s v="https://analytics.zoho.com/open-view/2395394000008161221?ZOHO_CRITERIA=%22Localiza%20Chile%22.%22Codcom%22%3D5404" u="1"/>
        <s v="https://analytics.zoho.com/open-view/2395394000008161222?ZOHO_CRITERIA=%22Localiza%20Chile%22.%22Codcom%22%3D5404" u="1"/>
        <s v="https://analytics.zoho.com/open-view/2395394000008161223?ZOHO_CRITERIA=%22Localiza%20Chile%22.%22Codcom%22%3D5404" u="1"/>
        <s v="https://analytics.zoho.com/open-view/2395394000008161224?ZOHO_CRITERIA=%22Localiza%20Chile%22.%22Codcom%22%3D5404" u="1"/>
        <s v="https://analytics.zoho.com/open-view/2395394000008161225?ZOHO_CRITERIA=%22Localiza%20Chile%22.%22Codcom%22%3D5404" u="1"/>
        <s v="https://analytics.zoho.com/open-view/2395394000008161226?ZOHO_CRITERIA=%22Localiza%20Chile%22.%22Codcom%22%3D5404" u="1"/>
        <s v="https://analytics.zoho.com/open-view/2395394000008161227?ZOHO_CRITERIA=%22Localiza%20Chile%22.%22Codcom%22%3D5404" u="1"/>
        <s v="https://analytics.zoho.com/open-view/2395394000008161228?ZOHO_CRITERIA=%22Localiza%20Chile%22.%22Codcom%22%3D5404" u="1"/>
        <s v="https://analytics.zoho.com/open-view/2395394000008161229?ZOHO_CRITERIA=%22Localiza%20Chile%22.%22Codcom%22%3D5404" u="1"/>
        <s v="https://analytics.zoho.com/open-view/2395394000008161231?ZOHO_CRITERIA=%22Localiza%20Chile%22.%22Codcom%22%3D5404" u="1"/>
        <s v="https://analytics.zoho.com/open-view/2395394000008161220?ZOHO_CRITERIA=%22Localiza%20Chile%22.%22Codcom%22%3D5405" u="1"/>
        <s v="https://analytics.zoho.com/open-view/2395394000008161221?ZOHO_CRITERIA=%22Localiza%20Chile%22.%22Codcom%22%3D5405" u="1"/>
        <s v="https://analytics.zoho.com/open-view/2395394000008161222?ZOHO_CRITERIA=%22Localiza%20Chile%22.%22Codcom%22%3D5405" u="1"/>
        <s v="https://analytics.zoho.com/open-view/2395394000008161223?ZOHO_CRITERIA=%22Localiza%20Chile%22.%22Codcom%22%3D5405" u="1"/>
        <s v="https://analytics.zoho.com/open-view/2395394000008161224?ZOHO_CRITERIA=%22Localiza%20Chile%22.%22Codcom%22%3D5405" u="1"/>
        <s v="https://analytics.zoho.com/open-view/2395394000008161225?ZOHO_CRITERIA=%22Localiza%20Chile%22.%22Codcom%22%3D5405" u="1"/>
        <s v="https://analytics.zoho.com/open-view/2395394000008161226?ZOHO_CRITERIA=%22Localiza%20Chile%22.%22Codcom%22%3D5405" u="1"/>
        <s v="https://analytics.zoho.com/open-view/2395394000008161227?ZOHO_CRITERIA=%22Localiza%20Chile%22.%22Codcom%22%3D5405" u="1"/>
        <s v="https://analytics.zoho.com/open-view/2395394000008161228?ZOHO_CRITERIA=%22Localiza%20Chile%22.%22Codcom%22%3D5405" u="1"/>
        <s v="https://analytics.zoho.com/open-view/2395394000008161229?ZOHO_CRITERIA=%22Localiza%20Chile%22.%22Codcom%22%3D5405" u="1"/>
        <s v="https://analytics.zoho.com/open-view/2395394000008161231?ZOHO_CRITERIA=%22Localiza%20Chile%22.%22Codcom%22%3D5405" u="1"/>
        <s v="https://analytics.zoho.com/open-view/2395394000008161220?ZOHO_CRITERIA=%22Localiza%20Chile%22.%22Codcom%22%3D10307" u="1"/>
        <s v="https://analytics.zoho.com/open-view/2395394000008161221?ZOHO_CRITERIA=%22Localiza%20Chile%22.%22Codcom%22%3D10307" u="1"/>
        <s v="https://analytics.zoho.com/open-view/2395394000008161222?ZOHO_CRITERIA=%22Localiza%20Chile%22.%22Codcom%22%3D10307" u="1"/>
        <s v="https://analytics.zoho.com/open-view/2395394000008161223?ZOHO_CRITERIA=%22Localiza%20Chile%22.%22Codcom%22%3D10307" u="1"/>
        <s v="https://analytics.zoho.com/open-view/2395394000008161224?ZOHO_CRITERIA=%22Localiza%20Chile%22.%22Codcom%22%3D10307" u="1"/>
        <s v="https://analytics.zoho.com/open-view/2395394000008161225?ZOHO_CRITERIA=%22Localiza%20Chile%22.%22Codcom%22%3D10307" u="1"/>
        <s v="https://analytics.zoho.com/open-view/2395394000008161226?ZOHO_CRITERIA=%22Localiza%20Chile%22.%22Codcom%22%3D10307" u="1"/>
        <s v="https://analytics.zoho.com/open-view/2395394000008161227?ZOHO_CRITERIA=%22Localiza%20Chile%22.%22Codcom%22%3D10307" u="1"/>
        <s v="https://analytics.zoho.com/open-view/2395394000008161228?ZOHO_CRITERIA=%22Localiza%20Chile%22.%22Codcom%22%3D10307" u="1"/>
        <s v="https://analytics.zoho.com/open-view/2395394000008161229?ZOHO_CRITERIA=%22Localiza%20Chile%22.%22Codcom%22%3D10307" u="1"/>
        <s v="https://analytics.zoho.com/open-view/2395394000008161231?ZOHO_CRITERIA=%22Localiza%20Chile%22.%22Codcom%22%3D10307" u="1"/>
        <s v="https://analytics.zoho.com/open-view/2395394000008161220?ZOHO_CRITERIA=%22Localiza%20Chile%22.%22Codcom%22%3D5801" u="1"/>
        <s v="https://analytics.zoho.com/open-view/2395394000008161221?ZOHO_CRITERIA=%22Localiza%20Chile%22.%22Codcom%22%3D5801" u="1"/>
        <s v="https://analytics.zoho.com/open-view/2395394000008161222?ZOHO_CRITERIA=%22Localiza%20Chile%22.%22Codcom%22%3D5801" u="1"/>
        <s v="https://analytics.zoho.com/open-view/2395394000008161223?ZOHO_CRITERIA=%22Localiza%20Chile%22.%22Codcom%22%3D5801" u="1"/>
        <s v="https://analytics.zoho.com/open-view/2395394000008161224?ZOHO_CRITERIA=%22Localiza%20Chile%22.%22Codcom%22%3D5801" u="1"/>
        <s v="https://analytics.zoho.com/open-view/2395394000008161225?ZOHO_CRITERIA=%22Localiza%20Chile%22.%22Codcom%22%3D5801" u="1"/>
        <s v="https://analytics.zoho.com/open-view/2395394000008161226?ZOHO_CRITERIA=%22Localiza%20Chile%22.%22Codcom%22%3D5801" u="1"/>
        <s v="https://analytics.zoho.com/open-view/2395394000008161227?ZOHO_CRITERIA=%22Localiza%20Chile%22.%22Codcom%22%3D5801" u="1"/>
        <s v="https://analytics.zoho.com/open-view/2395394000008161228?ZOHO_CRITERIA=%22Localiza%20Chile%22.%22Codcom%22%3D5801" u="1"/>
        <s v="https://analytics.zoho.com/open-view/2395394000008161229?ZOHO_CRITERIA=%22Localiza%20Chile%22.%22Codcom%22%3D5801" u="1"/>
        <s v="https://analytics.zoho.com/open-view/2395394000008161231?ZOHO_CRITERIA=%22Localiza%20Chile%22.%22Codcom%22%3D5801" u="1"/>
        <s v="https://analytics.zoho.com/open-view/2395394000008161220?ZOHO_CRITERIA=%22Localiza%20Chile%22.%22Codcom%22%3D5802" u="1"/>
        <s v="https://analytics.zoho.com/open-view/2395394000008161220?ZOHO_CRITERIA=%22Localiza%20Chile%22.%22Codcom%22%3D7401" u="1"/>
        <s v="https://analytics.zoho.com/open-view/2395394000008161221?ZOHO_CRITERIA=%22Localiza%20Chile%22.%22Codcom%22%3D5802" u="1"/>
        <s v="https://analytics.zoho.com/open-view/2395394000008161221?ZOHO_CRITERIA=%22Localiza%20Chile%22.%22Codcom%22%3D7401" u="1"/>
        <s v="https://analytics.zoho.com/open-view/2395394000008161222?ZOHO_CRITERIA=%22Localiza%20Chile%22.%22Codcom%22%3D5802" u="1"/>
        <s v="https://analytics.zoho.com/open-view/2395394000008161222?ZOHO_CRITERIA=%22Localiza%20Chile%22.%22Codcom%22%3D7401" u="1"/>
        <s v="https://analytics.zoho.com/open-view/2395394000008161223?ZOHO_CRITERIA=%22Localiza%20Chile%22.%22Codcom%22%3D5802" u="1"/>
        <s v="https://analytics.zoho.com/open-view/2395394000008161223?ZOHO_CRITERIA=%22Localiza%20Chile%22.%22Codcom%22%3D7401" u="1"/>
        <s v="https://analytics.zoho.com/open-view/2395394000008161224?ZOHO_CRITERIA=%22Localiza%20Chile%22.%22Codcom%22%3D5802" u="1"/>
        <s v="https://analytics.zoho.com/open-view/2395394000008161224?ZOHO_CRITERIA=%22Localiza%20Chile%22.%22Codcom%22%3D7401" u="1"/>
        <s v="https://analytics.zoho.com/open-view/2395394000008161225?ZOHO_CRITERIA=%22Localiza%20Chile%22.%22Codcom%22%3D5802" u="1"/>
        <s v="https://analytics.zoho.com/open-view/2395394000008161225?ZOHO_CRITERIA=%22Localiza%20Chile%22.%22Codcom%22%3D7401" u="1"/>
        <s v="https://analytics.zoho.com/open-view/2395394000008161226?ZOHO_CRITERIA=%22Localiza%20Chile%22.%22Codcom%22%3D5802" u="1"/>
        <s v="https://analytics.zoho.com/open-view/2395394000008161226?ZOHO_CRITERIA=%22Localiza%20Chile%22.%22Codcom%22%3D7401" u="1"/>
        <s v="https://analytics.zoho.com/open-view/2395394000008161227?ZOHO_CRITERIA=%22Localiza%20Chile%22.%22Codcom%22%3D5802" u="1"/>
        <s v="https://analytics.zoho.com/open-view/2395394000008161227?ZOHO_CRITERIA=%22Localiza%20Chile%22.%22Codcom%22%3D7401" u="1"/>
        <s v="https://analytics.zoho.com/open-view/2395394000008161228?ZOHO_CRITERIA=%22Localiza%20Chile%22.%22Codcom%22%3D5802" u="1"/>
        <s v="https://analytics.zoho.com/open-view/2395394000008161228?ZOHO_CRITERIA=%22Localiza%20Chile%22.%22Codcom%22%3D7401" u="1"/>
        <s v="https://analytics.zoho.com/open-view/2395394000008161229?ZOHO_CRITERIA=%22Localiza%20Chile%22.%22Codcom%22%3D5802" u="1"/>
        <s v="https://analytics.zoho.com/open-view/2395394000008161229?ZOHO_CRITERIA=%22Localiza%20Chile%22.%22Codcom%22%3D7401" u="1"/>
        <s v="https://analytics.zoho.com/open-view/2395394000008161231?ZOHO_CRITERIA=%22Localiza%20Chile%22.%22Codcom%22%3D5802" u="1"/>
        <s v="https://analytics.zoho.com/open-view/2395394000008161231?ZOHO_CRITERIA=%22Localiza%20Chile%22.%22Codcom%22%3D7401" u="1"/>
        <s v="https://analytics.zoho.com/open-view/2395394000008161220?ZOHO_CRITERIA=%22Localiza%20Chile%22.%22Codcom%22%3D5803" u="1"/>
        <s v="https://analytics.zoho.com/open-view/2395394000008161220?ZOHO_CRITERIA=%22Localiza%20Chile%22.%22Codcom%22%3D7402" u="1"/>
        <s v="https://analytics.zoho.com/open-view/2395394000008161221?ZOHO_CRITERIA=%22Localiza%20Chile%22.%22Codcom%22%3D5803" u="1"/>
        <s v="https://analytics.zoho.com/open-view/2395394000008161221?ZOHO_CRITERIA=%22Localiza%20Chile%22.%22Codcom%22%3D7402" u="1"/>
        <s v="https://analytics.zoho.com/open-view/2395394000008161222?ZOHO_CRITERIA=%22Localiza%20Chile%22.%22Codcom%22%3D5803" u="1"/>
        <s v="https://analytics.zoho.com/open-view/2395394000008161222?ZOHO_CRITERIA=%22Localiza%20Chile%22.%22Codcom%22%3D7402" u="1"/>
        <s v="https://analytics.zoho.com/open-view/2395394000008161223?ZOHO_CRITERIA=%22Localiza%20Chile%22.%22Codcom%22%3D5803" u="1"/>
        <s v="https://analytics.zoho.com/open-view/2395394000008161223?ZOHO_CRITERIA=%22Localiza%20Chile%22.%22Codcom%22%3D7402" u="1"/>
        <s v="https://analytics.zoho.com/open-view/2395394000008161224?ZOHO_CRITERIA=%22Localiza%20Chile%22.%22Codcom%22%3D5803" u="1"/>
        <s v="https://analytics.zoho.com/open-view/2395394000008161224?ZOHO_CRITERIA=%22Localiza%20Chile%22.%22Codcom%22%3D7402" u="1"/>
        <s v="https://analytics.zoho.com/open-view/2395394000008161225?ZOHO_CRITERIA=%22Localiza%20Chile%22.%22Codcom%22%3D5803" u="1"/>
        <s v="https://analytics.zoho.com/open-view/2395394000008161225?ZOHO_CRITERIA=%22Localiza%20Chile%22.%22Codcom%22%3D7402" u="1"/>
        <s v="https://analytics.zoho.com/open-view/2395394000008161226?ZOHO_CRITERIA=%22Localiza%20Chile%22.%22Codcom%22%3D5803" u="1"/>
        <s v="https://analytics.zoho.com/open-view/2395394000008161226?ZOHO_CRITERIA=%22Localiza%20Chile%22.%22Codcom%22%3D7402" u="1"/>
        <s v="https://analytics.zoho.com/open-view/2395394000008161227?ZOHO_CRITERIA=%22Localiza%20Chile%22.%22Codcom%22%3D5803" u="1"/>
        <s v="https://analytics.zoho.com/open-view/2395394000008161227?ZOHO_CRITERIA=%22Localiza%20Chile%22.%22Codcom%22%3D7402" u="1"/>
        <s v="https://analytics.zoho.com/open-view/2395394000008161228?ZOHO_CRITERIA=%22Localiza%20Chile%22.%22Codcom%22%3D5803" u="1"/>
        <s v="https://analytics.zoho.com/open-view/2395394000008161228?ZOHO_CRITERIA=%22Localiza%20Chile%22.%22Codcom%22%3D7402" u="1"/>
        <s v="https://analytics.zoho.com/open-view/2395394000008161229?ZOHO_CRITERIA=%22Localiza%20Chile%22.%22Codcom%22%3D5803" u="1"/>
        <s v="https://analytics.zoho.com/open-view/2395394000008161229?ZOHO_CRITERIA=%22Localiza%20Chile%22.%22Codcom%22%3D7402" u="1"/>
        <s v="https://analytics.zoho.com/open-view/2395394000008161231?ZOHO_CRITERIA=%22Localiza%20Chile%22.%22Codcom%22%3D5803" u="1"/>
        <s v="https://analytics.zoho.com/open-view/2395394000008161231?ZOHO_CRITERIA=%22Localiza%20Chile%22.%22Codcom%22%3D7402" u="1"/>
        <s v="https://analytics.zoho.com/open-view/2395394000008161220?ZOHO_CRITERIA=%22Localiza%20Chile%22.%22Codcom%22%3D5804" u="1"/>
        <s v="https://analytics.zoho.com/open-view/2395394000008161220?ZOHO_CRITERIA=%22Localiza%20Chile%22.%22Codcom%22%3D7403" u="1"/>
        <s v="https://analytics.zoho.com/open-view/2395394000008161221?ZOHO_CRITERIA=%22Localiza%20Chile%22.%22Codcom%22%3D5804" u="1"/>
        <s v="https://analytics.zoho.com/open-view/2395394000008161221?ZOHO_CRITERIA=%22Localiza%20Chile%22.%22Codcom%22%3D7403" u="1"/>
        <s v="https://analytics.zoho.com/open-view/2395394000008161222?ZOHO_CRITERIA=%22Localiza%20Chile%22.%22Codcom%22%3D5804" u="1"/>
        <s v="https://analytics.zoho.com/open-view/2395394000008161222?ZOHO_CRITERIA=%22Localiza%20Chile%22.%22Codcom%22%3D7403" u="1"/>
        <s v="https://analytics.zoho.com/open-view/2395394000008161223?ZOHO_CRITERIA=%22Localiza%20Chile%22.%22Codcom%22%3D5804" u="1"/>
        <s v="https://analytics.zoho.com/open-view/2395394000008161223?ZOHO_CRITERIA=%22Localiza%20Chile%22.%22Codcom%22%3D7403" u="1"/>
        <s v="https://analytics.zoho.com/open-view/2395394000008161224?ZOHO_CRITERIA=%22Localiza%20Chile%22.%22Codcom%22%3D5804" u="1"/>
        <s v="https://analytics.zoho.com/open-view/2395394000008161224?ZOHO_CRITERIA=%22Localiza%20Chile%22.%22Codcom%22%3D7403" u="1"/>
        <s v="https://analytics.zoho.com/open-view/2395394000008161225?ZOHO_CRITERIA=%22Localiza%20Chile%22.%22Codcom%22%3D5804" u="1"/>
        <s v="https://analytics.zoho.com/open-view/2395394000008161225?ZOHO_CRITERIA=%22Localiza%20Chile%22.%22Codcom%22%3D7403" u="1"/>
        <s v="https://analytics.zoho.com/open-view/2395394000008161226?ZOHO_CRITERIA=%22Localiza%20Chile%22.%22Codcom%22%3D5804" u="1"/>
        <s v="https://analytics.zoho.com/open-view/2395394000008161226?ZOHO_CRITERIA=%22Localiza%20Chile%22.%22Codcom%22%3D7403" u="1"/>
        <s v="https://analytics.zoho.com/open-view/2395394000008161227?ZOHO_CRITERIA=%22Localiza%20Chile%22.%22Codcom%22%3D5804" u="1"/>
        <s v="https://analytics.zoho.com/open-view/2395394000008161227?ZOHO_CRITERIA=%22Localiza%20Chile%22.%22Codcom%22%3D7403" u="1"/>
        <s v="https://analytics.zoho.com/open-view/2395394000008161228?ZOHO_CRITERIA=%22Localiza%20Chile%22.%22Codcom%22%3D5804" u="1"/>
        <s v="https://analytics.zoho.com/open-view/2395394000008161228?ZOHO_CRITERIA=%22Localiza%20Chile%22.%22Codcom%22%3D7403" u="1"/>
        <s v="https://analytics.zoho.com/open-view/2395394000008161229?ZOHO_CRITERIA=%22Localiza%20Chile%22.%22Codcom%22%3D5804" u="1"/>
        <s v="https://analytics.zoho.com/open-view/2395394000008161229?ZOHO_CRITERIA=%22Localiza%20Chile%22.%22Codcom%22%3D7403" u="1"/>
        <s v="https://analytics.zoho.com/open-view/2395394000008161231?ZOHO_CRITERIA=%22Localiza%20Chile%22.%22Codcom%22%3D5804" u="1"/>
        <s v="https://analytics.zoho.com/open-view/2395394000008161231?ZOHO_CRITERIA=%22Localiza%20Chile%22.%22Codcom%22%3D7403" u="1"/>
        <s v="https://analytics.zoho.com/open-view/2395394000008161220?ZOHO_CRITERIA=%22Localiza%20Chile%22.%22Codcom%22%3D7404" u="1"/>
        <s v="https://analytics.zoho.com/open-view/2395394000008161221?ZOHO_CRITERIA=%22Localiza%20Chile%22.%22Codcom%22%3D7404" u="1"/>
        <s v="https://analytics.zoho.com/open-view/2395394000008161222?ZOHO_CRITERIA=%22Localiza%20Chile%22.%22Codcom%22%3D7404" u="1"/>
        <s v="https://analytics.zoho.com/open-view/2395394000008161223?ZOHO_CRITERIA=%22Localiza%20Chile%22.%22Codcom%22%3D7404" u="1"/>
        <s v="https://analytics.zoho.com/open-view/2395394000008161224?ZOHO_CRITERIA=%22Localiza%20Chile%22.%22Codcom%22%3D7404" u="1"/>
        <s v="https://analytics.zoho.com/open-view/2395394000008161225?ZOHO_CRITERIA=%22Localiza%20Chile%22.%22Codcom%22%3D7404" u="1"/>
        <s v="https://analytics.zoho.com/open-view/2395394000008161226?ZOHO_CRITERIA=%22Localiza%20Chile%22.%22Codcom%22%3D7404" u="1"/>
        <s v="https://analytics.zoho.com/open-view/2395394000008161227?ZOHO_CRITERIA=%22Localiza%20Chile%22.%22Codcom%22%3D7404" u="1"/>
        <s v="https://analytics.zoho.com/open-view/2395394000008161228?ZOHO_CRITERIA=%22Localiza%20Chile%22.%22Codcom%22%3D7404" u="1"/>
        <s v="https://analytics.zoho.com/open-view/2395394000008161229?ZOHO_CRITERIA=%22Localiza%20Chile%22.%22Codcom%22%3D7404" u="1"/>
        <s v="https://analytics.zoho.com/open-view/2395394000008161231?ZOHO_CRITERIA=%22Localiza%20Chile%22.%22Codcom%22%3D7404" u="1"/>
        <s v="https://analytics.zoho.com/open-view/2395394000008161220?ZOHO_CRITERIA=%22Localiza%20Chile%22.%22Codcom%22%3D7405" u="1"/>
        <s v="https://analytics.zoho.com/open-view/2395394000008161221?ZOHO_CRITERIA=%22Localiza%20Chile%22.%22Codcom%22%3D7405" u="1"/>
        <s v="https://analytics.zoho.com/open-view/2395394000008161222?ZOHO_CRITERIA=%22Localiza%20Chile%22.%22Codcom%22%3D7405" u="1"/>
        <s v="https://analytics.zoho.com/open-view/2395394000008161223?ZOHO_CRITERIA=%22Localiza%20Chile%22.%22Codcom%22%3D7405" u="1"/>
        <s v="https://analytics.zoho.com/open-view/2395394000008161224?ZOHO_CRITERIA=%22Localiza%20Chile%22.%22Codcom%22%3D7405" u="1"/>
        <s v="https://analytics.zoho.com/open-view/2395394000008161225?ZOHO_CRITERIA=%22Localiza%20Chile%22.%22Codcom%22%3D7405" u="1"/>
        <s v="https://analytics.zoho.com/open-view/2395394000008161226?ZOHO_CRITERIA=%22Localiza%20Chile%22.%22Codcom%22%3D7405" u="1"/>
        <s v="https://analytics.zoho.com/open-view/2395394000008161227?ZOHO_CRITERIA=%22Localiza%20Chile%22.%22Codcom%22%3D7405" u="1"/>
        <s v="https://analytics.zoho.com/open-view/2395394000008161228?ZOHO_CRITERIA=%22Localiza%20Chile%22.%22Codcom%22%3D7405" u="1"/>
        <s v="https://analytics.zoho.com/open-view/2395394000008161229?ZOHO_CRITERIA=%22Localiza%20Chile%22.%22Codcom%22%3D7405" u="1"/>
        <s v="https://analytics.zoho.com/open-view/2395394000008161231?ZOHO_CRITERIA=%22Localiza%20Chile%22.%22Codcom%22%3D7405" u="1"/>
        <s v="https://analytics.zoho.com/open-view/2395394000008161220?ZOHO_CRITERIA=%22Localiza%20Chile%22.%22Codcom%22%3D7406" u="1"/>
        <s v="https://analytics.zoho.com/open-view/2395394000008161221?ZOHO_CRITERIA=%22Localiza%20Chile%22.%22Codcom%22%3D7406" u="1"/>
        <s v="https://analytics.zoho.com/open-view/2395394000008161222?ZOHO_CRITERIA=%22Localiza%20Chile%22.%22Codcom%22%3D7406" u="1"/>
        <s v="https://analytics.zoho.com/open-view/2395394000008161223?ZOHO_CRITERIA=%22Localiza%20Chile%22.%22Codcom%22%3D7406" u="1"/>
        <s v="https://analytics.zoho.com/open-view/2395394000008161224?ZOHO_CRITERIA=%22Localiza%20Chile%22.%22Codcom%22%3D7406" u="1"/>
        <s v="https://analytics.zoho.com/open-view/2395394000008161225?ZOHO_CRITERIA=%22Localiza%20Chile%22.%22Codcom%22%3D7406" u="1"/>
        <s v="https://analytics.zoho.com/open-view/2395394000008161226?ZOHO_CRITERIA=%22Localiza%20Chile%22.%22Codcom%22%3D7406" u="1"/>
        <s v="https://analytics.zoho.com/open-view/2395394000008161227?ZOHO_CRITERIA=%22Localiza%20Chile%22.%22Codcom%22%3D7406" u="1"/>
        <s v="https://analytics.zoho.com/open-view/2395394000008161228?ZOHO_CRITERIA=%22Localiza%20Chile%22.%22Codcom%22%3D7406" u="1"/>
        <s v="https://analytics.zoho.com/open-view/2395394000008161229?ZOHO_CRITERIA=%22Localiza%20Chile%22.%22Codcom%22%3D7406" u="1"/>
        <s v="https://analytics.zoho.com/open-view/2395394000008161231?ZOHO_CRITERIA=%22Localiza%20Chile%22.%22Codcom%22%3D7406" u="1"/>
        <s v="https://analytics.zoho.com/open-view/2395394000008161220?ZOHO_CRITERIA=%22Localiza%20Chile%22.%22Codcom%22%3D7407" u="1"/>
        <s v="https://analytics.zoho.com/open-view/2395394000008161221?ZOHO_CRITERIA=%22Localiza%20Chile%22.%22Codcom%22%3D7407" u="1"/>
        <s v="https://analytics.zoho.com/open-view/2395394000008161222?ZOHO_CRITERIA=%22Localiza%20Chile%22.%22Codcom%22%3D7407" u="1"/>
        <s v="https://analytics.zoho.com/open-view/2395394000008161223?ZOHO_CRITERIA=%22Localiza%20Chile%22.%22Codcom%22%3D7407" u="1"/>
        <s v="https://analytics.zoho.com/open-view/2395394000008161224?ZOHO_CRITERIA=%22Localiza%20Chile%22.%22Codcom%22%3D7407" u="1"/>
        <s v="https://analytics.zoho.com/open-view/2395394000008161225?ZOHO_CRITERIA=%22Localiza%20Chile%22.%22Codcom%22%3D7407" u="1"/>
        <s v="https://analytics.zoho.com/open-view/2395394000008161226?ZOHO_CRITERIA=%22Localiza%20Chile%22.%22Codcom%22%3D7407" u="1"/>
        <s v="https://analytics.zoho.com/open-view/2395394000008161227?ZOHO_CRITERIA=%22Localiza%20Chile%22.%22Codcom%22%3D7407" u="1"/>
        <s v="https://analytics.zoho.com/open-view/2395394000008161228?ZOHO_CRITERIA=%22Localiza%20Chile%22.%22Codcom%22%3D7407" u="1"/>
        <s v="https://analytics.zoho.com/open-view/2395394000008161229?ZOHO_CRITERIA=%22Localiza%20Chile%22.%22Codcom%22%3D7407" u="1"/>
        <s v="https://analytics.zoho.com/open-view/2395394000008161231?ZOHO_CRITERIA=%22Localiza%20Chile%22.%22Codcom%22%3D7407" u="1"/>
        <s v="https://analytics.zoho.com/open-view/2395394000008161220?ZOHO_CRITERIA=%22Localiza%20Chile%22.%22Codcom%22%3D7408" u="1"/>
        <s v="https://analytics.zoho.com/open-view/2395394000008161221?ZOHO_CRITERIA=%22Localiza%20Chile%22.%22Codcom%22%3D7408" u="1"/>
        <s v="https://analytics.zoho.com/open-view/2395394000008161222?ZOHO_CRITERIA=%22Localiza%20Chile%22.%22Codcom%22%3D7408" u="1"/>
        <s v="https://analytics.zoho.com/open-view/2395394000008161223?ZOHO_CRITERIA=%22Localiza%20Chile%22.%22Codcom%22%3D7408" u="1"/>
        <s v="https://analytics.zoho.com/open-view/2395394000008161224?ZOHO_CRITERIA=%22Localiza%20Chile%22.%22Codcom%22%3D7408" u="1"/>
        <s v="https://analytics.zoho.com/open-view/2395394000008161225?ZOHO_CRITERIA=%22Localiza%20Chile%22.%22Codcom%22%3D7408" u="1"/>
        <s v="https://analytics.zoho.com/open-view/2395394000008161226?ZOHO_CRITERIA=%22Localiza%20Chile%22.%22Codcom%22%3D7408" u="1"/>
        <s v="https://analytics.zoho.com/open-view/2395394000008161227?ZOHO_CRITERIA=%22Localiza%20Chile%22.%22Codcom%22%3D7408" u="1"/>
        <s v="https://analytics.zoho.com/open-view/2395394000008161228?ZOHO_CRITERIA=%22Localiza%20Chile%22.%22Codcom%22%3D7408" u="1"/>
        <s v="https://analytics.zoho.com/open-view/2395394000008161229?ZOHO_CRITERIA=%22Localiza%20Chile%22.%22Codcom%22%3D7408" u="1"/>
        <s v="https://analytics.zoho.com/open-view/2395394000008161231?ZOHO_CRITERIA=%22Localiza%20Chile%22.%22Codcom%22%3D7408" u="1"/>
        <s v="https://analytics.zoho.com/open-view/2395394000008161220?ZOHO_CRITERIA=%22Localiza%20Chile%22.%22Codcom%22%3D10401" u="1"/>
        <s v="https://analytics.zoho.com/open-view/2395394000008161221?ZOHO_CRITERIA=%22Localiza%20Chile%22.%22Codcom%22%3D10401" u="1"/>
        <s v="https://analytics.zoho.com/open-view/2395394000008161222?ZOHO_CRITERIA=%22Localiza%20Chile%22.%22Codcom%22%3D10401" u="1"/>
        <s v="https://analytics.zoho.com/open-view/2395394000008161223?ZOHO_CRITERIA=%22Localiza%20Chile%22.%22Codcom%22%3D10401" u="1"/>
        <s v="https://analytics.zoho.com/open-view/2395394000008161224?ZOHO_CRITERIA=%22Localiza%20Chile%22.%22Codcom%22%3D10401" u="1"/>
        <s v="https://analytics.zoho.com/open-view/2395394000008161225?ZOHO_CRITERIA=%22Localiza%20Chile%22.%22Codcom%22%3D10401" u="1"/>
        <s v="https://analytics.zoho.com/open-view/2395394000008161226?ZOHO_CRITERIA=%22Localiza%20Chile%22.%22Codcom%22%3D10401" u="1"/>
        <s v="https://analytics.zoho.com/open-view/2395394000008161227?ZOHO_CRITERIA=%22Localiza%20Chile%22.%22Codcom%22%3D10401" u="1"/>
        <s v="https://analytics.zoho.com/open-view/2395394000008161228?ZOHO_CRITERIA=%22Localiza%20Chile%22.%22Codcom%22%3D10401" u="1"/>
        <s v="https://analytics.zoho.com/open-view/2395394000008161229?ZOHO_CRITERIA=%22Localiza%20Chile%22.%22Codcom%22%3D10401" u="1"/>
        <s v="https://analytics.zoho.com/open-view/2395394000008161231?ZOHO_CRITERIA=%22Localiza%20Chile%22.%22Codcom%22%3D10401" u="1"/>
        <s v="https://analytics.zoho.com/open-view/2395394000008161220?ZOHO_CRITERIA=%22Localiza%20Chile%22.%22Codcom%22%3D13601" u="1"/>
        <s v="https://analytics.zoho.com/open-view/2395394000008161221?ZOHO_CRITERIA=%22Localiza%20Chile%22.%22Codcom%22%3D13601" u="1"/>
        <s v="https://analytics.zoho.com/open-view/2395394000008161222?ZOHO_CRITERIA=%22Localiza%20Chile%22.%22Codcom%22%3D13601" u="1"/>
        <s v="https://analytics.zoho.com/open-view/2395394000008161223?ZOHO_CRITERIA=%22Localiza%20Chile%22.%22Codcom%22%3D13601" u="1"/>
        <s v="https://analytics.zoho.com/open-view/2395394000008161224?ZOHO_CRITERIA=%22Localiza%20Chile%22.%22Codcom%22%3D13601" u="1"/>
        <s v="https://analytics.zoho.com/open-view/2395394000008161225?ZOHO_CRITERIA=%22Localiza%20Chile%22.%22Codcom%22%3D13601" u="1"/>
        <s v="https://analytics.zoho.com/open-view/2395394000008161226?ZOHO_CRITERIA=%22Localiza%20Chile%22.%22Codcom%22%3D13601" u="1"/>
        <s v="https://analytics.zoho.com/open-view/2395394000008161227?ZOHO_CRITERIA=%22Localiza%20Chile%22.%22Codcom%22%3D13601" u="1"/>
        <s v="https://analytics.zoho.com/open-view/2395394000008161228?ZOHO_CRITERIA=%22Localiza%20Chile%22.%22Codcom%22%3D13601" u="1"/>
        <s v="https://analytics.zoho.com/open-view/2395394000008161229?ZOHO_CRITERIA=%22Localiza%20Chile%22.%22Codcom%22%3D13601" u="1"/>
        <s v="https://analytics.zoho.com/open-view/2395394000008161231?ZOHO_CRITERIA=%22Localiza%20Chile%22.%22Codcom%22%3D13601" u="1"/>
        <s v="https://analytics.zoho.com/open-view/2395394000008161220?ZOHO_CRITERIA=%22Localiza%20Chile%22.%22Codcom%22%3D11201" u="1"/>
        <s v="https://analytics.zoho.com/open-view/2395394000008161221?ZOHO_CRITERIA=%22Localiza%20Chile%22.%22Codcom%22%3D11201" u="1"/>
        <s v="https://analytics.zoho.com/open-view/2395394000008161222?ZOHO_CRITERIA=%22Localiza%20Chile%22.%22Codcom%22%3D11201" u="1"/>
        <s v="https://analytics.zoho.com/open-view/2395394000008161223?ZOHO_CRITERIA=%22Localiza%20Chile%22.%22Codcom%22%3D11201" u="1"/>
        <s v="https://analytics.zoho.com/open-view/2395394000008161224?ZOHO_CRITERIA=%22Localiza%20Chile%22.%22Codcom%22%3D11201" u="1"/>
        <s v="https://analytics.zoho.com/open-view/2395394000008161225?ZOHO_CRITERIA=%22Localiza%20Chile%22.%22Codcom%22%3D11201" u="1"/>
        <s v="https://analytics.zoho.com/open-view/2395394000008161226?ZOHO_CRITERIA=%22Localiza%20Chile%22.%22Codcom%22%3D11201" u="1"/>
        <s v="https://analytics.zoho.com/open-view/2395394000008161227?ZOHO_CRITERIA=%22Localiza%20Chile%22.%22Codcom%22%3D11201" u="1"/>
        <s v="https://analytics.zoho.com/open-view/2395394000008161228?ZOHO_CRITERIA=%22Localiza%20Chile%22.%22Codcom%22%3D11201" u="1"/>
        <s v="https://analytics.zoho.com/open-view/2395394000008161229?ZOHO_CRITERIA=%22Localiza%20Chile%22.%22Codcom%22%3D11201" u="1"/>
        <s v="https://analytics.zoho.com/open-view/2395394000008161231?ZOHO_CRITERIA=%22Localiza%20Chile%22.%22Codcom%22%3D11201" u="1"/>
        <s v="https://analytics.zoho.com/open-view/2395394000008161190" u="1"/>
        <s v="https://analytics.zoho.com/open-view/2395394000008161220?ZOHO_CRITERIA=%22Localiza%20Chile%22.%22Codcom%22%3D10402" u="1"/>
        <s v="https://analytics.zoho.com/open-view/2395394000008161221?ZOHO_CRITERIA=%22Localiza%20Chile%22.%22Codcom%22%3D10402" u="1"/>
        <s v="https://analytics.zoho.com/open-view/2395394000008161222?ZOHO_CRITERIA=%22Localiza%20Chile%22.%22Codcom%22%3D10402" u="1"/>
        <s v="https://analytics.zoho.com/open-view/2395394000008161223?ZOHO_CRITERIA=%22Localiza%20Chile%22.%22Codcom%22%3D10402" u="1"/>
        <s v="https://analytics.zoho.com/open-view/2395394000008161224?ZOHO_CRITERIA=%22Localiza%20Chile%22.%22Codcom%22%3D10402" u="1"/>
        <s v="https://analytics.zoho.com/open-view/2395394000008161225?ZOHO_CRITERIA=%22Localiza%20Chile%22.%22Codcom%22%3D10402" u="1"/>
        <s v="https://analytics.zoho.com/open-view/2395394000008161226?ZOHO_CRITERIA=%22Localiza%20Chile%22.%22Codcom%22%3D10402" u="1"/>
        <s v="https://analytics.zoho.com/open-view/2395394000008161227?ZOHO_CRITERIA=%22Localiza%20Chile%22.%22Codcom%22%3D10402" u="1"/>
        <s v="https://analytics.zoho.com/open-view/2395394000008161228?ZOHO_CRITERIA=%22Localiza%20Chile%22.%22Codcom%22%3D10402" u="1"/>
        <s v="https://analytics.zoho.com/open-view/2395394000008161229?ZOHO_CRITERIA=%22Localiza%20Chile%22.%22Codcom%22%3D10402" u="1"/>
        <s v="https://analytics.zoho.com/open-view/2395394000008161231?ZOHO_CRITERIA=%22Localiza%20Chile%22.%22Codcom%22%3D10402" u="1"/>
        <s v="https://analytics.zoho.com/open-view/2395394000008161191" u="1"/>
        <s v="https://analytics.zoho.com/open-view/2395394000008161192" u="1"/>
        <s v="https://analytics.zoho.com/open-view/2395394000008161220?ZOHO_CRITERIA=%22Localiza%20Chile%22.%22Codcom%22%3D13602" u="1"/>
        <s v="https://analytics.zoho.com/open-view/2395394000008161220?ZOHO_CRITERIA=%22Localiza%20Chile%22.%22Codcom%22%3D15201" u="1"/>
        <s v="https://analytics.zoho.com/open-view/2395394000008161221?ZOHO_CRITERIA=%22Localiza%20Chile%22.%22Codcom%22%3D13602" u="1"/>
        <s v="https://analytics.zoho.com/open-view/2395394000008161221?ZOHO_CRITERIA=%22Localiza%20Chile%22.%22Codcom%22%3D15201" u="1"/>
        <s v="https://analytics.zoho.com/open-view/2395394000008161222?ZOHO_CRITERIA=%22Localiza%20Chile%22.%22Codcom%22%3D13602" u="1"/>
        <s v="https://analytics.zoho.com/open-view/2395394000008161222?ZOHO_CRITERIA=%22Localiza%20Chile%22.%22Codcom%22%3D15201" u="1"/>
        <s v="https://analytics.zoho.com/open-view/2395394000008161223?ZOHO_CRITERIA=%22Localiza%20Chile%22.%22Codcom%22%3D13602" u="1"/>
        <s v="https://analytics.zoho.com/open-view/2395394000008161223?ZOHO_CRITERIA=%22Localiza%20Chile%22.%22Codcom%22%3D15201" u="1"/>
        <s v="https://analytics.zoho.com/open-view/2395394000008161224?ZOHO_CRITERIA=%22Localiza%20Chile%22.%22Codcom%22%3D13602" u="1"/>
        <s v="https://analytics.zoho.com/open-view/2395394000008161224?ZOHO_CRITERIA=%22Localiza%20Chile%22.%22Codcom%22%3D15201" u="1"/>
        <s v="https://analytics.zoho.com/open-view/2395394000008161225?ZOHO_CRITERIA=%22Localiza%20Chile%22.%22Codcom%22%3D13602" u="1"/>
        <s v="https://analytics.zoho.com/open-view/2395394000008161225?ZOHO_CRITERIA=%22Localiza%20Chile%22.%22Codcom%22%3D15201" u="1"/>
        <s v="https://analytics.zoho.com/open-view/2395394000008161226?ZOHO_CRITERIA=%22Localiza%20Chile%22.%22Codcom%22%3D13602" u="1"/>
        <s v="https://analytics.zoho.com/open-view/2395394000008161226?ZOHO_CRITERIA=%22Localiza%20Chile%22.%22Codcom%22%3D15201" u="1"/>
        <s v="https://analytics.zoho.com/open-view/2395394000008161227?ZOHO_CRITERIA=%22Localiza%20Chile%22.%22Codcom%22%3D13602" u="1"/>
        <s v="https://analytics.zoho.com/open-view/2395394000008161227?ZOHO_CRITERIA=%22Localiza%20Chile%22.%22Codcom%22%3D15201" u="1"/>
        <s v="https://analytics.zoho.com/open-view/2395394000008161228?ZOHO_CRITERIA=%22Localiza%20Chile%22.%22Codcom%22%3D13602" u="1"/>
        <s v="https://analytics.zoho.com/open-view/2395394000008161228?ZOHO_CRITERIA=%22Localiza%20Chile%22.%22Codcom%22%3D15201" u="1"/>
        <s v="https://analytics.zoho.com/open-view/2395394000008161229?ZOHO_CRITERIA=%22Localiza%20Chile%22.%22Codcom%22%3D13602" u="1"/>
        <s v="https://analytics.zoho.com/open-view/2395394000008161229?ZOHO_CRITERIA=%22Localiza%20Chile%22.%22Codcom%22%3D15201" u="1"/>
        <s v="https://analytics.zoho.com/open-view/2395394000008161231?ZOHO_CRITERIA=%22Localiza%20Chile%22.%22Codcom%22%3D13602" u="1"/>
        <s v="https://analytics.zoho.com/open-view/2395394000008161231?ZOHO_CRITERIA=%22Localiza%20Chile%22.%22Codcom%22%3D15201" u="1"/>
        <s v="https://analytics.zoho.com/open-view/2395394000008161220?ZOHO_CRITERIA=%22Localiza%20Chile%22.%22Codcom%22%3D11202" u="1"/>
        <s v="https://analytics.zoho.com/open-view/2395394000008161221?ZOHO_CRITERIA=%22Localiza%20Chile%22.%22Codcom%22%3D11202" u="1"/>
        <s v="https://analytics.zoho.com/open-view/2395394000008161222?ZOHO_CRITERIA=%22Localiza%20Chile%22.%22Codcom%22%3D11202" u="1"/>
        <s v="https://analytics.zoho.com/open-view/2395394000008161223?ZOHO_CRITERIA=%22Localiza%20Chile%22.%22Codcom%22%3D11202" u="1"/>
        <s v="https://analytics.zoho.com/open-view/2395394000008161224?ZOHO_CRITERIA=%22Localiza%20Chile%22.%22Codcom%22%3D11202" u="1"/>
        <s v="https://analytics.zoho.com/open-view/2395394000008161225?ZOHO_CRITERIA=%22Localiza%20Chile%22.%22Codcom%22%3D11202" u="1"/>
        <s v="https://analytics.zoho.com/open-view/2395394000008161226?ZOHO_CRITERIA=%22Localiza%20Chile%22.%22Codcom%22%3D11202" u="1"/>
        <s v="https://analytics.zoho.com/open-view/2395394000008161227?ZOHO_CRITERIA=%22Localiza%20Chile%22.%22Codcom%22%3D11202" u="1"/>
        <s v="https://analytics.zoho.com/open-view/2395394000008161228?ZOHO_CRITERIA=%22Localiza%20Chile%22.%22Codcom%22%3D11202" u="1"/>
        <s v="https://analytics.zoho.com/open-view/2395394000008161229?ZOHO_CRITERIA=%22Localiza%20Chile%22.%22Codcom%22%3D11202" u="1"/>
        <s v="https://analytics.zoho.com/open-view/2395394000008161231?ZOHO_CRITERIA=%22Localiza%20Chile%22.%22Codcom%22%3D11202" u="1"/>
        <s v="https://analytics.zoho.com/open-view/2395394000008161220?ZOHO_CRITERIA=%22Localiza%20Chile%22.%22Codcom%22%3D10403" u="1"/>
        <s v="https://analytics.zoho.com/open-view/2395394000008161221?ZOHO_CRITERIA=%22Localiza%20Chile%22.%22Codcom%22%3D10403" u="1"/>
        <s v="https://analytics.zoho.com/open-view/2395394000008161222?ZOHO_CRITERIA=%22Localiza%20Chile%22.%22Codcom%22%3D10403" u="1"/>
        <s v="https://analytics.zoho.com/open-view/2395394000008161223?ZOHO_CRITERIA=%22Localiza%20Chile%22.%22Codcom%22%3D10403" u="1"/>
        <s v="https://analytics.zoho.com/open-view/2395394000008161224?ZOHO_CRITERIA=%22Localiza%20Chile%22.%22Codcom%22%3D10403" u="1"/>
        <s v="https://analytics.zoho.com/open-view/2395394000008161225?ZOHO_CRITERIA=%22Localiza%20Chile%22.%22Codcom%22%3D10403" u="1"/>
        <s v="https://analytics.zoho.com/open-view/2395394000008161226?ZOHO_CRITERIA=%22Localiza%20Chile%22.%22Codcom%22%3D10403" u="1"/>
        <s v="https://analytics.zoho.com/open-view/2395394000008161227?ZOHO_CRITERIA=%22Localiza%20Chile%22.%22Codcom%22%3D10403" u="1"/>
        <s v="https://analytics.zoho.com/open-view/2395394000008161228?ZOHO_CRITERIA=%22Localiza%20Chile%22.%22Codcom%22%3D10403" u="1"/>
        <s v="https://analytics.zoho.com/open-view/2395394000008161229?ZOHO_CRITERIA=%22Localiza%20Chile%22.%22Codcom%22%3D10403" u="1"/>
        <s v="https://analytics.zoho.com/open-view/2395394000008161231?ZOHO_CRITERIA=%22Localiza%20Chile%22.%22Codcom%22%3D10403" u="1"/>
        <s v="https://analytics.zoho.com/open-view/2395394000008161220?ZOHO_CRITERIA=%22Localiza%20Chile%22.%22Codcom%22%3D13603" u="1"/>
        <s v="https://analytics.zoho.com/open-view/2395394000008161220?ZOHO_CRITERIA=%22Localiza%20Chile%22.%22Codcom%22%3D15202" u="1"/>
        <s v="https://analytics.zoho.com/open-view/2395394000008161221?ZOHO_CRITERIA=%22Localiza%20Chile%22.%22Codcom%22%3D13603" u="1"/>
        <s v="https://analytics.zoho.com/open-view/2395394000008161221?ZOHO_CRITERIA=%22Localiza%20Chile%22.%22Codcom%22%3D15202" u="1"/>
        <s v="https://analytics.zoho.com/open-view/2395394000008161222?ZOHO_CRITERIA=%22Localiza%20Chile%22.%22Codcom%22%3D13603" u="1"/>
        <s v="https://analytics.zoho.com/open-view/2395394000008161222?ZOHO_CRITERIA=%22Localiza%20Chile%22.%22Codcom%22%3D15202" u="1"/>
        <s v="https://analytics.zoho.com/open-view/2395394000008161223?ZOHO_CRITERIA=%22Localiza%20Chile%22.%22Codcom%22%3D13603" u="1"/>
        <s v="https://analytics.zoho.com/open-view/2395394000008161223?ZOHO_CRITERIA=%22Localiza%20Chile%22.%22Codcom%22%3D15202" u="1"/>
        <s v="https://analytics.zoho.com/open-view/2395394000008161224?ZOHO_CRITERIA=%22Localiza%20Chile%22.%22Codcom%22%3D13603" u="1"/>
        <s v="https://analytics.zoho.com/open-view/2395394000008161224?ZOHO_CRITERIA=%22Localiza%20Chile%22.%22Codcom%22%3D15202" u="1"/>
        <s v="https://analytics.zoho.com/open-view/2395394000008161225?ZOHO_CRITERIA=%22Localiza%20Chile%22.%22Codcom%22%3D13603" u="1"/>
        <s v="https://analytics.zoho.com/open-view/2395394000008161225?ZOHO_CRITERIA=%22Localiza%20Chile%22.%22Codcom%22%3D15202" u="1"/>
        <s v="https://analytics.zoho.com/open-view/2395394000008161226?ZOHO_CRITERIA=%22Localiza%20Chile%22.%22Codcom%22%3D13603" u="1"/>
        <s v="https://analytics.zoho.com/open-view/2395394000008161226?ZOHO_CRITERIA=%22Localiza%20Chile%22.%22Codcom%22%3D15202" u="1"/>
        <s v="https://analytics.zoho.com/open-view/2395394000008161227?ZOHO_CRITERIA=%22Localiza%20Chile%22.%22Codcom%22%3D13603" u="1"/>
        <s v="https://analytics.zoho.com/open-view/2395394000008161227?ZOHO_CRITERIA=%22Localiza%20Chile%22.%22Codcom%22%3D15202" u="1"/>
        <s v="https://analytics.zoho.com/open-view/2395394000008161228?ZOHO_CRITERIA=%22Localiza%20Chile%22.%22Codcom%22%3D13603" u="1"/>
        <s v="https://analytics.zoho.com/open-view/2395394000008161228?ZOHO_CRITERIA=%22Localiza%20Chile%22.%22Codcom%22%3D15202" u="1"/>
        <s v="https://analytics.zoho.com/open-view/2395394000008161229?ZOHO_CRITERIA=%22Localiza%20Chile%22.%22Codcom%22%3D13603" u="1"/>
        <s v="https://analytics.zoho.com/open-view/2395394000008161229?ZOHO_CRITERIA=%22Localiza%20Chile%22.%22Codcom%22%3D15202" u="1"/>
        <s v="https://analytics.zoho.com/open-view/2395394000008161231?ZOHO_CRITERIA=%22Localiza%20Chile%22.%22Codcom%22%3D13603" u="1"/>
        <s v="https://analytics.zoho.com/open-view/2395394000008161231?ZOHO_CRITERIA=%22Localiza%20Chile%22.%22Codcom%22%3D15202" u="1"/>
        <s v="https://analytics.zoho.com/open-view/2395394000008161220?ZOHO_CRITERIA=%22Localiza%20Chile%22.%22Codcom%22%3D11203" u="1"/>
        <s v="https://analytics.zoho.com/open-view/2395394000008161221?ZOHO_CRITERIA=%22Localiza%20Chile%22.%22Codcom%22%3D11203" u="1"/>
        <s v="https://analytics.zoho.com/open-view/2395394000008161222?ZOHO_CRITERIA=%22Localiza%20Chile%22.%22Codcom%22%3D11203" u="1"/>
        <s v="https://analytics.zoho.com/open-view/2395394000008161223?ZOHO_CRITERIA=%22Localiza%20Chile%22.%22Codcom%22%3D11203" u="1"/>
        <s v="https://analytics.zoho.com/open-view/2395394000008161224?ZOHO_CRITERIA=%22Localiza%20Chile%22.%22Codcom%22%3D11203" u="1"/>
        <s v="https://analytics.zoho.com/open-view/2395394000008161225?ZOHO_CRITERIA=%22Localiza%20Chile%22.%22Codcom%22%3D11203" u="1"/>
        <s v="https://analytics.zoho.com/open-view/2395394000008161226?ZOHO_CRITERIA=%22Localiza%20Chile%22.%22Codcom%22%3D11203" u="1"/>
        <s v="https://analytics.zoho.com/open-view/2395394000008161227?ZOHO_CRITERIA=%22Localiza%20Chile%22.%22Codcom%22%3D11203" u="1"/>
        <s v="https://analytics.zoho.com/open-view/2395394000008161228?ZOHO_CRITERIA=%22Localiza%20Chile%22.%22Codcom%22%3D11203" u="1"/>
        <s v="https://analytics.zoho.com/open-view/2395394000008161229?ZOHO_CRITERIA=%22Localiza%20Chile%22.%22Codcom%22%3D11203" u="1"/>
        <s v="https://analytics.zoho.com/open-view/2395394000008161231?ZOHO_CRITERIA=%22Localiza%20Chile%22.%22Codcom%22%3D11203" u="1"/>
        <s v="https://analytics.zoho.com/open-view/2395394000008161220?ZOHO_CRITERIA=%22Localiza%20Chile%22.%22Codcom%22%3D10404" u="1"/>
        <s v="https://analytics.zoho.com/open-view/2395394000008161221?ZOHO_CRITERIA=%22Localiza%20Chile%22.%22Codcom%22%3D10404" u="1"/>
        <s v="https://analytics.zoho.com/open-view/2395394000008161222?ZOHO_CRITERIA=%22Localiza%20Chile%22.%22Codcom%22%3D10404" u="1"/>
        <s v="https://analytics.zoho.com/open-view/2395394000008161223?ZOHO_CRITERIA=%22Localiza%20Chile%22.%22Codcom%22%3D10404" u="1"/>
        <s v="https://analytics.zoho.com/open-view/2395394000008161224?ZOHO_CRITERIA=%22Localiza%20Chile%22.%22Codcom%22%3D10404" u="1"/>
        <s v="https://analytics.zoho.com/open-view/2395394000008161225?ZOHO_CRITERIA=%22Localiza%20Chile%22.%22Codcom%22%3D10404" u="1"/>
        <s v="https://analytics.zoho.com/open-view/2395394000008161226?ZOHO_CRITERIA=%22Localiza%20Chile%22.%22Codcom%22%3D10404" u="1"/>
        <s v="https://analytics.zoho.com/open-view/2395394000008161227?ZOHO_CRITERIA=%22Localiza%20Chile%22.%22Codcom%22%3D10404" u="1"/>
        <s v="https://analytics.zoho.com/open-view/2395394000008161228?ZOHO_CRITERIA=%22Localiza%20Chile%22.%22Codcom%22%3D10404" u="1"/>
        <s v="https://analytics.zoho.com/open-view/2395394000008161229?ZOHO_CRITERIA=%22Localiza%20Chile%22.%22Codcom%22%3D10404" u="1"/>
        <s v="https://analytics.zoho.com/open-view/2395394000008161231?ZOHO_CRITERIA=%22Localiza%20Chile%22.%22Codcom%22%3D10404" u="1"/>
        <s v="https://analytics.zoho.com/open-view/2395394000008161220?ZOHO_CRITERIA=%22Localiza%20Chile%22.%22Codcom%22%3D13604" u="1"/>
        <s v="https://analytics.zoho.com/open-view/2395394000008161221?ZOHO_CRITERIA=%22Localiza%20Chile%22.%22Codcom%22%3D13604" u="1"/>
        <s v="https://analytics.zoho.com/open-view/2395394000008161222?ZOHO_CRITERIA=%22Localiza%20Chile%22.%22Codcom%22%3D13604" u="1"/>
        <s v="https://analytics.zoho.com/open-view/2395394000008161223?ZOHO_CRITERIA=%22Localiza%20Chile%22.%22Codcom%22%3D13604" u="1"/>
        <s v="https://analytics.zoho.com/open-view/2395394000008161224?ZOHO_CRITERIA=%22Localiza%20Chile%22.%22Codcom%22%3D13604" u="1"/>
        <s v="https://analytics.zoho.com/open-view/2395394000008161225?ZOHO_CRITERIA=%22Localiza%20Chile%22.%22Codcom%22%3D13604" u="1"/>
        <s v="https://analytics.zoho.com/open-view/2395394000008161226?ZOHO_CRITERIA=%22Localiza%20Chile%22.%22Codcom%22%3D13604" u="1"/>
        <s v="https://analytics.zoho.com/open-view/2395394000008161227?ZOHO_CRITERIA=%22Localiza%20Chile%22.%22Codcom%22%3D13604" u="1"/>
        <s v="https://analytics.zoho.com/open-view/2395394000008161228?ZOHO_CRITERIA=%22Localiza%20Chile%22.%22Codcom%22%3D13604" u="1"/>
        <s v="https://analytics.zoho.com/open-view/2395394000008161229?ZOHO_CRITERIA=%22Localiza%20Chile%22.%22Codcom%22%3D13604" u="1"/>
        <s v="https://analytics.zoho.com/open-view/2395394000008161231?ZOHO_CRITERIA=%22Localiza%20Chile%22.%22Codcom%22%3D13604" u="1"/>
        <s v="https://analytics.zoho.com/open-view/2395394000008161220?ZOHO_CRITERIA=%22Localiza%20Chile%22.%22Codcom%22%3D13605" u="1"/>
        <s v="https://analytics.zoho.com/open-view/2395394000008161221?ZOHO_CRITERIA=%22Localiza%20Chile%22.%22Codcom%22%3D13605" u="1"/>
        <s v="https://analytics.zoho.com/open-view/2395394000008161222?ZOHO_CRITERIA=%22Localiza%20Chile%22.%22Codcom%22%3D13605" u="1"/>
        <s v="https://analytics.zoho.com/open-view/2395394000008161223?ZOHO_CRITERIA=%22Localiza%20Chile%22.%22Codcom%22%3D13605" u="1"/>
        <s v="https://analytics.zoho.com/open-view/2395394000008161224?ZOHO_CRITERIA=%22Localiza%20Chile%22.%22Codcom%22%3D13605" u="1"/>
        <s v="https://analytics.zoho.com/open-view/2395394000008161225?ZOHO_CRITERIA=%22Localiza%20Chile%22.%22Codcom%22%3D13605" u="1"/>
        <s v="https://analytics.zoho.com/open-view/2395394000008161226?ZOHO_CRITERIA=%22Localiza%20Chile%22.%22Codcom%22%3D13605" u="1"/>
        <s v="https://analytics.zoho.com/open-view/2395394000008161227?ZOHO_CRITERIA=%22Localiza%20Chile%22.%22Codcom%22%3D13605" u="1"/>
        <s v="https://analytics.zoho.com/open-view/2395394000008161228?ZOHO_CRITERIA=%22Localiza%20Chile%22.%22Codcom%22%3D13605" u="1"/>
        <s v="https://analytics.zoho.com/open-view/2395394000008161229?ZOHO_CRITERIA=%22Localiza%20Chile%22.%22Codcom%22%3D13605" u="1"/>
        <s v="https://analytics.zoho.com/open-view/2395394000008161231?ZOHO_CRITERIA=%22Localiza%20Chile%22.%22Codcom%22%3D13605" u="1"/>
        <s v="https://analytics.zoho.com/open-view/2395394000008161220?ZOHO_CRITERIA=%22Localiza%20Chile%22.%22Codcom%22%3D11301" u="1"/>
        <s v="https://analytics.zoho.com/open-view/2395394000008161221?ZOHO_CRITERIA=%22Localiza%20Chile%22.%22Codcom%22%3D11301" u="1"/>
        <s v="https://analytics.zoho.com/open-view/2395394000008161222?ZOHO_CRITERIA=%22Localiza%20Chile%22.%22Codcom%22%3D11301" u="1"/>
        <s v="https://analytics.zoho.com/open-view/2395394000008161223?ZOHO_CRITERIA=%22Localiza%20Chile%22.%22Codcom%22%3D11301" u="1"/>
        <s v="https://analytics.zoho.com/open-view/2395394000008161224?ZOHO_CRITERIA=%22Localiza%20Chile%22.%22Codcom%22%3D11301" u="1"/>
        <s v="https://analytics.zoho.com/open-view/2395394000008161225?ZOHO_CRITERIA=%22Localiza%20Chile%22.%22Codcom%22%3D11301" u="1"/>
        <s v="https://analytics.zoho.com/open-view/2395394000008161226?ZOHO_CRITERIA=%22Localiza%20Chile%22.%22Codcom%22%3D11301" u="1"/>
        <s v="https://analytics.zoho.com/open-view/2395394000008161227?ZOHO_CRITERIA=%22Localiza%20Chile%22.%22Codcom%22%3D11301" u="1"/>
        <s v="https://analytics.zoho.com/open-view/2395394000008161228?ZOHO_CRITERIA=%22Localiza%20Chile%22.%22Codcom%22%3D11301" u="1"/>
        <s v="https://analytics.zoho.com/open-view/2395394000008161229?ZOHO_CRITERIA=%22Localiza%20Chile%22.%22Codcom%22%3D11301" u="1"/>
        <s v="https://analytics.zoho.com/open-view/2395394000008161231?ZOHO_CRITERIA=%22Localiza%20Chile%22.%22Codcom%22%3D11301" u="1"/>
        <s v="https://analytics.zoho.com/open-view/2395394000008161200?ZOHO_CRITERIA=%22Localiza%20Chile%22.%22Codreg%22%3D12" u="1"/>
        <s v="https://analytics.zoho.com/open-view/2395394000008161201?ZOHO_CRITERIA=%22Localiza%20Chile%22.%22Codreg%22%3D12" u="1"/>
        <s v="https://analytics.zoho.com/open-view/2395394000008161202?ZOHO_CRITERIA=%22Localiza%20Chile%22.%22Codreg%22%3D12" u="1"/>
        <s v="https://analytics.zoho.com/open-view/2395394000008161203?ZOHO_CRITERIA=%22Localiza%20Chile%22.%22Codreg%22%3D12" u="1"/>
        <s v="https://analytics.zoho.com/open-view/2395394000008161204?ZOHO_CRITERIA=%22Localiza%20Chile%22.%22Codreg%22%3D12" u="1"/>
        <s v="https://analytics.zoho.com/open-view/2395394000008161205?ZOHO_CRITERIA=%22Localiza%20Chile%22.%22Codreg%22%3D12" u="1"/>
        <s v="https://analytics.zoho.com/open-view/2395394000008161206?ZOHO_CRITERIA=%22Localiza%20Chile%22.%22Codreg%22%3D12" u="1"/>
        <s v="https://analytics.zoho.com/open-view/2395394000008161207?ZOHO_CRITERIA=%22Localiza%20Chile%22.%22Codreg%22%3D12" u="1"/>
        <s v="https://analytics.zoho.com/open-view/2395394000008161208?ZOHO_CRITERIA=%22Localiza%20Chile%22.%22Codreg%22%3D12" u="1"/>
        <s v="https://analytics.zoho.com/open-view/2395394000008161209?ZOHO_CRITERIA=%22Localiza%20Chile%22.%22Codreg%22%3D12" u="1"/>
        <s v="https://analytics.zoho.com/open-view/2395394000008161214?ZOHO_CRITERIA=%22Localiza%20Chile%22.%22Codreg%22%3D12" u="1"/>
        <s v="https://analytics.zoho.com/open-view/2395394000008161220?ZOHO_CRITERIA=%22Localiza%20Chile%22.%22Codcom%22%3D12101" u="1"/>
        <s v="https://analytics.zoho.com/open-view/2395394000008161221?ZOHO_CRITERIA=%22Localiza%20Chile%22.%22Codcom%22%3D12101" u="1"/>
        <s v="https://analytics.zoho.com/open-view/2395394000008161222?ZOHO_CRITERIA=%22Localiza%20Chile%22.%22Codcom%22%3D12101" u="1"/>
        <s v="https://analytics.zoho.com/open-view/2395394000008161223?ZOHO_CRITERIA=%22Localiza%20Chile%22.%22Codcom%22%3D12101" u="1"/>
        <s v="https://analytics.zoho.com/open-view/2395394000008161224?ZOHO_CRITERIA=%22Localiza%20Chile%22.%22Codcom%22%3D12101" u="1"/>
        <s v="https://analytics.zoho.com/open-view/2395394000008161225?ZOHO_CRITERIA=%22Localiza%20Chile%22.%22Codcom%22%3D12101" u="1"/>
        <s v="https://analytics.zoho.com/open-view/2395394000008161226?ZOHO_CRITERIA=%22Localiza%20Chile%22.%22Codcom%22%3D12101" u="1"/>
        <s v="https://analytics.zoho.com/open-view/2395394000008161227?ZOHO_CRITERIA=%22Localiza%20Chile%22.%22Codcom%22%3D12101" u="1"/>
        <s v="https://analytics.zoho.com/open-view/2395394000008161228?ZOHO_CRITERIA=%22Localiza%20Chile%22.%22Codcom%22%3D12101" u="1"/>
        <s v="https://analytics.zoho.com/open-view/2395394000008161229?ZOHO_CRITERIA=%22Localiza%20Chile%22.%22Codcom%22%3D12101" u="1"/>
        <s v="https://analytics.zoho.com/open-view/2395394000008161231?ZOHO_CRITERIA=%22Localiza%20Chile%22.%22Codcom%22%3D12101" u="1"/>
        <s v="https://analytics.zoho.com/open-view/2395394000008161220?ZOHO_CRITERIA=%22Localiza%20Chile%22.%22Codcom%22%3D11302" u="1"/>
        <s v="https://analytics.zoho.com/open-view/2395394000008161221?ZOHO_CRITERIA=%22Localiza%20Chile%22.%22Codcom%22%3D11302" u="1"/>
        <s v="https://analytics.zoho.com/open-view/2395394000008161222?ZOHO_CRITERIA=%22Localiza%20Chile%22.%22Codcom%22%3D11302" u="1"/>
        <s v="https://analytics.zoho.com/open-view/2395394000008161223?ZOHO_CRITERIA=%22Localiza%20Chile%22.%22Codcom%22%3D11302" u="1"/>
        <s v="https://analytics.zoho.com/open-view/2395394000008161224?ZOHO_CRITERIA=%22Localiza%20Chile%22.%22Codcom%22%3D11302" u="1"/>
        <s v="https://analytics.zoho.com/open-view/2395394000008161225?ZOHO_CRITERIA=%22Localiza%20Chile%22.%22Codcom%22%3D11302" u="1"/>
        <s v="https://analytics.zoho.com/open-view/2395394000008161226?ZOHO_CRITERIA=%22Localiza%20Chile%22.%22Codcom%22%3D11302" u="1"/>
        <s v="https://analytics.zoho.com/open-view/2395394000008161227?ZOHO_CRITERIA=%22Localiza%20Chile%22.%22Codcom%22%3D11302" u="1"/>
        <s v="https://analytics.zoho.com/open-view/2395394000008161228?ZOHO_CRITERIA=%22Localiza%20Chile%22.%22Codcom%22%3D11302" u="1"/>
        <s v="https://analytics.zoho.com/open-view/2395394000008161229?ZOHO_CRITERIA=%22Localiza%20Chile%22.%22Codcom%22%3D11302" u="1"/>
        <s v="https://analytics.zoho.com/open-view/2395394000008161231?ZOHO_CRITERIA=%22Localiza%20Chile%22.%22Codcom%22%3D11302" u="1"/>
        <s v="https://analytics.zoho.com/open-view/2395394000008161200?ZOHO_CRITERIA=%22Localiza%20Chile%22.%22Codreg%22%3D16" u="1"/>
        <s v="https://analytics.zoho.com/open-view/2395394000008161201?ZOHO_CRITERIA=%22Localiza%20Chile%22.%22Codreg%22%3D16" u="1"/>
        <s v="https://analytics.zoho.com/open-view/2395394000008161202?ZOHO_CRITERIA=%22Localiza%20Chile%22.%22Codreg%22%3D16" u="1"/>
        <s v="https://analytics.zoho.com/open-view/2395394000008161203?ZOHO_CRITERIA=%22Localiza%20Chile%22.%22Codreg%22%3D16" u="1"/>
        <s v="https://analytics.zoho.com/open-view/2395394000008161204?ZOHO_CRITERIA=%22Localiza%20Chile%22.%22Codreg%22%3D16" u="1"/>
        <s v="https://analytics.zoho.com/open-view/2395394000008161205?ZOHO_CRITERIA=%22Localiza%20Chile%22.%22Codreg%22%3D16" u="1"/>
        <s v="https://analytics.zoho.com/open-view/2395394000008161206?ZOHO_CRITERIA=%22Localiza%20Chile%22.%22Codreg%22%3D16" u="1"/>
        <s v="https://analytics.zoho.com/open-view/2395394000008161207?ZOHO_CRITERIA=%22Localiza%20Chile%22.%22Codreg%22%3D16" u="1"/>
        <s v="https://analytics.zoho.com/open-view/2395394000008161208?ZOHO_CRITERIA=%22Localiza%20Chile%22.%22Codreg%22%3D16" u="1"/>
        <s v="https://analytics.zoho.com/open-view/2395394000008161209?ZOHO_CRITERIA=%22Localiza%20Chile%22.%22Codreg%22%3D16" u="1"/>
        <s v="https://analytics.zoho.com/open-view/2395394000008161214?ZOHO_CRITERIA=%22Localiza%20Chile%22.%22Codreg%22%3D16" u="1"/>
        <s v="https://analytics.zoho.com/open-view/2395394000008161220?ZOHO_CRITERIA=%22Localiza%20Chile%22.%22Codcom%22%3D16101" u="1"/>
        <s v="https://analytics.zoho.com/open-view/2395394000008161221?ZOHO_CRITERIA=%22Localiza%20Chile%22.%22Codcom%22%3D16101" u="1"/>
        <s v="https://analytics.zoho.com/open-view/2395394000008161222?ZOHO_CRITERIA=%22Localiza%20Chile%22.%22Codcom%22%3D16101" u="1"/>
        <s v="https://analytics.zoho.com/open-view/2395394000008161223?ZOHO_CRITERIA=%22Localiza%20Chile%22.%22Codcom%22%3D16101" u="1"/>
        <s v="https://analytics.zoho.com/open-view/2395394000008161224?ZOHO_CRITERIA=%22Localiza%20Chile%22.%22Codcom%22%3D16101" u="1"/>
        <s v="https://analytics.zoho.com/open-view/2395394000008161225?ZOHO_CRITERIA=%22Localiza%20Chile%22.%22Codcom%22%3D16101" u="1"/>
        <s v="https://analytics.zoho.com/open-view/2395394000008161226?ZOHO_CRITERIA=%22Localiza%20Chile%22.%22Codcom%22%3D16101" u="1"/>
        <s v="https://analytics.zoho.com/open-view/2395394000008161227?ZOHO_CRITERIA=%22Localiza%20Chile%22.%22Codcom%22%3D16101" u="1"/>
        <s v="https://analytics.zoho.com/open-view/2395394000008161228?ZOHO_CRITERIA=%22Localiza%20Chile%22.%22Codcom%22%3D16101" u="1"/>
        <s v="https://analytics.zoho.com/open-view/2395394000008161229?ZOHO_CRITERIA=%22Localiza%20Chile%22.%22Codcom%22%3D16101" u="1"/>
        <s v="https://analytics.zoho.com/open-view/2395394000008161231?ZOHO_CRITERIA=%22Localiza%20Chile%22.%22Codcom%22%3D16101" u="1"/>
        <s v="https://analytics.zoho.com/open-view/2395394000008161220?ZOHO_CRITERIA=%22Localiza%20Chile%22.%22Codcom%22%3D12102" u="1"/>
        <s v="https://analytics.zoho.com/open-view/2395394000008161221?ZOHO_CRITERIA=%22Localiza%20Chile%22.%22Codcom%22%3D12102" u="1"/>
        <s v="https://analytics.zoho.com/open-view/2395394000008161222?ZOHO_CRITERIA=%22Localiza%20Chile%22.%22Codcom%22%3D12102" u="1"/>
        <s v="https://analytics.zoho.com/open-view/2395394000008161223?ZOHO_CRITERIA=%22Localiza%20Chile%22.%22Codcom%22%3D12102" u="1"/>
        <s v="https://analytics.zoho.com/open-view/2395394000008161224?ZOHO_CRITERIA=%22Localiza%20Chile%22.%22Codcom%22%3D12102" u="1"/>
        <s v="https://analytics.zoho.com/open-view/2395394000008161225?ZOHO_CRITERIA=%22Localiza%20Chile%22.%22Codcom%22%3D12102" u="1"/>
        <s v="https://analytics.zoho.com/open-view/2395394000008161226?ZOHO_CRITERIA=%22Localiza%20Chile%22.%22Codcom%22%3D12102" u="1"/>
        <s v="https://analytics.zoho.com/open-view/2395394000008161227?ZOHO_CRITERIA=%22Localiza%20Chile%22.%22Codcom%22%3D12102" u="1"/>
        <s v="https://analytics.zoho.com/open-view/2395394000008161228?ZOHO_CRITERIA=%22Localiza%20Chile%22.%22Codcom%22%3D12102" u="1"/>
        <s v="https://analytics.zoho.com/open-view/2395394000008161229?ZOHO_CRITERIA=%22Localiza%20Chile%22.%22Codcom%22%3D12102" u="1"/>
        <s v="https://analytics.zoho.com/open-view/2395394000008161231?ZOHO_CRITERIA=%22Localiza%20Chile%22.%22Codcom%22%3D12102" u="1"/>
        <s v="https://analytics.zoho.com/open-view/2395394000008161220?ZOHO_CRITERIA=%22Localiza%20Chile%22.%22Codcom%22%3D11303" u="1"/>
        <s v="https://analytics.zoho.com/open-view/2395394000008161221?ZOHO_CRITERIA=%22Localiza%20Chile%22.%22Codcom%22%3D11303" u="1"/>
        <s v="https://analytics.zoho.com/open-view/2395394000008161222?ZOHO_CRITERIA=%22Localiza%20Chile%22.%22Codcom%22%3D11303" u="1"/>
        <s v="https://analytics.zoho.com/open-view/2395394000008161223?ZOHO_CRITERIA=%22Localiza%20Chile%22.%22Codcom%22%3D11303" u="1"/>
        <s v="https://analytics.zoho.com/open-view/2395394000008161224?ZOHO_CRITERIA=%22Localiza%20Chile%22.%22Codcom%22%3D11303" u="1"/>
        <s v="https://analytics.zoho.com/open-view/2395394000008161225?ZOHO_CRITERIA=%22Localiza%20Chile%22.%22Codcom%22%3D11303" u="1"/>
        <s v="https://analytics.zoho.com/open-view/2395394000008161226?ZOHO_CRITERIA=%22Localiza%20Chile%22.%22Codcom%22%3D11303" u="1"/>
        <s v="https://analytics.zoho.com/open-view/2395394000008161227?ZOHO_CRITERIA=%22Localiza%20Chile%22.%22Codcom%22%3D11303" u="1"/>
        <s v="https://analytics.zoho.com/open-view/2395394000008161228?ZOHO_CRITERIA=%22Localiza%20Chile%22.%22Codcom%22%3D11303" u="1"/>
        <s v="https://analytics.zoho.com/open-view/2395394000008161229?ZOHO_CRITERIA=%22Localiza%20Chile%22.%22Codcom%22%3D11303" u="1"/>
        <s v="https://analytics.zoho.com/open-view/2395394000008161231?ZOHO_CRITERIA=%22Localiza%20Chile%22.%22Codcom%22%3D11303" u="1"/>
        <s v="https://analytics.zoho.com/open-view/2395394000008161220?ZOHO_CRITERIA=%22Localiza%20Chile%22.%22Codcom%22%3D1101" u="1"/>
        <s v="https://analytics.zoho.com/open-view/2395394000008161221?ZOHO_CRITERIA=%22Localiza%20Chile%22.%22Codcom%22%3D1101" u="1"/>
        <s v="https://analytics.zoho.com/open-view/2395394000008161222?ZOHO_CRITERIA=%22Localiza%20Chile%22.%22Codcom%22%3D1101" u="1"/>
        <s v="https://analytics.zoho.com/open-view/2395394000008161223?ZOHO_CRITERIA=%22Localiza%20Chile%22.%22Codcom%22%3D1101" u="1"/>
        <s v="https://analytics.zoho.com/open-view/2395394000008161224?ZOHO_CRITERIA=%22Localiza%20Chile%22.%22Codcom%22%3D1101" u="1"/>
        <s v="https://analytics.zoho.com/open-view/2395394000008161225?ZOHO_CRITERIA=%22Localiza%20Chile%22.%22Codcom%22%3D1101" u="1"/>
        <s v="https://analytics.zoho.com/open-view/2395394000008161226?ZOHO_CRITERIA=%22Localiza%20Chile%22.%22Codcom%22%3D1101" u="1"/>
        <s v="https://analytics.zoho.com/open-view/2395394000008161227?ZOHO_CRITERIA=%22Localiza%20Chile%22.%22Codcom%22%3D1101" u="1"/>
        <s v="https://analytics.zoho.com/open-view/2395394000008161228?ZOHO_CRITERIA=%22Localiza%20Chile%22.%22Codcom%22%3D1101" u="1"/>
        <s v="https://analytics.zoho.com/open-view/2395394000008161229?ZOHO_CRITERIA=%22Localiza%20Chile%22.%22Codcom%22%3D1101" u="1"/>
        <s v="https://analytics.zoho.com/open-view/2395394000008161231?ZOHO_CRITERIA=%22Localiza%20Chile%22.%22Codcom%22%3D1101" u="1"/>
        <s v="https://analytics.zoho.com/open-view/2395394000008161220?ZOHO_CRITERIA=%22Localiza%20Chile%22.%22Codcom%22%3D1107" u="1"/>
        <s v="https://analytics.zoho.com/open-view/2395394000008161221?ZOHO_CRITERIA=%22Localiza%20Chile%22.%22Codcom%22%3D1107" u="1"/>
        <s v="https://analytics.zoho.com/open-view/2395394000008161222?ZOHO_CRITERIA=%22Localiza%20Chile%22.%22Codcom%22%3D1107" u="1"/>
        <s v="https://analytics.zoho.com/open-view/2395394000008161223?ZOHO_CRITERIA=%22Localiza%20Chile%22.%22Codcom%22%3D1107" u="1"/>
        <s v="https://analytics.zoho.com/open-view/2395394000008161224?ZOHO_CRITERIA=%22Localiza%20Chile%22.%22Codcom%22%3D1107" u="1"/>
        <s v="https://analytics.zoho.com/open-view/2395394000008161225?ZOHO_CRITERIA=%22Localiza%20Chile%22.%22Codcom%22%3D1107" u="1"/>
        <s v="https://analytics.zoho.com/open-view/2395394000008161226?ZOHO_CRITERIA=%22Localiza%20Chile%22.%22Codcom%22%3D1107" u="1"/>
        <s v="https://analytics.zoho.com/open-view/2395394000008161227?ZOHO_CRITERIA=%22Localiza%20Chile%22.%22Codcom%22%3D1107" u="1"/>
        <s v="https://analytics.zoho.com/open-view/2395394000008161228?ZOHO_CRITERIA=%22Localiza%20Chile%22.%22Codcom%22%3D1107" u="1"/>
        <s v="https://analytics.zoho.com/open-view/2395394000008161229?ZOHO_CRITERIA=%22Localiza%20Chile%22.%22Codcom%22%3D1107" u="1"/>
        <s v="https://analytics.zoho.com/open-view/2395394000008161231?ZOHO_CRITERIA=%22Localiza%20Chile%22.%22Codcom%22%3D1107" u="1"/>
        <s v="https://analytics.zoho.com/open-view/2395394000008161220?ZOHO_CRITERIA=%22Localiza%20Chile%22.%22Codcom%22%3D16102" u="1"/>
        <s v="https://analytics.zoho.com/open-view/2395394000008161221?ZOHO_CRITERIA=%22Localiza%20Chile%22.%22Codcom%22%3D16102" u="1"/>
        <s v="https://analytics.zoho.com/open-view/2395394000008161222?ZOHO_CRITERIA=%22Localiza%20Chile%22.%22Codcom%22%3D16102" u="1"/>
        <s v="https://analytics.zoho.com/open-view/2395394000008161223?ZOHO_CRITERIA=%22Localiza%20Chile%22.%22Codcom%22%3D16102" u="1"/>
        <s v="https://analytics.zoho.com/open-view/2395394000008161224?ZOHO_CRITERIA=%22Localiza%20Chile%22.%22Codcom%22%3D16102" u="1"/>
        <s v="https://analytics.zoho.com/open-view/2395394000008161225?ZOHO_CRITERIA=%22Localiza%20Chile%22.%22Codcom%22%3D16102" u="1"/>
        <s v="https://analytics.zoho.com/open-view/2395394000008161226?ZOHO_CRITERIA=%22Localiza%20Chile%22.%22Codcom%22%3D16102" u="1"/>
        <s v="https://analytics.zoho.com/open-view/2395394000008161227?ZOHO_CRITERIA=%22Localiza%20Chile%22.%22Codcom%22%3D16102" u="1"/>
        <s v="https://analytics.zoho.com/open-view/2395394000008161228?ZOHO_CRITERIA=%22Localiza%20Chile%22.%22Codcom%22%3D16102" u="1"/>
        <s v="https://analytics.zoho.com/open-view/2395394000008161229?ZOHO_CRITERIA=%22Localiza%20Chile%22.%22Codcom%22%3D16102" u="1"/>
        <s v="https://analytics.zoho.com/open-view/2395394000008161231?ZOHO_CRITERIA=%22Localiza%20Chile%22.%22Codcom%22%3D16102" u="1"/>
        <s v="https://analytics.zoho.com/open-view/2395394000008161220?ZOHO_CRITERIA=%22Localiza%20Chile%22.%22Codcom%22%3D12103" u="1"/>
        <s v="https://analytics.zoho.com/open-view/2395394000008161221?ZOHO_CRITERIA=%22Localiza%20Chile%22.%22Codcom%22%3D12103" u="1"/>
        <s v="https://analytics.zoho.com/open-view/2395394000008161222?ZOHO_CRITERIA=%22Localiza%20Chile%22.%22Codcom%22%3D12103" u="1"/>
        <s v="https://analytics.zoho.com/open-view/2395394000008161223?ZOHO_CRITERIA=%22Localiza%20Chile%22.%22Codcom%22%3D12103" u="1"/>
        <s v="https://analytics.zoho.com/open-view/2395394000008161224?ZOHO_CRITERIA=%22Localiza%20Chile%22.%22Codcom%22%3D12103" u="1"/>
        <s v="https://analytics.zoho.com/open-view/2395394000008161225?ZOHO_CRITERIA=%22Localiza%20Chile%22.%22Codcom%22%3D12103" u="1"/>
        <s v="https://analytics.zoho.com/open-view/2395394000008161226?ZOHO_CRITERIA=%22Localiza%20Chile%22.%22Codcom%22%3D12103" u="1"/>
        <s v="https://analytics.zoho.com/open-view/2395394000008161227?ZOHO_CRITERIA=%22Localiza%20Chile%22.%22Codcom%22%3D12103" u="1"/>
        <s v="https://analytics.zoho.com/open-view/2395394000008161228?ZOHO_CRITERIA=%22Localiza%20Chile%22.%22Codcom%22%3D12103" u="1"/>
        <s v="https://analytics.zoho.com/open-view/2395394000008161229?ZOHO_CRITERIA=%22Localiza%20Chile%22.%22Codcom%22%3D12103" u="1"/>
        <s v="https://analytics.zoho.com/open-view/2395394000008161231?ZOHO_CRITERIA=%22Localiza%20Chile%22.%22Codcom%22%3D12103" u="1"/>
        <s v="https://analytics.zoho.com/open-view/2395394000008161220?ZOHO_CRITERIA=%22Localiza%20Chile%22.%22Codcom%22%3D2101" u="1"/>
        <s v="https://analytics.zoho.com/open-view/2395394000008161221?ZOHO_CRITERIA=%22Localiza%20Chile%22.%22Codcom%22%3D2101" u="1"/>
        <s v="https://analytics.zoho.com/open-view/2395394000008161222?ZOHO_CRITERIA=%22Localiza%20Chile%22.%22Codcom%22%3D2101" u="1"/>
        <s v="https://analytics.zoho.com/open-view/2395394000008161223?ZOHO_CRITERIA=%22Localiza%20Chile%22.%22Codcom%22%3D2101" u="1"/>
        <s v="https://analytics.zoho.com/open-view/2395394000008161224?ZOHO_CRITERIA=%22Localiza%20Chile%22.%22Codcom%22%3D2101" u="1"/>
        <s v="https://analytics.zoho.com/open-view/2395394000008161225?ZOHO_CRITERIA=%22Localiza%20Chile%22.%22Codcom%22%3D2101" u="1"/>
        <s v="https://analytics.zoho.com/open-view/2395394000008161226?ZOHO_CRITERIA=%22Localiza%20Chile%22.%22Codcom%22%3D2101" u="1"/>
        <s v="https://analytics.zoho.com/open-view/2395394000008161227?ZOHO_CRITERIA=%22Localiza%20Chile%22.%22Codcom%22%3D2101" u="1"/>
        <s v="https://analytics.zoho.com/open-view/2395394000008161228?ZOHO_CRITERIA=%22Localiza%20Chile%22.%22Codcom%22%3D2101" u="1"/>
        <s v="https://analytics.zoho.com/open-view/2395394000008161229?ZOHO_CRITERIA=%22Localiza%20Chile%22.%22Codcom%22%3D2101" u="1"/>
        <s v="https://analytics.zoho.com/open-view/2395394000008161231?ZOHO_CRITERIA=%22Localiza%20Chile%22.%22Codcom%22%3D2101" u="1"/>
        <s v="https://analytics.zoho.com/open-view/2395394000008161220?ZOHO_CRITERIA=%22Localiza%20Chile%22.%22Codcom%22%3D2102" u="1"/>
        <s v="https://analytics.zoho.com/open-view/2395394000008161221?ZOHO_CRITERIA=%22Localiza%20Chile%22.%22Codcom%22%3D2102" u="1"/>
        <s v="https://analytics.zoho.com/open-view/2395394000008161222?ZOHO_CRITERIA=%22Localiza%20Chile%22.%22Codcom%22%3D2102" u="1"/>
        <s v="https://analytics.zoho.com/open-view/2395394000008161223?ZOHO_CRITERIA=%22Localiza%20Chile%22.%22Codcom%22%3D2102" u="1"/>
        <s v="https://analytics.zoho.com/open-view/2395394000008161224?ZOHO_CRITERIA=%22Localiza%20Chile%22.%22Codcom%22%3D2102" u="1"/>
        <s v="https://analytics.zoho.com/open-view/2395394000008161225?ZOHO_CRITERIA=%22Localiza%20Chile%22.%22Codcom%22%3D2102" u="1"/>
        <s v="https://analytics.zoho.com/open-view/2395394000008161226?ZOHO_CRITERIA=%22Localiza%20Chile%22.%22Codcom%22%3D2102" u="1"/>
        <s v="https://analytics.zoho.com/open-view/2395394000008161227?ZOHO_CRITERIA=%22Localiza%20Chile%22.%22Codcom%22%3D2102" u="1"/>
        <s v="https://analytics.zoho.com/open-view/2395394000008161228?ZOHO_CRITERIA=%22Localiza%20Chile%22.%22Codcom%22%3D2102" u="1"/>
        <s v="https://analytics.zoho.com/open-view/2395394000008161229?ZOHO_CRITERIA=%22Localiza%20Chile%22.%22Codcom%22%3D2102" u="1"/>
        <s v="https://analytics.zoho.com/open-view/2395394000008161231?ZOHO_CRITERIA=%22Localiza%20Chile%22.%22Codcom%22%3D2102" u="1"/>
        <s v="https://analytics.zoho.com/open-view/2395394000008161220?ZOHO_CRITERIA=%22Localiza%20Chile%22.%22Codcom%22%3D2103" u="1"/>
        <s v="https://analytics.zoho.com/open-view/2395394000008161221?ZOHO_CRITERIA=%22Localiza%20Chile%22.%22Codcom%22%3D2103" u="1"/>
        <s v="https://analytics.zoho.com/open-view/2395394000008161222?ZOHO_CRITERIA=%22Localiza%20Chile%22.%22Codcom%22%3D2103" u="1"/>
        <s v="https://analytics.zoho.com/open-view/2395394000008161223?ZOHO_CRITERIA=%22Localiza%20Chile%22.%22Codcom%22%3D2103" u="1"/>
        <s v="https://analytics.zoho.com/open-view/2395394000008161224?ZOHO_CRITERIA=%22Localiza%20Chile%22.%22Codcom%22%3D2103" u="1"/>
        <s v="https://analytics.zoho.com/open-view/2395394000008161225?ZOHO_CRITERIA=%22Localiza%20Chile%22.%22Codcom%22%3D2103" u="1"/>
        <s v="https://analytics.zoho.com/open-view/2395394000008161226?ZOHO_CRITERIA=%22Localiza%20Chile%22.%22Codcom%22%3D2103" u="1"/>
        <s v="https://analytics.zoho.com/open-view/2395394000008161227?ZOHO_CRITERIA=%22Localiza%20Chile%22.%22Codcom%22%3D2103" u="1"/>
        <s v="https://analytics.zoho.com/open-view/2395394000008161228?ZOHO_CRITERIA=%22Localiza%20Chile%22.%22Codcom%22%3D2103" u="1"/>
        <s v="https://analytics.zoho.com/open-view/2395394000008161229?ZOHO_CRITERIA=%22Localiza%20Chile%22.%22Codcom%22%3D2103" u="1"/>
        <s v="https://analytics.zoho.com/open-view/2395394000008161231?ZOHO_CRITERIA=%22Localiza%20Chile%22.%22Codcom%22%3D2103" u="1"/>
        <s v="https://analytics.zoho.com/open-view/2395394000008161220?ZOHO_CRITERIA=%22Localiza%20Chile%22.%22Codcom%22%3D2104" u="1"/>
        <s v="https://analytics.zoho.com/open-view/2395394000008161221?ZOHO_CRITERIA=%22Localiza%20Chile%22.%22Codcom%22%3D2104" u="1"/>
        <s v="https://analytics.zoho.com/open-view/2395394000008161222?ZOHO_CRITERIA=%22Localiza%20Chile%22.%22Codcom%22%3D2104" u="1"/>
        <s v="https://analytics.zoho.com/open-view/2395394000008161223?ZOHO_CRITERIA=%22Localiza%20Chile%22.%22Codcom%22%3D2104" u="1"/>
        <s v="https://analytics.zoho.com/open-view/2395394000008161224?ZOHO_CRITERIA=%22Localiza%20Chile%22.%22Codcom%22%3D2104" u="1"/>
        <s v="https://analytics.zoho.com/open-view/2395394000008161225?ZOHO_CRITERIA=%22Localiza%20Chile%22.%22Codcom%22%3D2104" u="1"/>
        <s v="https://analytics.zoho.com/open-view/2395394000008161226?ZOHO_CRITERIA=%22Localiza%20Chile%22.%22Codcom%22%3D2104" u="1"/>
        <s v="https://analytics.zoho.com/open-view/2395394000008161227?ZOHO_CRITERIA=%22Localiza%20Chile%22.%22Codcom%22%3D2104" u="1"/>
        <s v="https://analytics.zoho.com/open-view/2395394000008161228?ZOHO_CRITERIA=%22Localiza%20Chile%22.%22Codcom%22%3D2104" u="1"/>
        <s v="https://analytics.zoho.com/open-view/2395394000008161229?ZOHO_CRITERIA=%22Localiza%20Chile%22.%22Codcom%22%3D2104" u="1"/>
        <s v="https://analytics.zoho.com/open-view/2395394000008161231?ZOHO_CRITERIA=%22Localiza%20Chile%22.%22Codcom%22%3D2104" u="1"/>
        <s v="https://analytics.zoho.com/open-view/2395394000008161220?ZOHO_CRITERIA=%22Localiza%20Chile%22.%22Codcom%22%3D3101" u="1"/>
        <s v="https://analytics.zoho.com/open-view/2395394000008161221?ZOHO_CRITERIA=%22Localiza%20Chile%22.%22Codcom%22%3D3101" u="1"/>
        <s v="https://analytics.zoho.com/open-view/2395394000008161222?ZOHO_CRITERIA=%22Localiza%20Chile%22.%22Codcom%22%3D3101" u="1"/>
        <s v="https://analytics.zoho.com/open-view/2395394000008161223?ZOHO_CRITERIA=%22Localiza%20Chile%22.%22Codcom%22%3D3101" u="1"/>
        <s v="https://analytics.zoho.com/open-view/2395394000008161224?ZOHO_CRITERIA=%22Localiza%20Chile%22.%22Codcom%22%3D3101" u="1"/>
        <s v="https://analytics.zoho.com/open-view/2395394000008161225?ZOHO_CRITERIA=%22Localiza%20Chile%22.%22Codcom%22%3D3101" u="1"/>
        <s v="https://analytics.zoho.com/open-view/2395394000008161226?ZOHO_CRITERIA=%22Localiza%20Chile%22.%22Codcom%22%3D3101" u="1"/>
        <s v="https://analytics.zoho.com/open-view/2395394000008161227?ZOHO_CRITERIA=%22Localiza%20Chile%22.%22Codcom%22%3D3101" u="1"/>
        <s v="https://analytics.zoho.com/open-view/2395394000008161228?ZOHO_CRITERIA=%22Localiza%20Chile%22.%22Codcom%22%3D3101" u="1"/>
        <s v="https://analytics.zoho.com/open-view/2395394000008161229?ZOHO_CRITERIA=%22Localiza%20Chile%22.%22Codcom%22%3D3101" u="1"/>
        <s v="https://analytics.zoho.com/open-view/2395394000008161231?ZOHO_CRITERIA=%22Localiza%20Chile%22.%22Codcom%22%3D3101" u="1"/>
        <s v="https://analytics.zoho.com/open-view/2395394000008161220?ZOHO_CRITERIA=%22Localiza%20Chile%22.%22Codcom%22%3D3102" u="1"/>
        <s v="https://analytics.zoho.com/open-view/2395394000008161221?ZOHO_CRITERIA=%22Localiza%20Chile%22.%22Codcom%22%3D3102" u="1"/>
        <s v="https://analytics.zoho.com/open-view/2395394000008161222?ZOHO_CRITERIA=%22Localiza%20Chile%22.%22Codcom%22%3D3102" u="1"/>
        <s v="https://analytics.zoho.com/open-view/2395394000008161223?ZOHO_CRITERIA=%22Localiza%20Chile%22.%22Codcom%22%3D3102" u="1"/>
        <s v="https://analytics.zoho.com/open-view/2395394000008161224?ZOHO_CRITERIA=%22Localiza%20Chile%22.%22Codcom%22%3D3102" u="1"/>
        <s v="https://analytics.zoho.com/open-view/2395394000008161225?ZOHO_CRITERIA=%22Localiza%20Chile%22.%22Codcom%22%3D3102" u="1"/>
        <s v="https://analytics.zoho.com/open-view/2395394000008161226?ZOHO_CRITERIA=%22Localiza%20Chile%22.%22Codcom%22%3D3102" u="1"/>
        <s v="https://analytics.zoho.com/open-view/2395394000008161227?ZOHO_CRITERIA=%22Localiza%20Chile%22.%22Codcom%22%3D3102" u="1"/>
        <s v="https://analytics.zoho.com/open-view/2395394000008161228?ZOHO_CRITERIA=%22Localiza%20Chile%22.%22Codcom%22%3D3102" u="1"/>
        <s v="https://analytics.zoho.com/open-view/2395394000008161229?ZOHO_CRITERIA=%22Localiza%20Chile%22.%22Codcom%22%3D3102" u="1"/>
        <s v="https://analytics.zoho.com/open-view/2395394000008161231?ZOHO_CRITERIA=%22Localiza%20Chile%22.%22Codcom%22%3D3102" u="1"/>
        <s v="https://analytics.zoho.com/open-view/2395394000008161220?ZOHO_CRITERIA=%22Localiza%20Chile%22.%22Codcom%22%3D3103" u="1"/>
        <s v="https://analytics.zoho.com/open-view/2395394000008161221?ZOHO_CRITERIA=%22Localiza%20Chile%22.%22Codcom%22%3D3103" u="1"/>
        <s v="https://analytics.zoho.com/open-view/2395394000008161222?ZOHO_CRITERIA=%22Localiza%20Chile%22.%22Codcom%22%3D3103" u="1"/>
        <s v="https://analytics.zoho.com/open-view/2395394000008161223?ZOHO_CRITERIA=%22Localiza%20Chile%22.%22Codcom%22%3D3103" u="1"/>
        <s v="https://analytics.zoho.com/open-view/2395394000008161224?ZOHO_CRITERIA=%22Localiza%20Chile%22.%22Codcom%22%3D3103" u="1"/>
        <s v="https://analytics.zoho.com/open-view/2395394000008161225?ZOHO_CRITERIA=%22Localiza%20Chile%22.%22Codcom%22%3D3103" u="1"/>
        <s v="https://analytics.zoho.com/open-view/2395394000008161226?ZOHO_CRITERIA=%22Localiza%20Chile%22.%22Codcom%22%3D3103" u="1"/>
        <s v="https://analytics.zoho.com/open-view/2395394000008161227?ZOHO_CRITERIA=%22Localiza%20Chile%22.%22Codcom%22%3D3103" u="1"/>
        <s v="https://analytics.zoho.com/open-view/2395394000008161228?ZOHO_CRITERIA=%22Localiza%20Chile%22.%22Codcom%22%3D3103" u="1"/>
        <s v="https://analytics.zoho.com/open-view/2395394000008161229?ZOHO_CRITERIA=%22Localiza%20Chile%22.%22Codcom%22%3D3103" u="1"/>
        <s v="https://analytics.zoho.com/open-view/2395394000008161231?ZOHO_CRITERIA=%22Localiza%20Chile%22.%22Codcom%22%3D3103" u="1"/>
        <s v="https://analytics.zoho.com/open-view/2395394000008161220?ZOHO_CRITERIA=%22Localiza%20Chile%22.%22Codcom%22%3D16103" u="1"/>
        <s v="https://analytics.zoho.com/open-view/2395394000008161221?ZOHO_CRITERIA=%22Localiza%20Chile%22.%22Codcom%22%3D16103" u="1"/>
        <s v="https://analytics.zoho.com/open-view/2395394000008161222?ZOHO_CRITERIA=%22Localiza%20Chile%22.%22Codcom%22%3D16103" u="1"/>
        <s v="https://analytics.zoho.com/open-view/2395394000008161223?ZOHO_CRITERIA=%22Localiza%20Chile%22.%22Codcom%22%3D16103" u="1"/>
        <s v="https://analytics.zoho.com/open-view/2395394000008161224?ZOHO_CRITERIA=%22Localiza%20Chile%22.%22Codcom%22%3D16103" u="1"/>
        <s v="https://analytics.zoho.com/open-view/2395394000008161225?ZOHO_CRITERIA=%22Localiza%20Chile%22.%22Codcom%22%3D16103" u="1"/>
        <s v="https://analytics.zoho.com/open-view/2395394000008161226?ZOHO_CRITERIA=%22Localiza%20Chile%22.%22Codcom%22%3D16103" u="1"/>
        <s v="https://analytics.zoho.com/open-view/2395394000008161227?ZOHO_CRITERIA=%22Localiza%20Chile%22.%22Codcom%22%3D16103" u="1"/>
        <s v="https://analytics.zoho.com/open-view/2395394000008161228?ZOHO_CRITERIA=%22Localiza%20Chile%22.%22Codcom%22%3D16103" u="1"/>
        <s v="https://analytics.zoho.com/open-view/2395394000008161229?ZOHO_CRITERIA=%22Localiza%20Chile%22.%22Codcom%22%3D16103" u="1"/>
        <s v="https://analytics.zoho.com/open-view/2395394000008161231?ZOHO_CRITERIA=%22Localiza%20Chile%22.%22Codcom%22%3D16103" u="1"/>
        <s v="https://analytics.zoho.com/open-view/2395394000008161220?ZOHO_CRITERIA=%22Localiza%20Chile%22.%22Codcom%22%3D12104" u="1"/>
        <s v="https://analytics.zoho.com/open-view/2395394000008161221?ZOHO_CRITERIA=%22Localiza%20Chile%22.%22Codcom%22%3D12104" u="1"/>
        <s v="https://analytics.zoho.com/open-view/2395394000008161222?ZOHO_CRITERIA=%22Localiza%20Chile%22.%22Codcom%22%3D12104" u="1"/>
        <s v="https://analytics.zoho.com/open-view/2395394000008161223?ZOHO_CRITERIA=%22Localiza%20Chile%22.%22Codcom%22%3D12104" u="1"/>
        <s v="https://analytics.zoho.com/open-view/2395394000008161224?ZOHO_CRITERIA=%22Localiza%20Chile%22.%22Codcom%22%3D12104" u="1"/>
        <s v="https://analytics.zoho.com/open-view/2395394000008161225?ZOHO_CRITERIA=%22Localiza%20Chile%22.%22Codcom%22%3D12104" u="1"/>
        <s v="https://analytics.zoho.com/open-view/2395394000008161226?ZOHO_CRITERIA=%22Localiza%20Chile%22.%22Codcom%22%3D12104" u="1"/>
        <s v="https://analytics.zoho.com/open-view/2395394000008161227?ZOHO_CRITERIA=%22Localiza%20Chile%22.%22Codcom%22%3D12104" u="1"/>
        <s v="https://analytics.zoho.com/open-view/2395394000008161228?ZOHO_CRITERIA=%22Localiza%20Chile%22.%22Codcom%22%3D12104" u="1"/>
        <s v="https://analytics.zoho.com/open-view/2395394000008161229?ZOHO_CRITERIA=%22Localiza%20Chile%22.%22Codcom%22%3D12104" u="1"/>
        <s v="https://analytics.zoho.com/open-view/2395394000008161231?ZOHO_CRITERIA=%22Localiza%20Chile%22.%22Codcom%22%3D12104" u="1"/>
        <s v="https://analytics.zoho.com/open-view/2395394000008161220?ZOHO_CRITERIA=%22Localiza%20Chile%22.%22Codcom%22%3D4101" u="1"/>
        <s v="https://analytics.zoho.com/open-view/2395394000008161221?ZOHO_CRITERIA=%22Localiza%20Chile%22.%22Codcom%22%3D4101" u="1"/>
        <s v="https://analytics.zoho.com/open-view/2395394000008161222?ZOHO_CRITERIA=%22Localiza%20Chile%22.%22Codcom%22%3D4101" u="1"/>
        <s v="https://analytics.zoho.com/open-view/2395394000008161223?ZOHO_CRITERIA=%22Localiza%20Chile%22.%22Codcom%22%3D4101" u="1"/>
        <s v="https://analytics.zoho.com/open-view/2395394000008161224?ZOHO_CRITERIA=%22Localiza%20Chile%22.%22Codcom%22%3D4101" u="1"/>
        <s v="https://analytics.zoho.com/open-view/2395394000008161225?ZOHO_CRITERIA=%22Localiza%20Chile%22.%22Codcom%22%3D4101" u="1"/>
        <s v="https://analytics.zoho.com/open-view/2395394000008161226?ZOHO_CRITERIA=%22Localiza%20Chile%22.%22Codcom%22%3D4101" u="1"/>
        <s v="https://analytics.zoho.com/open-view/2395394000008161227?ZOHO_CRITERIA=%22Localiza%20Chile%22.%22Codcom%22%3D4101" u="1"/>
        <s v="https://analytics.zoho.com/open-view/2395394000008161228?ZOHO_CRITERIA=%22Localiza%20Chile%22.%22Codcom%22%3D4101" u="1"/>
        <s v="https://analytics.zoho.com/open-view/2395394000008161229?ZOHO_CRITERIA=%22Localiza%20Chile%22.%22Codcom%22%3D4101" u="1"/>
        <s v="https://analytics.zoho.com/open-view/2395394000008161231?ZOHO_CRITERIA=%22Localiza%20Chile%22.%22Codcom%22%3D4101" u="1"/>
        <s v="https://analytics.zoho.com/open-view/2395394000008161220?ZOHO_CRITERIA=%22Localiza%20Chile%22.%22Codcom%22%3D4102" u="1"/>
        <s v="https://analytics.zoho.com/open-view/2395394000008161221?ZOHO_CRITERIA=%22Localiza%20Chile%22.%22Codcom%22%3D4102" u="1"/>
        <s v="https://analytics.zoho.com/open-view/2395394000008161222?ZOHO_CRITERIA=%22Localiza%20Chile%22.%22Codcom%22%3D4102" u="1"/>
        <s v="https://analytics.zoho.com/open-view/2395394000008161223?ZOHO_CRITERIA=%22Localiza%20Chile%22.%22Codcom%22%3D4102" u="1"/>
        <s v="https://analytics.zoho.com/open-view/2395394000008161224?ZOHO_CRITERIA=%22Localiza%20Chile%22.%22Codcom%22%3D4102" u="1"/>
        <s v="https://analytics.zoho.com/open-view/2395394000008161225?ZOHO_CRITERIA=%22Localiza%20Chile%22.%22Codcom%22%3D4102" u="1"/>
        <s v="https://analytics.zoho.com/open-view/2395394000008161226?ZOHO_CRITERIA=%22Localiza%20Chile%22.%22Codcom%22%3D4102" u="1"/>
        <s v="https://analytics.zoho.com/open-view/2395394000008161227?ZOHO_CRITERIA=%22Localiza%20Chile%22.%22Codcom%22%3D4102" u="1"/>
        <s v="https://analytics.zoho.com/open-view/2395394000008161228?ZOHO_CRITERIA=%22Localiza%20Chile%22.%22Codcom%22%3D4102" u="1"/>
        <s v="https://analytics.zoho.com/open-view/2395394000008161229?ZOHO_CRITERIA=%22Localiza%20Chile%22.%22Codcom%22%3D4102" u="1"/>
        <s v="https://analytics.zoho.com/open-view/2395394000008161231?ZOHO_CRITERIA=%22Localiza%20Chile%22.%22Codcom%22%3D4102" u="1"/>
        <s v="https://analytics.zoho.com/open-view/2395394000008161220?ZOHO_CRITERIA=%22Localiza%20Chile%22.%22Codcom%22%3D4103" u="1"/>
        <s v="https://analytics.zoho.com/open-view/2395394000008161221?ZOHO_CRITERIA=%22Localiza%20Chile%22.%22Codcom%22%3D4103" u="1"/>
        <s v="https://analytics.zoho.com/open-view/2395394000008161222?ZOHO_CRITERIA=%22Localiza%20Chile%22.%22Codcom%22%3D4103" u="1"/>
        <s v="https://analytics.zoho.com/open-view/2395394000008161223?ZOHO_CRITERIA=%22Localiza%20Chile%22.%22Codcom%22%3D4103" u="1"/>
        <s v="https://analytics.zoho.com/open-view/2395394000008161224?ZOHO_CRITERIA=%22Localiza%20Chile%22.%22Codcom%22%3D4103" u="1"/>
        <s v="https://analytics.zoho.com/open-view/2395394000008161225?ZOHO_CRITERIA=%22Localiza%20Chile%22.%22Codcom%22%3D4103" u="1"/>
        <s v="https://analytics.zoho.com/open-view/2395394000008161226?ZOHO_CRITERIA=%22Localiza%20Chile%22.%22Codcom%22%3D4103" u="1"/>
        <s v="https://analytics.zoho.com/open-view/2395394000008161227?ZOHO_CRITERIA=%22Localiza%20Chile%22.%22Codcom%22%3D4103" u="1"/>
        <s v="https://analytics.zoho.com/open-view/2395394000008161228?ZOHO_CRITERIA=%22Localiza%20Chile%22.%22Codcom%22%3D4103" u="1"/>
        <s v="https://analytics.zoho.com/open-view/2395394000008161229?ZOHO_CRITERIA=%22Localiza%20Chile%22.%22Codcom%22%3D4103" u="1"/>
        <s v="https://analytics.zoho.com/open-view/2395394000008161231?ZOHO_CRITERIA=%22Localiza%20Chile%22.%22Codcom%22%3D4103" u="1"/>
        <s v="https://analytics.zoho.com/open-view/2395394000008161220?ZOHO_CRITERIA=%22Localiza%20Chile%22.%22Codcom%22%3D4104" u="1"/>
        <s v="https://analytics.zoho.com/open-view/2395394000008161221?ZOHO_CRITERIA=%22Localiza%20Chile%22.%22Codcom%22%3D4104" u="1"/>
        <s v="https://analytics.zoho.com/open-view/2395394000008161222?ZOHO_CRITERIA=%22Localiza%20Chile%22.%22Codcom%22%3D4104" u="1"/>
        <s v="https://analytics.zoho.com/open-view/2395394000008161223?ZOHO_CRITERIA=%22Localiza%20Chile%22.%22Codcom%22%3D4104" u="1"/>
        <s v="https://analytics.zoho.com/open-view/2395394000008161224?ZOHO_CRITERIA=%22Localiza%20Chile%22.%22Codcom%22%3D4104" u="1"/>
        <s v="https://analytics.zoho.com/open-view/2395394000008161225?ZOHO_CRITERIA=%22Localiza%20Chile%22.%22Codcom%22%3D4104" u="1"/>
        <s v="https://analytics.zoho.com/open-view/2395394000008161226?ZOHO_CRITERIA=%22Localiza%20Chile%22.%22Codcom%22%3D4104" u="1"/>
        <s v="https://analytics.zoho.com/open-view/2395394000008161227?ZOHO_CRITERIA=%22Localiza%20Chile%22.%22Codcom%22%3D4104" u="1"/>
        <s v="https://analytics.zoho.com/open-view/2395394000008161228?ZOHO_CRITERIA=%22Localiza%20Chile%22.%22Codcom%22%3D4104" u="1"/>
        <s v="https://analytics.zoho.com/open-view/2395394000008161229?ZOHO_CRITERIA=%22Localiza%20Chile%22.%22Codcom%22%3D4104" u="1"/>
        <s v="https://analytics.zoho.com/open-view/2395394000008161231?ZOHO_CRITERIA=%22Localiza%20Chile%22.%22Codcom%22%3D4104" u="1"/>
        <s v="https://analytics.zoho.com/open-view/2395394000008161220?ZOHO_CRITERIA=%22Localiza%20Chile%22.%22Codcom%22%3D4105" u="1"/>
        <s v="https://analytics.zoho.com/open-view/2395394000008161221?ZOHO_CRITERIA=%22Localiza%20Chile%22.%22Codcom%22%3D4105" u="1"/>
        <s v="https://analytics.zoho.com/open-view/2395394000008161222?ZOHO_CRITERIA=%22Localiza%20Chile%22.%22Codcom%22%3D4105" u="1"/>
        <s v="https://analytics.zoho.com/open-view/2395394000008161223?ZOHO_CRITERIA=%22Localiza%20Chile%22.%22Codcom%22%3D4105" u="1"/>
        <s v="https://analytics.zoho.com/open-view/2395394000008161224?ZOHO_CRITERIA=%22Localiza%20Chile%22.%22Codcom%22%3D4105" u="1"/>
        <s v="https://analytics.zoho.com/open-view/2395394000008161225?ZOHO_CRITERIA=%22Localiza%20Chile%22.%22Codcom%22%3D4105" u="1"/>
        <s v="https://analytics.zoho.com/open-view/2395394000008161226?ZOHO_CRITERIA=%22Localiza%20Chile%22.%22Codcom%22%3D4105" u="1"/>
        <s v="https://analytics.zoho.com/open-view/2395394000008161227?ZOHO_CRITERIA=%22Localiza%20Chile%22.%22Codcom%22%3D4105" u="1"/>
        <s v="https://analytics.zoho.com/open-view/2395394000008161228?ZOHO_CRITERIA=%22Localiza%20Chile%22.%22Codcom%22%3D4105" u="1"/>
        <s v="https://analytics.zoho.com/open-view/2395394000008161229?ZOHO_CRITERIA=%22Localiza%20Chile%22.%22Codcom%22%3D4105" u="1"/>
        <s v="https://analytics.zoho.com/open-view/2395394000008161231?ZOHO_CRITERIA=%22Localiza%20Chile%22.%22Codcom%22%3D4105" u="1"/>
        <s v="https://analytics.zoho.com/open-view/2395394000008161220?ZOHO_CRITERIA=%22Localiza%20Chile%22.%22Codcom%22%3D4106" u="1"/>
        <s v="https://analytics.zoho.com/open-view/2395394000008161221?ZOHO_CRITERIA=%22Localiza%20Chile%22.%22Codcom%22%3D4106" u="1"/>
        <s v="https://analytics.zoho.com/open-view/2395394000008161222?ZOHO_CRITERIA=%22Localiza%20Chile%22.%22Codcom%22%3D4106" u="1"/>
        <s v="https://analytics.zoho.com/open-view/2395394000008161223?ZOHO_CRITERIA=%22Localiza%20Chile%22.%22Codcom%22%3D4106" u="1"/>
        <s v="https://analytics.zoho.com/open-view/2395394000008161224?ZOHO_CRITERIA=%22Localiza%20Chile%22.%22Codcom%22%3D4106" u="1"/>
        <s v="https://analytics.zoho.com/open-view/2395394000008161225?ZOHO_CRITERIA=%22Localiza%20Chile%22.%22Codcom%22%3D4106" u="1"/>
        <s v="https://analytics.zoho.com/open-view/2395394000008161226?ZOHO_CRITERIA=%22Localiza%20Chile%22.%22Codcom%22%3D4106" u="1"/>
        <s v="https://analytics.zoho.com/open-view/2395394000008161227?ZOHO_CRITERIA=%22Localiza%20Chile%22.%22Codcom%22%3D4106" u="1"/>
        <s v="https://analytics.zoho.com/open-view/2395394000008161228?ZOHO_CRITERIA=%22Localiza%20Chile%22.%22Codcom%22%3D4106" u="1"/>
        <s v="https://analytics.zoho.com/open-view/2395394000008161229?ZOHO_CRITERIA=%22Localiza%20Chile%22.%22Codcom%22%3D4106" u="1"/>
        <s v="https://analytics.zoho.com/open-view/2395394000008161231?ZOHO_CRITERIA=%22Localiza%20Chile%22.%22Codcom%22%3D4106" u="1"/>
        <s v="https://analytics.zoho.com/open-view/2395394000008161220?ZOHO_CRITERIA=%22Localiza%20Chile%22.%22Codcom%22%3D5101" u="1"/>
        <s v="https://analytics.zoho.com/open-view/2395394000008161221?ZOHO_CRITERIA=%22Localiza%20Chile%22.%22Codcom%22%3D5101" u="1"/>
        <s v="https://analytics.zoho.com/open-view/2395394000008161222?ZOHO_CRITERIA=%22Localiza%20Chile%22.%22Codcom%22%3D5101" u="1"/>
        <s v="https://analytics.zoho.com/open-view/2395394000008161223?ZOHO_CRITERIA=%22Localiza%20Chile%22.%22Codcom%22%3D5101" u="1"/>
        <s v="https://analytics.zoho.com/open-view/2395394000008161224?ZOHO_CRITERIA=%22Localiza%20Chile%22.%22Codcom%22%3D5101" u="1"/>
        <s v="https://analytics.zoho.com/open-view/2395394000008161225?ZOHO_CRITERIA=%22Localiza%20Chile%22.%22Codcom%22%3D5101" u="1"/>
        <s v="https://analytics.zoho.com/open-view/2395394000008161226?ZOHO_CRITERIA=%22Localiza%20Chile%22.%22Codcom%22%3D5101" u="1"/>
        <s v="https://analytics.zoho.com/open-view/2395394000008161227?ZOHO_CRITERIA=%22Localiza%20Chile%22.%22Codcom%22%3D5101" u="1"/>
        <s v="https://analytics.zoho.com/open-view/2395394000008161228?ZOHO_CRITERIA=%22Localiza%20Chile%22.%22Codcom%22%3D5101" u="1"/>
        <s v="https://analytics.zoho.com/open-view/2395394000008161229?ZOHO_CRITERIA=%22Localiza%20Chile%22.%22Codcom%22%3D5101" u="1"/>
        <s v="https://analytics.zoho.com/open-view/2395394000008161231?ZOHO_CRITERIA=%22Localiza%20Chile%22.%22Codcom%22%3D5101" u="1"/>
        <s v="https://analytics.zoho.com/open-view/2395394000008161220?ZOHO_CRITERIA=%22Localiza%20Chile%22.%22Codcom%22%3D5102" u="1"/>
        <s v="https://analytics.zoho.com/open-view/2395394000008161221?ZOHO_CRITERIA=%22Localiza%20Chile%22.%22Codcom%22%3D5102" u="1"/>
        <s v="https://analytics.zoho.com/open-view/2395394000008161222?ZOHO_CRITERIA=%22Localiza%20Chile%22.%22Codcom%22%3D5102" u="1"/>
        <s v="https://analytics.zoho.com/open-view/2395394000008161223?ZOHO_CRITERIA=%22Localiza%20Chile%22.%22Codcom%22%3D5102" u="1"/>
        <s v="https://analytics.zoho.com/open-view/2395394000008161224?ZOHO_CRITERIA=%22Localiza%20Chile%22.%22Codcom%22%3D5102" u="1"/>
        <s v="https://analytics.zoho.com/open-view/2395394000008161225?ZOHO_CRITERIA=%22Localiza%20Chile%22.%22Codcom%22%3D5102" u="1"/>
        <s v="https://analytics.zoho.com/open-view/2395394000008161226?ZOHO_CRITERIA=%22Localiza%20Chile%22.%22Codcom%22%3D5102" u="1"/>
        <s v="https://analytics.zoho.com/open-view/2395394000008161227?ZOHO_CRITERIA=%22Localiza%20Chile%22.%22Codcom%22%3D5102" u="1"/>
        <s v="https://analytics.zoho.com/open-view/2395394000008161228?ZOHO_CRITERIA=%22Localiza%20Chile%22.%22Codcom%22%3D5102" u="1"/>
        <s v="https://analytics.zoho.com/open-view/2395394000008161229?ZOHO_CRITERIA=%22Localiza%20Chile%22.%22Codcom%22%3D5102" u="1"/>
        <s v="https://analytics.zoho.com/open-view/2395394000008161231?ZOHO_CRITERIA=%22Localiza%20Chile%22.%22Codcom%22%3D5102" u="1"/>
        <s v="https://analytics.zoho.com/open-view/2395394000008161220?ZOHO_CRITERIA=%22Localiza%20Chile%22.%22Codcom%22%3D5103" u="1"/>
        <s v="https://analytics.zoho.com/open-view/2395394000008161221?ZOHO_CRITERIA=%22Localiza%20Chile%22.%22Codcom%22%3D5103" u="1"/>
        <s v="https://analytics.zoho.com/open-view/2395394000008161222?ZOHO_CRITERIA=%22Localiza%20Chile%22.%22Codcom%22%3D5103" u="1"/>
        <s v="https://analytics.zoho.com/open-view/2395394000008161223?ZOHO_CRITERIA=%22Localiza%20Chile%22.%22Codcom%22%3D5103" u="1"/>
        <s v="https://analytics.zoho.com/open-view/2395394000008161224?ZOHO_CRITERIA=%22Localiza%20Chile%22.%22Codcom%22%3D5103" u="1"/>
        <s v="https://analytics.zoho.com/open-view/2395394000008161225?ZOHO_CRITERIA=%22Localiza%20Chile%22.%22Codcom%22%3D5103" u="1"/>
        <s v="https://analytics.zoho.com/open-view/2395394000008161226?ZOHO_CRITERIA=%22Localiza%20Chile%22.%22Codcom%22%3D5103" u="1"/>
        <s v="https://analytics.zoho.com/open-view/2395394000008161227?ZOHO_CRITERIA=%22Localiza%20Chile%22.%22Codcom%22%3D5103" u="1"/>
        <s v="https://analytics.zoho.com/open-view/2395394000008161228?ZOHO_CRITERIA=%22Localiza%20Chile%22.%22Codcom%22%3D5103" u="1"/>
        <s v="https://analytics.zoho.com/open-view/2395394000008161229?ZOHO_CRITERIA=%22Localiza%20Chile%22.%22Codcom%22%3D5103" u="1"/>
        <s v="https://analytics.zoho.com/open-view/2395394000008161231?ZOHO_CRITERIA=%22Localiza%20Chile%22.%22Codcom%22%3D5103" u="1"/>
        <s v="https://analytics.zoho.com/open-view/2395394000008161220?ZOHO_CRITERIA=%22Localiza%20Chile%22.%22Codcom%22%3D5104" u="1"/>
        <s v="https://analytics.zoho.com/open-view/2395394000008161221?ZOHO_CRITERIA=%22Localiza%20Chile%22.%22Codcom%22%3D5104" u="1"/>
        <s v="https://analytics.zoho.com/open-view/2395394000008161222?ZOHO_CRITERIA=%22Localiza%20Chile%22.%22Codcom%22%3D5104" u="1"/>
        <s v="https://analytics.zoho.com/open-view/2395394000008161223?ZOHO_CRITERIA=%22Localiza%20Chile%22.%22Codcom%22%3D5104" u="1"/>
        <s v="https://analytics.zoho.com/open-view/2395394000008161224?ZOHO_CRITERIA=%22Localiza%20Chile%22.%22Codcom%22%3D5104" u="1"/>
        <s v="https://analytics.zoho.com/open-view/2395394000008161225?ZOHO_CRITERIA=%22Localiza%20Chile%22.%22Codcom%22%3D5104" u="1"/>
        <s v="https://analytics.zoho.com/open-view/2395394000008161226?ZOHO_CRITERIA=%22Localiza%20Chile%22.%22Codcom%22%3D5104" u="1"/>
        <s v="https://analytics.zoho.com/open-view/2395394000008161227?ZOHO_CRITERIA=%22Localiza%20Chile%22.%22Codcom%22%3D5104" u="1"/>
        <s v="https://analytics.zoho.com/open-view/2395394000008161228?ZOHO_CRITERIA=%22Localiza%20Chile%22.%22Codcom%22%3D5104" u="1"/>
        <s v="https://analytics.zoho.com/open-view/2395394000008161229?ZOHO_CRITERIA=%22Localiza%20Chile%22.%22Codcom%22%3D5104" u="1"/>
        <s v="https://analytics.zoho.com/open-view/2395394000008161231?ZOHO_CRITERIA=%22Localiza%20Chile%22.%22Codcom%22%3D5104" u="1"/>
        <s v="https://analytics.zoho.com/open-view/2395394000008161220?ZOHO_CRITERIA=%22Localiza%20Chile%22.%22Codcom%22%3D5105" u="1"/>
        <s v="https://analytics.zoho.com/open-view/2395394000008161221?ZOHO_CRITERIA=%22Localiza%20Chile%22.%22Codcom%22%3D5105" u="1"/>
        <s v="https://analytics.zoho.com/open-view/2395394000008161222?ZOHO_CRITERIA=%22Localiza%20Chile%22.%22Codcom%22%3D5105" u="1"/>
        <s v="https://analytics.zoho.com/open-view/2395394000008161223?ZOHO_CRITERIA=%22Localiza%20Chile%22.%22Codcom%22%3D5105" u="1"/>
        <s v="https://analytics.zoho.com/open-view/2395394000008161224?ZOHO_CRITERIA=%22Localiza%20Chile%22.%22Codcom%22%3D5105" u="1"/>
        <s v="https://analytics.zoho.com/open-view/2395394000008161225?ZOHO_CRITERIA=%22Localiza%20Chile%22.%22Codcom%22%3D5105" u="1"/>
        <s v="https://analytics.zoho.com/open-view/2395394000008161226?ZOHO_CRITERIA=%22Localiza%20Chile%22.%22Codcom%22%3D5105" u="1"/>
        <s v="https://analytics.zoho.com/open-view/2395394000008161227?ZOHO_CRITERIA=%22Localiza%20Chile%22.%22Codcom%22%3D5105" u="1"/>
        <s v="https://analytics.zoho.com/open-view/2395394000008161228?ZOHO_CRITERIA=%22Localiza%20Chile%22.%22Codcom%22%3D5105" u="1"/>
        <s v="https://analytics.zoho.com/open-view/2395394000008161229?ZOHO_CRITERIA=%22Localiza%20Chile%22.%22Codcom%22%3D5105" u="1"/>
        <s v="https://analytics.zoho.com/open-view/2395394000008161231?ZOHO_CRITERIA=%22Localiza%20Chile%22.%22Codcom%22%3D5105" u="1"/>
        <s v="https://analytics.zoho.com/open-view/2395394000008161220?ZOHO_CRITERIA=%22Localiza%20Chile%22.%22Codcom%22%3D5107" u="1"/>
        <s v="https://analytics.zoho.com/open-view/2395394000008161221?ZOHO_CRITERIA=%22Localiza%20Chile%22.%22Codcom%22%3D5107" u="1"/>
        <s v="https://analytics.zoho.com/open-view/2395394000008161222?ZOHO_CRITERIA=%22Localiza%20Chile%22.%22Codcom%22%3D5107" u="1"/>
        <s v="https://analytics.zoho.com/open-view/2395394000008161223?ZOHO_CRITERIA=%22Localiza%20Chile%22.%22Codcom%22%3D5107" u="1"/>
        <s v="https://analytics.zoho.com/open-view/2395394000008161224?ZOHO_CRITERIA=%22Localiza%20Chile%22.%22Codcom%22%3D5107" u="1"/>
        <s v="https://analytics.zoho.com/open-view/2395394000008161225?ZOHO_CRITERIA=%22Localiza%20Chile%22.%22Codcom%22%3D5107" u="1"/>
        <s v="https://analytics.zoho.com/open-view/2395394000008161226?ZOHO_CRITERIA=%22Localiza%20Chile%22.%22Codcom%22%3D5107" u="1"/>
        <s v="https://analytics.zoho.com/open-view/2395394000008161227?ZOHO_CRITERIA=%22Localiza%20Chile%22.%22Codcom%22%3D5107" u="1"/>
        <s v="https://analytics.zoho.com/open-view/2395394000008161228?ZOHO_CRITERIA=%22Localiza%20Chile%22.%22Codcom%22%3D5107" u="1"/>
        <s v="https://analytics.zoho.com/open-view/2395394000008161229?ZOHO_CRITERIA=%22Localiza%20Chile%22.%22Codcom%22%3D5107" u="1"/>
        <s v="https://analytics.zoho.com/open-view/2395394000008161231?ZOHO_CRITERIA=%22Localiza%20Chile%22.%22Codcom%22%3D5107" u="1"/>
        <s v="https://analytics.zoho.com/open-view/2395394000008161220?ZOHO_CRITERIA=%22Localiza%20Chile%22.%22Codcom%22%3D16104" u="1"/>
        <s v="https://analytics.zoho.com/open-view/2395394000008161221?ZOHO_CRITERIA=%22Localiza%20Chile%22.%22Codcom%22%3D16104" u="1"/>
        <s v="https://analytics.zoho.com/open-view/2395394000008161222?ZOHO_CRITERIA=%22Localiza%20Chile%22.%22Codcom%22%3D16104" u="1"/>
        <s v="https://analytics.zoho.com/open-view/2395394000008161223?ZOHO_CRITERIA=%22Localiza%20Chile%22.%22Codcom%22%3D16104" u="1"/>
        <s v="https://analytics.zoho.com/open-view/2395394000008161224?ZOHO_CRITERIA=%22Localiza%20Chile%22.%22Codcom%22%3D16104" u="1"/>
        <s v="https://analytics.zoho.com/open-view/2395394000008161225?ZOHO_CRITERIA=%22Localiza%20Chile%22.%22Codcom%22%3D16104" u="1"/>
        <s v="https://analytics.zoho.com/open-view/2395394000008161226?ZOHO_CRITERIA=%22Localiza%20Chile%22.%22Codcom%22%3D16104" u="1"/>
        <s v="https://analytics.zoho.com/open-view/2395394000008161227?ZOHO_CRITERIA=%22Localiza%20Chile%22.%22Codcom%22%3D16104" u="1"/>
        <s v="https://analytics.zoho.com/open-view/2395394000008161228?ZOHO_CRITERIA=%22Localiza%20Chile%22.%22Codcom%22%3D16104" u="1"/>
        <s v="https://analytics.zoho.com/open-view/2395394000008161229?ZOHO_CRITERIA=%22Localiza%20Chile%22.%22Codcom%22%3D16104" u="1"/>
        <s v="https://analytics.zoho.com/open-view/2395394000008161231?ZOHO_CRITERIA=%22Localiza%20Chile%22.%22Codcom%22%3D16104" u="1"/>
        <s v="https://analytics.zoho.com/open-view/2395394000008161220?ZOHO_CRITERIA=%22Localiza%20Chile%22.%22Codcom%22%3D5109" u="1"/>
        <s v="https://analytics.zoho.com/open-view/2395394000008161221?ZOHO_CRITERIA=%22Localiza%20Chile%22.%22Codcom%22%3D5109" u="1"/>
        <s v="https://analytics.zoho.com/open-view/2395394000008161222?ZOHO_CRITERIA=%22Localiza%20Chile%22.%22Codcom%22%3D5109" u="1"/>
        <s v="https://analytics.zoho.com/open-view/2395394000008161223?ZOHO_CRITERIA=%22Localiza%20Chile%22.%22Codcom%22%3D5109" u="1"/>
        <s v="https://analytics.zoho.com/open-view/2395394000008161224?ZOHO_CRITERIA=%22Localiza%20Chile%22.%22Codcom%22%3D5109" u="1"/>
        <s v="https://analytics.zoho.com/open-view/2395394000008161225?ZOHO_CRITERIA=%22Localiza%20Chile%22.%22Codcom%22%3D5109" u="1"/>
        <s v="https://analytics.zoho.com/open-view/2395394000008161226?ZOHO_CRITERIA=%22Localiza%20Chile%22.%22Codcom%22%3D5109" u="1"/>
        <s v="https://analytics.zoho.com/open-view/2395394000008161227?ZOHO_CRITERIA=%22Localiza%20Chile%22.%22Codcom%22%3D5109" u="1"/>
        <s v="https://analytics.zoho.com/open-view/2395394000008161228?ZOHO_CRITERIA=%22Localiza%20Chile%22.%22Codcom%22%3D5109" u="1"/>
        <s v="https://analytics.zoho.com/open-view/2395394000008161229?ZOHO_CRITERIA=%22Localiza%20Chile%22.%22Codcom%22%3D5109" u="1"/>
        <s v="https://analytics.zoho.com/open-view/2395394000008161231?ZOHO_CRITERIA=%22Localiza%20Chile%22.%22Codcom%22%3D5109" u="1"/>
        <s v="https://analytics.zoho.com/open-view/2395394000008161220?ZOHO_CRITERIA=%22Localiza%20Chile%22.%22Codcom%22%3D6101" u="1"/>
        <s v="https://analytics.zoho.com/open-view/2395394000008161221?ZOHO_CRITERIA=%22Localiza%20Chile%22.%22Codcom%22%3D6101" u="1"/>
        <s v="https://analytics.zoho.com/open-view/2395394000008161222?ZOHO_CRITERIA=%22Localiza%20Chile%22.%22Codcom%22%3D6101" u="1"/>
        <s v="https://analytics.zoho.com/open-view/2395394000008161223?ZOHO_CRITERIA=%22Localiza%20Chile%22.%22Codcom%22%3D6101" u="1"/>
        <s v="https://analytics.zoho.com/open-view/2395394000008161224?ZOHO_CRITERIA=%22Localiza%20Chile%22.%22Codcom%22%3D6101" u="1"/>
        <s v="https://analytics.zoho.com/open-view/2395394000008161225?ZOHO_CRITERIA=%22Localiza%20Chile%22.%22Codcom%22%3D6101" u="1"/>
        <s v="https://analytics.zoho.com/open-view/2395394000008161226?ZOHO_CRITERIA=%22Localiza%20Chile%22.%22Codcom%22%3D6101" u="1"/>
        <s v="https://analytics.zoho.com/open-view/2395394000008161227?ZOHO_CRITERIA=%22Localiza%20Chile%22.%22Codcom%22%3D6101" u="1"/>
        <s v="https://analytics.zoho.com/open-view/2395394000008161228?ZOHO_CRITERIA=%22Localiza%20Chile%22.%22Codcom%22%3D6101" u="1"/>
        <s v="https://analytics.zoho.com/open-view/2395394000008161229?ZOHO_CRITERIA=%22Localiza%20Chile%22.%22Codcom%22%3D6101" u="1"/>
        <s v="https://analytics.zoho.com/open-view/2395394000008161231?ZOHO_CRITERIA=%22Localiza%20Chile%22.%22Codcom%22%3D6101" u="1"/>
        <s v="https://analytics.zoho.com/open-view/2395394000008161220?ZOHO_CRITERIA=%22Localiza%20Chile%22.%22Codcom%22%3D6102" u="1"/>
        <s v="https://analytics.zoho.com/open-view/2395394000008161221?ZOHO_CRITERIA=%22Localiza%20Chile%22.%22Codcom%22%3D6102" u="1"/>
        <s v="https://analytics.zoho.com/open-view/2395394000008161222?ZOHO_CRITERIA=%22Localiza%20Chile%22.%22Codcom%22%3D6102" u="1"/>
        <s v="https://analytics.zoho.com/open-view/2395394000008161223?ZOHO_CRITERIA=%22Localiza%20Chile%22.%22Codcom%22%3D6102" u="1"/>
        <s v="https://analytics.zoho.com/open-view/2395394000008161224?ZOHO_CRITERIA=%22Localiza%20Chile%22.%22Codcom%22%3D6102" u="1"/>
        <s v="https://analytics.zoho.com/open-view/2395394000008161225?ZOHO_CRITERIA=%22Localiza%20Chile%22.%22Codcom%22%3D6102" u="1"/>
        <s v="https://analytics.zoho.com/open-view/2395394000008161226?ZOHO_CRITERIA=%22Localiza%20Chile%22.%22Codcom%22%3D6102" u="1"/>
        <s v="https://analytics.zoho.com/open-view/2395394000008161227?ZOHO_CRITERIA=%22Localiza%20Chile%22.%22Codcom%22%3D6102" u="1"/>
        <s v="https://analytics.zoho.com/open-view/2395394000008161228?ZOHO_CRITERIA=%22Localiza%20Chile%22.%22Codcom%22%3D6102" u="1"/>
        <s v="https://analytics.zoho.com/open-view/2395394000008161229?ZOHO_CRITERIA=%22Localiza%20Chile%22.%22Codcom%22%3D6102" u="1"/>
        <s v="https://analytics.zoho.com/open-view/2395394000008161231?ZOHO_CRITERIA=%22Localiza%20Chile%22.%22Codcom%22%3D6102" u="1"/>
        <s v="https://analytics.zoho.com/open-view/2395394000008161220?ZOHO_CRITERIA=%22Localiza%20Chile%22.%22Codcom%22%3D6103" u="1"/>
        <s v="https://analytics.zoho.com/open-view/2395394000008161221?ZOHO_CRITERIA=%22Localiza%20Chile%22.%22Codcom%22%3D6103" u="1"/>
        <s v="https://analytics.zoho.com/open-view/2395394000008161222?ZOHO_CRITERIA=%22Localiza%20Chile%22.%22Codcom%22%3D6103" u="1"/>
        <s v="https://analytics.zoho.com/open-view/2395394000008161223?ZOHO_CRITERIA=%22Localiza%20Chile%22.%22Codcom%22%3D6103" u="1"/>
        <s v="https://analytics.zoho.com/open-view/2395394000008161224?ZOHO_CRITERIA=%22Localiza%20Chile%22.%22Codcom%22%3D6103" u="1"/>
        <s v="https://analytics.zoho.com/open-view/2395394000008161225?ZOHO_CRITERIA=%22Localiza%20Chile%22.%22Codcom%22%3D6103" u="1"/>
        <s v="https://analytics.zoho.com/open-view/2395394000008161226?ZOHO_CRITERIA=%22Localiza%20Chile%22.%22Codcom%22%3D6103" u="1"/>
        <s v="https://analytics.zoho.com/open-view/2395394000008161227?ZOHO_CRITERIA=%22Localiza%20Chile%22.%22Codcom%22%3D6103" u="1"/>
        <s v="https://analytics.zoho.com/open-view/2395394000008161228?ZOHO_CRITERIA=%22Localiza%20Chile%22.%22Codcom%22%3D6103" u="1"/>
        <s v="https://analytics.zoho.com/open-view/2395394000008161229?ZOHO_CRITERIA=%22Localiza%20Chile%22.%22Codcom%22%3D6103" u="1"/>
        <s v="https://analytics.zoho.com/open-view/2395394000008161231?ZOHO_CRITERIA=%22Localiza%20Chile%22.%22Codcom%22%3D6103" u="1"/>
        <s v="https://analytics.zoho.com/open-view/2395394000008161220?ZOHO_CRITERIA=%22Localiza%20Chile%22.%22Codcom%22%3D6104" u="1"/>
        <s v="https://analytics.zoho.com/open-view/2395394000008161221?ZOHO_CRITERIA=%22Localiza%20Chile%22.%22Codcom%22%3D6104" u="1"/>
        <s v="https://analytics.zoho.com/open-view/2395394000008161222?ZOHO_CRITERIA=%22Localiza%20Chile%22.%22Codcom%22%3D6104" u="1"/>
        <s v="https://analytics.zoho.com/open-view/2395394000008161223?ZOHO_CRITERIA=%22Localiza%20Chile%22.%22Codcom%22%3D6104" u="1"/>
        <s v="https://analytics.zoho.com/open-view/2395394000008161224?ZOHO_CRITERIA=%22Localiza%20Chile%22.%22Codcom%22%3D6104" u="1"/>
        <s v="https://analytics.zoho.com/open-view/2395394000008161225?ZOHO_CRITERIA=%22Localiza%20Chile%22.%22Codcom%22%3D6104" u="1"/>
        <s v="https://analytics.zoho.com/open-view/2395394000008161226?ZOHO_CRITERIA=%22Localiza%20Chile%22.%22Codcom%22%3D6104" u="1"/>
        <s v="https://analytics.zoho.com/open-view/2395394000008161227?ZOHO_CRITERIA=%22Localiza%20Chile%22.%22Codcom%22%3D6104" u="1"/>
        <s v="https://analytics.zoho.com/open-view/2395394000008161228?ZOHO_CRITERIA=%22Localiza%20Chile%22.%22Codcom%22%3D6104" u="1"/>
        <s v="https://analytics.zoho.com/open-view/2395394000008161229?ZOHO_CRITERIA=%22Localiza%20Chile%22.%22Codcom%22%3D6104" u="1"/>
        <s v="https://analytics.zoho.com/open-view/2395394000008161231?ZOHO_CRITERIA=%22Localiza%20Chile%22.%22Codcom%22%3D6104" u="1"/>
        <s v="https://analytics.zoho.com/open-view/2395394000008161220?ZOHO_CRITERIA=%22Localiza%20Chile%22.%22Codcom%22%3D6105" u="1"/>
        <s v="https://analytics.zoho.com/open-view/2395394000008161221?ZOHO_CRITERIA=%22Localiza%20Chile%22.%22Codcom%22%3D6105" u="1"/>
        <s v="https://analytics.zoho.com/open-view/2395394000008161222?ZOHO_CRITERIA=%22Localiza%20Chile%22.%22Codcom%22%3D6105" u="1"/>
        <s v="https://analytics.zoho.com/open-view/2395394000008161223?ZOHO_CRITERIA=%22Localiza%20Chile%22.%22Codcom%22%3D6105" u="1"/>
        <s v="https://analytics.zoho.com/open-view/2395394000008161224?ZOHO_CRITERIA=%22Localiza%20Chile%22.%22Codcom%22%3D6105" u="1"/>
        <s v="https://analytics.zoho.com/open-view/2395394000008161225?ZOHO_CRITERIA=%22Localiza%20Chile%22.%22Codcom%22%3D6105" u="1"/>
        <s v="https://analytics.zoho.com/open-view/2395394000008161226?ZOHO_CRITERIA=%22Localiza%20Chile%22.%22Codcom%22%3D6105" u="1"/>
        <s v="https://analytics.zoho.com/open-view/2395394000008161227?ZOHO_CRITERIA=%22Localiza%20Chile%22.%22Codcom%22%3D6105" u="1"/>
        <s v="https://analytics.zoho.com/open-view/2395394000008161228?ZOHO_CRITERIA=%22Localiza%20Chile%22.%22Codcom%22%3D6105" u="1"/>
        <s v="https://analytics.zoho.com/open-view/2395394000008161229?ZOHO_CRITERIA=%22Localiza%20Chile%22.%22Codcom%22%3D6105" u="1"/>
        <s v="https://analytics.zoho.com/open-view/2395394000008161231?ZOHO_CRITERIA=%22Localiza%20Chile%22.%22Codcom%22%3D6105" u="1"/>
        <s v="https://analytics.zoho.com/open-view/2395394000008161220?ZOHO_CRITERIA=%22Localiza%20Chile%22.%22Codcom%22%3D6106" u="1"/>
        <s v="https://analytics.zoho.com/open-view/2395394000008161221?ZOHO_CRITERIA=%22Localiza%20Chile%22.%22Codcom%22%3D6106" u="1"/>
        <s v="https://analytics.zoho.com/open-view/2395394000008161222?ZOHO_CRITERIA=%22Localiza%20Chile%22.%22Codcom%22%3D6106" u="1"/>
        <s v="https://analytics.zoho.com/open-view/2395394000008161223?ZOHO_CRITERIA=%22Localiza%20Chile%22.%22Codcom%22%3D6106" u="1"/>
        <s v="https://analytics.zoho.com/open-view/2395394000008161224?ZOHO_CRITERIA=%22Localiza%20Chile%22.%22Codcom%22%3D6106" u="1"/>
        <s v="https://analytics.zoho.com/open-view/2395394000008161225?ZOHO_CRITERIA=%22Localiza%20Chile%22.%22Codcom%22%3D6106" u="1"/>
        <s v="https://analytics.zoho.com/open-view/2395394000008161226?ZOHO_CRITERIA=%22Localiza%20Chile%22.%22Codcom%22%3D6106" u="1"/>
        <s v="https://analytics.zoho.com/open-view/2395394000008161227?ZOHO_CRITERIA=%22Localiza%20Chile%22.%22Codcom%22%3D6106" u="1"/>
        <s v="https://analytics.zoho.com/open-view/2395394000008161228?ZOHO_CRITERIA=%22Localiza%20Chile%22.%22Codcom%22%3D6106" u="1"/>
        <s v="https://analytics.zoho.com/open-view/2395394000008161229?ZOHO_CRITERIA=%22Localiza%20Chile%22.%22Codcom%22%3D6106" u="1"/>
        <s v="https://analytics.zoho.com/open-view/2395394000008161231?ZOHO_CRITERIA=%22Localiza%20Chile%22.%22Codcom%22%3D6106" u="1"/>
        <s v="https://analytics.zoho.com/open-view/2395394000008161220?ZOHO_CRITERIA=%22Localiza%20Chile%22.%22Codcom%22%3D6107" u="1"/>
        <s v="https://analytics.zoho.com/open-view/2395394000008161221?ZOHO_CRITERIA=%22Localiza%20Chile%22.%22Codcom%22%3D6107" u="1"/>
        <s v="https://analytics.zoho.com/open-view/2395394000008161222?ZOHO_CRITERIA=%22Localiza%20Chile%22.%22Codcom%22%3D6107" u="1"/>
        <s v="https://analytics.zoho.com/open-view/2395394000008161223?ZOHO_CRITERIA=%22Localiza%20Chile%22.%22Codcom%22%3D6107" u="1"/>
        <s v="https://analytics.zoho.com/open-view/2395394000008161224?ZOHO_CRITERIA=%22Localiza%20Chile%22.%22Codcom%22%3D6107" u="1"/>
        <s v="https://analytics.zoho.com/open-view/2395394000008161225?ZOHO_CRITERIA=%22Localiza%20Chile%22.%22Codcom%22%3D6107" u="1"/>
        <s v="https://analytics.zoho.com/open-view/2395394000008161226?ZOHO_CRITERIA=%22Localiza%20Chile%22.%22Codcom%22%3D6107" u="1"/>
        <s v="https://analytics.zoho.com/open-view/2395394000008161227?ZOHO_CRITERIA=%22Localiza%20Chile%22.%22Codcom%22%3D6107" u="1"/>
        <s v="https://analytics.zoho.com/open-view/2395394000008161228?ZOHO_CRITERIA=%22Localiza%20Chile%22.%22Codcom%22%3D6107" u="1"/>
        <s v="https://analytics.zoho.com/open-view/2395394000008161229?ZOHO_CRITERIA=%22Localiza%20Chile%22.%22Codcom%22%3D6107" u="1"/>
        <s v="https://analytics.zoho.com/open-view/2395394000008161231?ZOHO_CRITERIA=%22Localiza%20Chile%22.%22Codcom%22%3D6107" u="1"/>
        <s v="https://analytics.zoho.com/open-view/2395394000008161220?ZOHO_CRITERIA=%22Localiza%20Chile%22.%22Codcom%22%3D6108" u="1"/>
        <s v="https://analytics.zoho.com/open-view/2395394000008161221?ZOHO_CRITERIA=%22Localiza%20Chile%22.%22Codcom%22%3D6108" u="1"/>
        <s v="https://analytics.zoho.com/open-view/2395394000008161222?ZOHO_CRITERIA=%22Localiza%20Chile%22.%22Codcom%22%3D6108" u="1"/>
        <s v="https://analytics.zoho.com/open-view/2395394000008161223?ZOHO_CRITERIA=%22Localiza%20Chile%22.%22Codcom%22%3D6108" u="1"/>
        <s v="https://analytics.zoho.com/open-view/2395394000008161224?ZOHO_CRITERIA=%22Localiza%20Chile%22.%22Codcom%22%3D6108" u="1"/>
        <s v="https://analytics.zoho.com/open-view/2395394000008161225?ZOHO_CRITERIA=%22Localiza%20Chile%22.%22Codcom%22%3D6108" u="1"/>
        <s v="https://analytics.zoho.com/open-view/2395394000008161226?ZOHO_CRITERIA=%22Localiza%20Chile%22.%22Codcom%22%3D6108" u="1"/>
        <s v="https://analytics.zoho.com/open-view/2395394000008161227?ZOHO_CRITERIA=%22Localiza%20Chile%22.%22Codcom%22%3D6108" u="1"/>
        <s v="https://analytics.zoho.com/open-view/2395394000008161228?ZOHO_CRITERIA=%22Localiza%20Chile%22.%22Codcom%22%3D6108" u="1"/>
        <s v="https://analytics.zoho.com/open-view/2395394000008161229?ZOHO_CRITERIA=%22Localiza%20Chile%22.%22Codcom%22%3D6108" u="1"/>
        <s v="https://analytics.zoho.com/open-view/2395394000008161231?ZOHO_CRITERIA=%22Localiza%20Chile%22.%22Codcom%22%3D6108" u="1"/>
        <s v="https://analytics.zoho.com/open-view/2395394000008161220?ZOHO_CRITERIA=%22Localiza%20Chile%22.%22Codcom%22%3D6109" u="1"/>
        <s v="https://analytics.zoho.com/open-view/2395394000008161221?ZOHO_CRITERIA=%22Localiza%20Chile%22.%22Codcom%22%3D6109" u="1"/>
        <s v="https://analytics.zoho.com/open-view/2395394000008161222?ZOHO_CRITERIA=%22Localiza%20Chile%22.%22Codcom%22%3D6109" u="1"/>
        <s v="https://analytics.zoho.com/open-view/2395394000008161223?ZOHO_CRITERIA=%22Localiza%20Chile%22.%22Codcom%22%3D6109" u="1"/>
        <s v="https://analytics.zoho.com/open-view/2395394000008161224?ZOHO_CRITERIA=%22Localiza%20Chile%22.%22Codcom%22%3D6109" u="1"/>
        <s v="https://analytics.zoho.com/open-view/2395394000008161225?ZOHO_CRITERIA=%22Localiza%20Chile%22.%22Codcom%22%3D6109" u="1"/>
        <s v="https://analytics.zoho.com/open-view/2395394000008161226?ZOHO_CRITERIA=%22Localiza%20Chile%22.%22Codcom%22%3D6109" u="1"/>
        <s v="https://analytics.zoho.com/open-view/2395394000008161227?ZOHO_CRITERIA=%22Localiza%20Chile%22.%22Codcom%22%3D6109" u="1"/>
        <s v="https://analytics.zoho.com/open-view/2395394000008161228?ZOHO_CRITERIA=%22Localiza%20Chile%22.%22Codcom%22%3D6109" u="1"/>
        <s v="https://analytics.zoho.com/open-view/2395394000008161229?ZOHO_CRITERIA=%22Localiza%20Chile%22.%22Codcom%22%3D6109" u="1"/>
        <s v="https://analytics.zoho.com/open-view/2395394000008161231?ZOHO_CRITERIA=%22Localiza%20Chile%22.%22Codcom%22%3D6109" u="1"/>
        <s v="https://analytics.zoho.com/open-view/2395394000008161220?ZOHO_CRITERIA=%22Localiza%20Chile%22.%22Codcom%22%3D5501" u="1"/>
        <s v="https://analytics.zoho.com/open-view/2395394000008161221?ZOHO_CRITERIA=%22Localiza%20Chile%22.%22Codcom%22%3D5501" u="1"/>
        <s v="https://analytics.zoho.com/open-view/2395394000008161222?ZOHO_CRITERIA=%22Localiza%20Chile%22.%22Codcom%22%3D5501" u="1"/>
        <s v="https://analytics.zoho.com/open-view/2395394000008161223?ZOHO_CRITERIA=%22Localiza%20Chile%22.%22Codcom%22%3D5501" u="1"/>
        <s v="https://analytics.zoho.com/open-view/2395394000008161224?ZOHO_CRITERIA=%22Localiza%20Chile%22.%22Codcom%22%3D5501" u="1"/>
        <s v="https://analytics.zoho.com/open-view/2395394000008161225?ZOHO_CRITERIA=%22Localiza%20Chile%22.%22Codcom%22%3D5501" u="1"/>
        <s v="https://analytics.zoho.com/open-view/2395394000008161226?ZOHO_CRITERIA=%22Localiza%20Chile%22.%22Codcom%22%3D5501" u="1"/>
        <s v="https://analytics.zoho.com/open-view/2395394000008161227?ZOHO_CRITERIA=%22Localiza%20Chile%22.%22Codcom%22%3D5501" u="1"/>
        <s v="https://analytics.zoho.com/open-view/2395394000008161228?ZOHO_CRITERIA=%22Localiza%20Chile%22.%22Codcom%22%3D5501" u="1"/>
        <s v="https://analytics.zoho.com/open-view/2395394000008161229?ZOHO_CRITERIA=%22Localiza%20Chile%22.%22Codcom%22%3D5501" u="1"/>
        <s v="https://analytics.zoho.com/open-view/2395394000008161231?ZOHO_CRITERIA=%22Localiza%20Chile%22.%22Codcom%22%3D5501" u="1"/>
        <s v="https://analytics.zoho.com/open-view/2395394000008161220?ZOHO_CRITERIA=%22Localiza%20Chile%22.%22Codcom%22%3D5502" u="1"/>
        <s v="https://analytics.zoho.com/open-view/2395394000008161220?ZOHO_CRITERIA=%22Localiza%20Chile%22.%22Codcom%22%3D7101" u="1"/>
        <s v="https://analytics.zoho.com/open-view/2395394000008161221?ZOHO_CRITERIA=%22Localiza%20Chile%22.%22Codcom%22%3D5502" u="1"/>
        <s v="https://analytics.zoho.com/open-view/2395394000008161221?ZOHO_CRITERIA=%22Localiza%20Chile%22.%22Codcom%22%3D7101" u="1"/>
        <s v="https://analytics.zoho.com/open-view/2395394000008161222?ZOHO_CRITERIA=%22Localiza%20Chile%22.%22Codcom%22%3D5502" u="1"/>
        <s v="https://analytics.zoho.com/open-view/2395394000008161222?ZOHO_CRITERIA=%22Localiza%20Chile%22.%22Codcom%22%3D7101" u="1"/>
        <s v="https://analytics.zoho.com/open-view/2395394000008161223?ZOHO_CRITERIA=%22Localiza%20Chile%22.%22Codcom%22%3D5502" u="1"/>
        <s v="https://analytics.zoho.com/open-view/2395394000008161223?ZOHO_CRITERIA=%22Localiza%20Chile%22.%22Codcom%22%3D7101" u="1"/>
        <s v="https://analytics.zoho.com/open-view/2395394000008161224?ZOHO_CRITERIA=%22Localiza%20Chile%22.%22Codcom%22%3D5502" u="1"/>
        <s v="https://analytics.zoho.com/open-view/2395394000008161224?ZOHO_CRITERIA=%22Localiza%20Chile%22.%22Codcom%22%3D7101" u="1"/>
        <s v="https://analytics.zoho.com/open-view/2395394000008161225?ZOHO_CRITERIA=%22Localiza%20Chile%22.%22Codcom%22%3D5502" u="1"/>
        <s v="https://analytics.zoho.com/open-view/2395394000008161225?ZOHO_CRITERIA=%22Localiza%20Chile%22.%22Codcom%22%3D7101" u="1"/>
        <s v="https://analytics.zoho.com/open-view/2395394000008161226?ZOHO_CRITERIA=%22Localiza%20Chile%22.%22Codcom%22%3D5502" u="1"/>
        <s v="https://analytics.zoho.com/open-view/2395394000008161226?ZOHO_CRITERIA=%22Localiza%20Chile%22.%22Codcom%22%3D7101" u="1"/>
        <s v="https://analytics.zoho.com/open-view/2395394000008161227?ZOHO_CRITERIA=%22Localiza%20Chile%22.%22Codcom%22%3D5502" u="1"/>
        <s v="https://analytics.zoho.com/open-view/2395394000008161227?ZOHO_CRITERIA=%22Localiza%20Chile%22.%22Codcom%22%3D7101" u="1"/>
        <s v="https://analytics.zoho.com/open-view/2395394000008161228?ZOHO_CRITERIA=%22Localiza%20Chile%22.%22Codcom%22%3D5502" u="1"/>
        <s v="https://analytics.zoho.com/open-view/2395394000008161228?ZOHO_CRITERIA=%22Localiza%20Chile%22.%22Codcom%22%3D7101" u="1"/>
        <s v="https://analytics.zoho.com/open-view/2395394000008161229?ZOHO_CRITERIA=%22Localiza%20Chile%22.%22Codcom%22%3D5502" u="1"/>
        <s v="https://analytics.zoho.com/open-view/2395394000008161229?ZOHO_CRITERIA=%22Localiza%20Chile%22.%22Codcom%22%3D7101" u="1"/>
        <s v="https://analytics.zoho.com/open-view/2395394000008161231?ZOHO_CRITERIA=%22Localiza%20Chile%22.%22Codcom%22%3D5502" u="1"/>
        <s v="https://analytics.zoho.com/open-view/2395394000008161231?ZOHO_CRITERIA=%22Localiza%20Chile%22.%22Codcom%22%3D7101" u="1"/>
        <s v="https://analytics.zoho.com/open-view/2395394000008161220?ZOHO_CRITERIA=%22Localiza%20Chile%22.%22Codcom%22%3D5503" u="1"/>
        <s v="https://analytics.zoho.com/open-view/2395394000008161220?ZOHO_CRITERIA=%22Localiza%20Chile%22.%22Codcom%22%3D7102" u="1"/>
        <s v="https://analytics.zoho.com/open-view/2395394000008161221?ZOHO_CRITERIA=%22Localiza%20Chile%22.%22Codcom%22%3D5503" u="1"/>
        <s v="https://analytics.zoho.com/open-view/2395394000008161221?ZOHO_CRITERIA=%22Localiza%20Chile%22.%22Codcom%22%3D7102" u="1"/>
        <s v="https://analytics.zoho.com/open-view/2395394000008161222?ZOHO_CRITERIA=%22Localiza%20Chile%22.%22Codcom%22%3D5503" u="1"/>
        <s v="https://analytics.zoho.com/open-view/2395394000008161222?ZOHO_CRITERIA=%22Localiza%20Chile%22.%22Codcom%22%3D7102" u="1"/>
        <s v="https://analytics.zoho.com/open-view/2395394000008161223?ZOHO_CRITERIA=%22Localiza%20Chile%22.%22Codcom%22%3D5503" u="1"/>
        <s v="https://analytics.zoho.com/open-view/2395394000008161223?ZOHO_CRITERIA=%22Localiza%20Chile%22.%22Codcom%22%3D7102" u="1"/>
        <s v="https://analytics.zoho.com/open-view/2395394000008161224?ZOHO_CRITERIA=%22Localiza%20Chile%22.%22Codcom%22%3D5503" u="1"/>
        <s v="https://analytics.zoho.com/open-view/2395394000008161224?ZOHO_CRITERIA=%22Localiza%20Chile%22.%22Codcom%22%3D7102" u="1"/>
        <s v="https://analytics.zoho.com/open-view/2395394000008161225?ZOHO_CRITERIA=%22Localiza%20Chile%22.%22Codcom%22%3D5503" u="1"/>
        <s v="https://analytics.zoho.com/open-view/2395394000008161225?ZOHO_CRITERIA=%22Localiza%20Chile%22.%22Codcom%22%3D7102" u="1"/>
        <s v="https://analytics.zoho.com/open-view/2395394000008161226?ZOHO_CRITERIA=%22Localiza%20Chile%22.%22Codcom%22%3D5503" u="1"/>
        <s v="https://analytics.zoho.com/open-view/2395394000008161226?ZOHO_CRITERIA=%22Localiza%20Chile%22.%22Codcom%22%3D7102" u="1"/>
        <s v="https://analytics.zoho.com/open-view/2395394000008161227?ZOHO_CRITERIA=%22Localiza%20Chile%22.%22Codcom%22%3D5503" u="1"/>
        <s v="https://analytics.zoho.com/open-view/2395394000008161227?ZOHO_CRITERIA=%22Localiza%20Chile%22.%22Codcom%22%3D7102" u="1"/>
        <s v="https://analytics.zoho.com/open-view/2395394000008161228?ZOHO_CRITERIA=%22Localiza%20Chile%22.%22Codcom%22%3D5503" u="1"/>
        <s v="https://analytics.zoho.com/open-view/2395394000008161228?ZOHO_CRITERIA=%22Localiza%20Chile%22.%22Codcom%22%3D7102" u="1"/>
        <s v="https://analytics.zoho.com/open-view/2395394000008161229?ZOHO_CRITERIA=%22Localiza%20Chile%22.%22Codcom%22%3D5503" u="1"/>
        <s v="https://analytics.zoho.com/open-view/2395394000008161229?ZOHO_CRITERIA=%22Localiza%20Chile%22.%22Codcom%22%3D7102" u="1"/>
        <s v="https://analytics.zoho.com/open-view/2395394000008161231?ZOHO_CRITERIA=%22Localiza%20Chile%22.%22Codcom%22%3D5503" u="1"/>
        <s v="https://analytics.zoho.com/open-view/2395394000008161231?ZOHO_CRITERIA=%22Localiza%20Chile%22.%22Codcom%22%3D7102" u="1"/>
        <s v="https://analytics.zoho.com/open-view/2395394000008161220?ZOHO_CRITERIA=%22Localiza%20Chile%22.%22Codcom%22%3D5504" u="1"/>
        <s v="https://analytics.zoho.com/open-view/2395394000008161220?ZOHO_CRITERIA=%22Localiza%20Chile%22.%22Codcom%22%3D7103" u="1"/>
        <s v="https://analytics.zoho.com/open-view/2395394000008161221?ZOHO_CRITERIA=%22Localiza%20Chile%22.%22Codcom%22%3D5504" u="1"/>
        <s v="https://analytics.zoho.com/open-view/2395394000008161221?ZOHO_CRITERIA=%22Localiza%20Chile%22.%22Codcom%22%3D7103" u="1"/>
        <s v="https://analytics.zoho.com/open-view/2395394000008161222?ZOHO_CRITERIA=%22Localiza%20Chile%22.%22Codcom%22%3D5504" u="1"/>
        <s v="https://analytics.zoho.com/open-view/2395394000008161222?ZOHO_CRITERIA=%22Localiza%20Chile%22.%22Codcom%22%3D7103" u="1"/>
        <s v="https://analytics.zoho.com/open-view/2395394000008161223?ZOHO_CRITERIA=%22Localiza%20Chile%22.%22Codcom%22%3D5504" u="1"/>
        <s v="https://analytics.zoho.com/open-view/2395394000008161223?ZOHO_CRITERIA=%22Localiza%20Chile%22.%22Codcom%22%3D7103" u="1"/>
        <s v="https://analytics.zoho.com/open-view/2395394000008161224?ZOHO_CRITERIA=%22Localiza%20Chile%22.%22Codcom%22%3D5504" u="1"/>
        <s v="https://analytics.zoho.com/open-view/2395394000008161224?ZOHO_CRITERIA=%22Localiza%20Chile%22.%22Codcom%22%3D7103" u="1"/>
        <s v="https://analytics.zoho.com/open-view/2395394000008161225?ZOHO_CRITERIA=%22Localiza%20Chile%22.%22Codcom%22%3D5504" u="1"/>
        <s v="https://analytics.zoho.com/open-view/2395394000008161225?ZOHO_CRITERIA=%22Localiza%20Chile%22.%22Codcom%22%3D7103" u="1"/>
        <s v="https://analytics.zoho.com/open-view/2395394000008161226?ZOHO_CRITERIA=%22Localiza%20Chile%22.%22Codcom%22%3D5504" u="1"/>
        <s v="https://analytics.zoho.com/open-view/2395394000008161226?ZOHO_CRITERIA=%22Localiza%20Chile%22.%22Codcom%22%3D7103" u="1"/>
        <s v="https://analytics.zoho.com/open-view/2395394000008161227?ZOHO_CRITERIA=%22Localiza%20Chile%22.%22Codcom%22%3D5504" u="1"/>
        <s v="https://analytics.zoho.com/open-view/2395394000008161227?ZOHO_CRITERIA=%22Localiza%20Chile%22.%22Codcom%22%3D7103" u="1"/>
        <s v="https://analytics.zoho.com/open-view/2395394000008161228?ZOHO_CRITERIA=%22Localiza%20Chile%22.%22Codcom%22%3D5504" u="1"/>
        <s v="https://analytics.zoho.com/open-view/2395394000008161228?ZOHO_CRITERIA=%22Localiza%20Chile%22.%22Codcom%22%3D7103" u="1"/>
        <s v="https://analytics.zoho.com/open-view/2395394000008161229?ZOHO_CRITERIA=%22Localiza%20Chile%22.%22Codcom%22%3D5504" u="1"/>
        <s v="https://analytics.zoho.com/open-view/2395394000008161229?ZOHO_CRITERIA=%22Localiza%20Chile%22.%22Codcom%22%3D7103" u="1"/>
        <s v="https://analytics.zoho.com/open-view/2395394000008161231?ZOHO_CRITERIA=%22Localiza%20Chile%22.%22Codcom%22%3D5504" u="1"/>
        <s v="https://analytics.zoho.com/open-view/2395394000008161231?ZOHO_CRITERIA=%22Localiza%20Chile%22.%22Codcom%22%3D7103" u="1"/>
        <s v="https://analytics.zoho.com/open-view/2395394000008161220?ZOHO_CRITERIA=%22Localiza%20Chile%22.%22Codcom%22%3D7104" u="1"/>
        <s v="https://analytics.zoho.com/open-view/2395394000008161221?ZOHO_CRITERIA=%22Localiza%20Chile%22.%22Codcom%22%3D7104" u="1"/>
        <s v="https://analytics.zoho.com/open-view/2395394000008161222?ZOHO_CRITERIA=%22Localiza%20Chile%22.%22Codcom%22%3D7104" u="1"/>
        <s v="https://analytics.zoho.com/open-view/2395394000008161223?ZOHO_CRITERIA=%22Localiza%20Chile%22.%22Codcom%22%3D7104" u="1"/>
        <s v="https://analytics.zoho.com/open-view/2395394000008161224?ZOHO_CRITERIA=%22Localiza%20Chile%22.%22Codcom%22%3D7104" u="1"/>
        <s v="https://analytics.zoho.com/open-view/2395394000008161225?ZOHO_CRITERIA=%22Localiza%20Chile%22.%22Codcom%22%3D7104" u="1"/>
        <s v="https://analytics.zoho.com/open-view/2395394000008161226?ZOHO_CRITERIA=%22Localiza%20Chile%22.%22Codcom%22%3D7104" u="1"/>
        <s v="https://analytics.zoho.com/open-view/2395394000008161227?ZOHO_CRITERIA=%22Localiza%20Chile%22.%22Codcom%22%3D7104" u="1"/>
        <s v="https://analytics.zoho.com/open-view/2395394000008161228?ZOHO_CRITERIA=%22Localiza%20Chile%22.%22Codcom%22%3D7104" u="1"/>
        <s v="https://analytics.zoho.com/open-view/2395394000008161229?ZOHO_CRITERIA=%22Localiza%20Chile%22.%22Codcom%22%3D7104" u="1"/>
        <s v="https://analytics.zoho.com/open-view/2395394000008161231?ZOHO_CRITERIA=%22Localiza%20Chile%22.%22Codcom%22%3D7104" u="1"/>
        <s v="https://analytics.zoho.com/open-view/2395394000008161220?ZOHO_CRITERIA=%22Localiza%20Chile%22.%22Codcom%22%3D5506" u="1"/>
        <s v="https://analytics.zoho.com/open-view/2395394000008161220?ZOHO_CRITERIA=%22Localiza%20Chile%22.%22Codcom%22%3D7105" u="1"/>
        <s v="https://analytics.zoho.com/open-view/2395394000008161221?ZOHO_CRITERIA=%22Localiza%20Chile%22.%22Codcom%22%3D5506" u="1"/>
        <s v="https://analytics.zoho.com/open-view/2395394000008161221?ZOHO_CRITERIA=%22Localiza%20Chile%22.%22Codcom%22%3D7105" u="1"/>
        <s v="https://analytics.zoho.com/open-view/2395394000008161222?ZOHO_CRITERIA=%22Localiza%20Chile%22.%22Codcom%22%3D5506" u="1"/>
        <s v="https://analytics.zoho.com/open-view/2395394000008161222?ZOHO_CRITERIA=%22Localiza%20Chile%22.%22Codcom%22%3D7105" u="1"/>
        <s v="https://analytics.zoho.com/open-view/2395394000008161223?ZOHO_CRITERIA=%22Localiza%20Chile%22.%22Codcom%22%3D5506" u="1"/>
        <s v="https://analytics.zoho.com/open-view/2395394000008161223?ZOHO_CRITERIA=%22Localiza%20Chile%22.%22Codcom%22%3D7105" u="1"/>
        <s v="https://analytics.zoho.com/open-view/2395394000008161224?ZOHO_CRITERIA=%22Localiza%20Chile%22.%22Codcom%22%3D5506" u="1"/>
        <s v="https://analytics.zoho.com/open-view/2395394000008161224?ZOHO_CRITERIA=%22Localiza%20Chile%22.%22Codcom%22%3D7105" u="1"/>
        <s v="https://analytics.zoho.com/open-view/2395394000008161225?ZOHO_CRITERIA=%22Localiza%20Chile%22.%22Codcom%22%3D5506" u="1"/>
        <s v="https://analytics.zoho.com/open-view/2395394000008161225?ZOHO_CRITERIA=%22Localiza%20Chile%22.%22Codcom%22%3D7105" u="1"/>
        <s v="https://analytics.zoho.com/open-view/2395394000008161226?ZOHO_CRITERIA=%22Localiza%20Chile%22.%22Codcom%22%3D5506" u="1"/>
        <s v="https://analytics.zoho.com/open-view/2395394000008161226?ZOHO_CRITERIA=%22Localiza%20Chile%22.%22Codcom%22%3D7105" u="1"/>
        <s v="https://analytics.zoho.com/open-view/2395394000008161227?ZOHO_CRITERIA=%22Localiza%20Chile%22.%22Codcom%22%3D5506" u="1"/>
        <s v="https://analytics.zoho.com/open-view/2395394000008161227?ZOHO_CRITERIA=%22Localiza%20Chile%22.%22Codcom%22%3D7105" u="1"/>
        <s v="https://analytics.zoho.com/open-view/2395394000008161228?ZOHO_CRITERIA=%22Localiza%20Chile%22.%22Codcom%22%3D5506" u="1"/>
        <s v="https://analytics.zoho.com/open-view/2395394000008161228?ZOHO_CRITERIA=%22Localiza%20Chile%22.%22Codcom%22%3D7105" u="1"/>
        <s v="https://analytics.zoho.com/open-view/2395394000008161229?ZOHO_CRITERIA=%22Localiza%20Chile%22.%22Codcom%22%3D5506" u="1"/>
        <s v="https://analytics.zoho.com/open-view/2395394000008161229?ZOHO_CRITERIA=%22Localiza%20Chile%22.%22Codcom%22%3D7105" u="1"/>
        <s v="https://analytics.zoho.com/open-view/2395394000008161231?ZOHO_CRITERIA=%22Localiza%20Chile%22.%22Codcom%22%3D5506" u="1"/>
        <s v="https://analytics.zoho.com/open-view/2395394000008161231?ZOHO_CRITERIA=%22Localiza%20Chile%22.%22Codcom%22%3D7105" u="1"/>
        <s v="https://analytics.zoho.com/open-view/2395394000008161220?ZOHO_CRITERIA=%22Localiza%20Chile%22.%22Codcom%22%3D7106" u="1"/>
        <s v="https://analytics.zoho.com/open-view/2395394000008161221?ZOHO_CRITERIA=%22Localiza%20Chile%22.%22Codcom%22%3D7106" u="1"/>
        <s v="https://analytics.zoho.com/open-view/2395394000008161222?ZOHO_CRITERIA=%22Localiza%20Chile%22.%22Codcom%22%3D7106" u="1"/>
        <s v="https://analytics.zoho.com/open-view/2395394000008161223?ZOHO_CRITERIA=%22Localiza%20Chile%22.%22Codcom%22%3D7106" u="1"/>
        <s v="https://analytics.zoho.com/open-view/2395394000008161224?ZOHO_CRITERIA=%22Localiza%20Chile%22.%22Codcom%22%3D7106" u="1"/>
        <s v="https://analytics.zoho.com/open-view/2395394000008161225?ZOHO_CRITERIA=%22Localiza%20Chile%22.%22Codcom%22%3D7106" u="1"/>
        <s v="https://analytics.zoho.com/open-view/2395394000008161226?ZOHO_CRITERIA=%22Localiza%20Chile%22.%22Codcom%22%3D7106" u="1"/>
        <s v="https://analytics.zoho.com/open-view/2395394000008161227?ZOHO_CRITERIA=%22Localiza%20Chile%22.%22Codcom%22%3D7106" u="1"/>
        <s v="https://analytics.zoho.com/open-view/2395394000008161228?ZOHO_CRITERIA=%22Localiza%20Chile%22.%22Codcom%22%3D7106" u="1"/>
        <s v="https://analytics.zoho.com/open-view/2395394000008161229?ZOHO_CRITERIA=%22Localiza%20Chile%22.%22Codcom%22%3D7106" u="1"/>
        <s v="https://analytics.zoho.com/open-view/2395394000008161231?ZOHO_CRITERIA=%22Localiza%20Chile%22.%22Codcom%22%3D7106" u="1"/>
        <s v="https://analytics.zoho.com/open-view/2395394000008161220?ZOHO_CRITERIA=%22Localiza%20Chile%22.%22Codcom%22%3D7107" u="1"/>
        <s v="https://analytics.zoho.com/open-view/2395394000008161221?ZOHO_CRITERIA=%22Localiza%20Chile%22.%22Codcom%22%3D7107" u="1"/>
        <s v="https://analytics.zoho.com/open-view/2395394000008161222?ZOHO_CRITERIA=%22Localiza%20Chile%22.%22Codcom%22%3D7107" u="1"/>
        <s v="https://analytics.zoho.com/open-view/2395394000008161223?ZOHO_CRITERIA=%22Localiza%20Chile%22.%22Codcom%22%3D7107" u="1"/>
        <s v="https://analytics.zoho.com/open-view/2395394000008161224?ZOHO_CRITERIA=%22Localiza%20Chile%22.%22Codcom%22%3D7107" u="1"/>
        <s v="https://analytics.zoho.com/open-view/2395394000008161225?ZOHO_CRITERIA=%22Localiza%20Chile%22.%22Codcom%22%3D7107" u="1"/>
        <s v="https://analytics.zoho.com/open-view/2395394000008161226?ZOHO_CRITERIA=%22Localiza%20Chile%22.%22Codcom%22%3D7107" u="1"/>
        <s v="https://analytics.zoho.com/open-view/2395394000008161227?ZOHO_CRITERIA=%22Localiza%20Chile%22.%22Codcom%22%3D7107" u="1"/>
        <s v="https://analytics.zoho.com/open-view/2395394000008161228?ZOHO_CRITERIA=%22Localiza%20Chile%22.%22Codcom%22%3D7107" u="1"/>
        <s v="https://analytics.zoho.com/open-view/2395394000008161229?ZOHO_CRITERIA=%22Localiza%20Chile%22.%22Codcom%22%3D7107" u="1"/>
        <s v="https://analytics.zoho.com/open-view/2395394000008161231?ZOHO_CRITERIA=%22Localiza%20Chile%22.%22Codcom%22%3D7107" u="1"/>
        <s v="https://analytics.zoho.com/open-view/2395394000008161220?ZOHO_CRITERIA=%22Localiza%20Chile%22.%22Codcom%22%3D7108" u="1"/>
        <s v="https://analytics.zoho.com/open-view/2395394000008161221?ZOHO_CRITERIA=%22Localiza%20Chile%22.%22Codcom%22%3D7108" u="1"/>
        <s v="https://analytics.zoho.com/open-view/2395394000008161222?ZOHO_CRITERIA=%22Localiza%20Chile%22.%22Codcom%22%3D7108" u="1"/>
        <s v="https://analytics.zoho.com/open-view/2395394000008161223?ZOHO_CRITERIA=%22Localiza%20Chile%22.%22Codcom%22%3D7108" u="1"/>
        <s v="https://analytics.zoho.com/open-view/2395394000008161224?ZOHO_CRITERIA=%22Localiza%20Chile%22.%22Codcom%22%3D7108" u="1"/>
        <s v="https://analytics.zoho.com/open-view/2395394000008161225?ZOHO_CRITERIA=%22Localiza%20Chile%22.%22Codcom%22%3D7108" u="1"/>
        <s v="https://analytics.zoho.com/open-view/2395394000008161226?ZOHO_CRITERIA=%22Localiza%20Chile%22.%22Codcom%22%3D7108" u="1"/>
        <s v="https://analytics.zoho.com/open-view/2395394000008161227?ZOHO_CRITERIA=%22Localiza%20Chile%22.%22Codcom%22%3D7108" u="1"/>
        <s v="https://analytics.zoho.com/open-view/2395394000008161228?ZOHO_CRITERIA=%22Localiza%20Chile%22.%22Codcom%22%3D7108" u="1"/>
        <s v="https://analytics.zoho.com/open-view/2395394000008161229?ZOHO_CRITERIA=%22Localiza%20Chile%22.%22Codcom%22%3D7108" u="1"/>
        <s v="https://analytics.zoho.com/open-view/2395394000008161231?ZOHO_CRITERIA=%22Localiza%20Chile%22.%22Codcom%22%3D7108" u="1"/>
        <s v="https://analytics.zoho.com/open-view/2395394000008161220?ZOHO_CRITERIA=%22Localiza%20Chile%22.%22Codcom%22%3D16105" u="1"/>
        <s v="https://analytics.zoho.com/open-view/2395394000008161221?ZOHO_CRITERIA=%22Localiza%20Chile%22.%22Codcom%22%3D16105" u="1"/>
        <s v="https://analytics.zoho.com/open-view/2395394000008161222?ZOHO_CRITERIA=%22Localiza%20Chile%22.%22Codcom%22%3D16105" u="1"/>
        <s v="https://analytics.zoho.com/open-view/2395394000008161223?ZOHO_CRITERIA=%22Localiza%20Chile%22.%22Codcom%22%3D16105" u="1"/>
        <s v="https://analytics.zoho.com/open-view/2395394000008161224?ZOHO_CRITERIA=%22Localiza%20Chile%22.%22Codcom%22%3D16105" u="1"/>
        <s v="https://analytics.zoho.com/open-view/2395394000008161225?ZOHO_CRITERIA=%22Localiza%20Chile%22.%22Codcom%22%3D16105" u="1"/>
        <s v="https://analytics.zoho.com/open-view/2395394000008161226?ZOHO_CRITERIA=%22Localiza%20Chile%22.%22Codcom%22%3D16105" u="1"/>
        <s v="https://analytics.zoho.com/open-view/2395394000008161227?ZOHO_CRITERIA=%22Localiza%20Chile%22.%22Codcom%22%3D16105" u="1"/>
        <s v="https://analytics.zoho.com/open-view/2395394000008161228?ZOHO_CRITERIA=%22Localiza%20Chile%22.%22Codcom%22%3D16105" u="1"/>
        <s v="https://analytics.zoho.com/open-view/2395394000008161229?ZOHO_CRITERIA=%22Localiza%20Chile%22.%22Codcom%22%3D16105" u="1"/>
        <s v="https://analytics.zoho.com/open-view/2395394000008161231?ZOHO_CRITERIA=%22Localiza%20Chile%22.%22Codcom%22%3D16105" u="1"/>
        <s v="https://analytics.zoho.com/open-view/2395394000008161220?ZOHO_CRITERIA=%22Localiza%20Chile%22.%22Codcom%22%3D7109" u="1"/>
        <s v="https://analytics.zoho.com/open-view/2395394000008161221?ZOHO_CRITERIA=%22Localiza%20Chile%22.%22Codcom%22%3D7109" u="1"/>
        <s v="https://analytics.zoho.com/open-view/2395394000008161222?ZOHO_CRITERIA=%22Localiza%20Chile%22.%22Codcom%22%3D7109" u="1"/>
        <s v="https://analytics.zoho.com/open-view/2395394000008161223?ZOHO_CRITERIA=%22Localiza%20Chile%22.%22Codcom%22%3D7109" u="1"/>
        <s v="https://analytics.zoho.com/open-view/2395394000008161224?ZOHO_CRITERIA=%22Localiza%20Chile%22.%22Codcom%22%3D7109" u="1"/>
        <s v="https://analytics.zoho.com/open-view/2395394000008161225?ZOHO_CRITERIA=%22Localiza%20Chile%22.%22Codcom%22%3D7109" u="1"/>
        <s v="https://analytics.zoho.com/open-view/2395394000008161226?ZOHO_CRITERIA=%22Localiza%20Chile%22.%22Codcom%22%3D7109" u="1"/>
        <s v="https://analytics.zoho.com/open-view/2395394000008161227?ZOHO_CRITERIA=%22Localiza%20Chile%22.%22Codcom%22%3D7109" u="1"/>
        <s v="https://analytics.zoho.com/open-view/2395394000008161228?ZOHO_CRITERIA=%22Localiza%20Chile%22.%22Codcom%22%3D7109" u="1"/>
        <s v="https://analytics.zoho.com/open-view/2395394000008161229?ZOHO_CRITERIA=%22Localiza%20Chile%22.%22Codcom%22%3D7109" u="1"/>
        <s v="https://analytics.zoho.com/open-view/2395394000008161231?ZOHO_CRITERIA=%22Localiza%20Chile%22.%22Codcom%22%3D7109" u="1"/>
        <s v="https://analytics.zoho.com/open-view/2395394000008161220?ZOHO_CRITERIA=%22Localiza%20Chile%22.%22Codcom%22%3D8101" u="1"/>
        <s v="https://analytics.zoho.com/open-view/2395394000008161221?ZOHO_CRITERIA=%22Localiza%20Chile%22.%22Codcom%22%3D8101" u="1"/>
        <s v="https://analytics.zoho.com/open-view/2395394000008161222?ZOHO_CRITERIA=%22Localiza%20Chile%22.%22Codcom%22%3D8101" u="1"/>
        <s v="https://analytics.zoho.com/open-view/2395394000008161223?ZOHO_CRITERIA=%22Localiza%20Chile%22.%22Codcom%22%3D8101" u="1"/>
        <s v="https://analytics.zoho.com/open-view/2395394000008161224?ZOHO_CRITERIA=%22Localiza%20Chile%22.%22Codcom%22%3D8101" u="1"/>
        <s v="https://analytics.zoho.com/open-view/2395394000008161225?ZOHO_CRITERIA=%22Localiza%20Chile%22.%22Codcom%22%3D8101" u="1"/>
        <s v="https://analytics.zoho.com/open-view/2395394000008161226?ZOHO_CRITERIA=%22Localiza%20Chile%22.%22Codcom%22%3D8101" u="1"/>
        <s v="https://analytics.zoho.com/open-view/2395394000008161227?ZOHO_CRITERIA=%22Localiza%20Chile%22.%22Codcom%22%3D8101" u="1"/>
        <s v="https://analytics.zoho.com/open-view/2395394000008161228?ZOHO_CRITERIA=%22Localiza%20Chile%22.%22Codcom%22%3D8101" u="1"/>
        <s v="https://analytics.zoho.com/open-view/2395394000008161229?ZOHO_CRITERIA=%22Localiza%20Chile%22.%22Codcom%22%3D8101" u="1"/>
        <s v="https://analytics.zoho.com/open-view/2395394000008161231?ZOHO_CRITERIA=%22Localiza%20Chile%22.%22Codcom%22%3D8101" u="1"/>
        <s v="https://analytics.zoho.com/open-view/2395394000008161220?ZOHO_CRITERIA=%22Localiza%20Chile%22.%22Codcom%22%3D8102" u="1"/>
        <s v="https://analytics.zoho.com/open-view/2395394000008161221?ZOHO_CRITERIA=%22Localiza%20Chile%22.%22Codcom%22%3D8102" u="1"/>
        <s v="https://analytics.zoho.com/open-view/2395394000008161222?ZOHO_CRITERIA=%22Localiza%20Chile%22.%22Codcom%22%3D8102" u="1"/>
        <s v="https://analytics.zoho.com/open-view/2395394000008161223?ZOHO_CRITERIA=%22Localiza%20Chile%22.%22Codcom%22%3D8102" u="1"/>
        <s v="https://analytics.zoho.com/open-view/2395394000008161224?ZOHO_CRITERIA=%22Localiza%20Chile%22.%22Codcom%22%3D8102" u="1"/>
        <s v="https://analytics.zoho.com/open-view/2395394000008161225?ZOHO_CRITERIA=%22Localiza%20Chile%22.%22Codcom%22%3D8102" u="1"/>
        <s v="https://analytics.zoho.com/open-view/2395394000008161226?ZOHO_CRITERIA=%22Localiza%20Chile%22.%22Codcom%22%3D8102" u="1"/>
        <s v="https://analytics.zoho.com/open-view/2395394000008161227?ZOHO_CRITERIA=%22Localiza%20Chile%22.%22Codcom%22%3D8102" u="1"/>
        <s v="https://analytics.zoho.com/open-view/2395394000008161228?ZOHO_CRITERIA=%22Localiza%20Chile%22.%22Codcom%22%3D8102" u="1"/>
        <s v="https://analytics.zoho.com/open-view/2395394000008161229?ZOHO_CRITERIA=%22Localiza%20Chile%22.%22Codcom%22%3D8102" u="1"/>
        <s v="https://analytics.zoho.com/open-view/2395394000008161231?ZOHO_CRITERIA=%22Localiza%20Chile%22.%22Codcom%22%3D8102" u="1"/>
        <s v="https://analytics.zoho.com/open-view/2395394000008161220?ZOHO_CRITERIA=%22Localiza%20Chile%22.%22Codcom%22%3D8103" u="1"/>
        <s v="https://analytics.zoho.com/open-view/2395394000008161221?ZOHO_CRITERIA=%22Localiza%20Chile%22.%22Codcom%22%3D8103" u="1"/>
        <s v="https://analytics.zoho.com/open-view/2395394000008161222?ZOHO_CRITERIA=%22Localiza%20Chile%22.%22Codcom%22%3D8103" u="1"/>
        <s v="https://analytics.zoho.com/open-view/2395394000008161223?ZOHO_CRITERIA=%22Localiza%20Chile%22.%22Codcom%22%3D8103" u="1"/>
        <s v="https://analytics.zoho.com/open-view/2395394000008161224?ZOHO_CRITERIA=%22Localiza%20Chile%22.%22Codcom%22%3D8103" u="1"/>
        <s v="https://analytics.zoho.com/open-view/2395394000008161225?ZOHO_CRITERIA=%22Localiza%20Chile%22.%22Codcom%22%3D8103" u="1"/>
        <s v="https://analytics.zoho.com/open-view/2395394000008161226?ZOHO_CRITERIA=%22Localiza%20Chile%22.%22Codcom%22%3D8103" u="1"/>
        <s v="https://analytics.zoho.com/open-view/2395394000008161227?ZOHO_CRITERIA=%22Localiza%20Chile%22.%22Codcom%22%3D8103" u="1"/>
        <s v="https://analytics.zoho.com/open-view/2395394000008161228?ZOHO_CRITERIA=%22Localiza%20Chile%22.%22Codcom%22%3D8103" u="1"/>
        <s v="https://analytics.zoho.com/open-view/2395394000008161229?ZOHO_CRITERIA=%22Localiza%20Chile%22.%22Codcom%22%3D8103" u="1"/>
        <s v="https://analytics.zoho.com/open-view/2395394000008161231?ZOHO_CRITERIA=%22Localiza%20Chile%22.%22Codcom%22%3D8103" u="1"/>
        <s v="https://analytics.zoho.com/open-view/2395394000008161220?ZOHO_CRITERIA=%22Localiza%20Chile%22.%22Codcom%22%3D8104" u="1"/>
        <s v="https://analytics.zoho.com/open-view/2395394000008161221?ZOHO_CRITERIA=%22Localiza%20Chile%22.%22Codcom%22%3D8104" u="1"/>
        <s v="https://analytics.zoho.com/open-view/2395394000008161222?ZOHO_CRITERIA=%22Localiza%20Chile%22.%22Codcom%22%3D8104" u="1"/>
        <s v="https://analytics.zoho.com/open-view/2395394000008161223?ZOHO_CRITERIA=%22Localiza%20Chile%22.%22Codcom%22%3D8104" u="1"/>
        <s v="https://analytics.zoho.com/open-view/2395394000008161224?ZOHO_CRITERIA=%22Localiza%20Chile%22.%22Codcom%22%3D8104" u="1"/>
        <s v="https://analytics.zoho.com/open-view/2395394000008161225?ZOHO_CRITERIA=%22Localiza%20Chile%22.%22Codcom%22%3D8104" u="1"/>
        <s v="https://analytics.zoho.com/open-view/2395394000008161226?ZOHO_CRITERIA=%22Localiza%20Chile%22.%22Codcom%22%3D8104" u="1"/>
        <s v="https://analytics.zoho.com/open-view/2395394000008161227?ZOHO_CRITERIA=%22Localiza%20Chile%22.%22Codcom%22%3D8104" u="1"/>
        <s v="https://analytics.zoho.com/open-view/2395394000008161228?ZOHO_CRITERIA=%22Localiza%20Chile%22.%22Codcom%22%3D8104" u="1"/>
        <s v="https://analytics.zoho.com/open-view/2395394000008161229?ZOHO_CRITERIA=%22Localiza%20Chile%22.%22Codcom%22%3D8104" u="1"/>
        <s v="https://analytics.zoho.com/open-view/2395394000008161231?ZOHO_CRITERIA=%22Localiza%20Chile%22.%22Codcom%22%3D8104" u="1"/>
        <s v="https://analytics.zoho.com/open-view/2395394000008161220?ZOHO_CRITERIA=%22Localiza%20Chile%22.%22Codcom%22%3D8105" u="1"/>
        <s v="https://analytics.zoho.com/open-view/2395394000008161221?ZOHO_CRITERIA=%22Localiza%20Chile%22.%22Codcom%22%3D8105" u="1"/>
        <s v="https://analytics.zoho.com/open-view/2395394000008161222?ZOHO_CRITERIA=%22Localiza%20Chile%22.%22Codcom%22%3D8105" u="1"/>
        <s v="https://analytics.zoho.com/open-view/2395394000008161223?ZOHO_CRITERIA=%22Localiza%20Chile%22.%22Codcom%22%3D8105" u="1"/>
        <s v="https://analytics.zoho.com/open-view/2395394000008161224?ZOHO_CRITERIA=%22Localiza%20Chile%22.%22Codcom%22%3D8105" u="1"/>
        <s v="https://analytics.zoho.com/open-view/2395394000008161225?ZOHO_CRITERIA=%22Localiza%20Chile%22.%22Codcom%22%3D8105" u="1"/>
        <s v="https://analytics.zoho.com/open-view/2395394000008161226?ZOHO_CRITERIA=%22Localiza%20Chile%22.%22Codcom%22%3D8105" u="1"/>
        <s v="https://analytics.zoho.com/open-view/2395394000008161227?ZOHO_CRITERIA=%22Localiza%20Chile%22.%22Codcom%22%3D8105" u="1"/>
        <s v="https://analytics.zoho.com/open-view/2395394000008161228?ZOHO_CRITERIA=%22Localiza%20Chile%22.%22Codcom%22%3D8105" u="1"/>
        <s v="https://analytics.zoho.com/open-view/2395394000008161229?ZOHO_CRITERIA=%22Localiza%20Chile%22.%22Codcom%22%3D8105" u="1"/>
        <s v="https://analytics.zoho.com/open-view/2395394000008161231?ZOHO_CRITERIA=%22Localiza%20Chile%22.%22Codcom%22%3D8105" u="1"/>
        <s v="https://analytics.zoho.com/open-view/2395394000008161220?ZOHO_CRITERIA=%22Localiza%20Chile%22.%22Codcom%22%3D8106" u="1"/>
        <s v="https://analytics.zoho.com/open-view/2395394000008161221?ZOHO_CRITERIA=%22Localiza%20Chile%22.%22Codcom%22%3D8106" u="1"/>
        <s v="https://analytics.zoho.com/open-view/2395394000008161222?ZOHO_CRITERIA=%22Localiza%20Chile%22.%22Codcom%22%3D8106" u="1"/>
        <s v="https://analytics.zoho.com/open-view/2395394000008161223?ZOHO_CRITERIA=%22Localiza%20Chile%22.%22Codcom%22%3D8106" u="1"/>
        <s v="https://analytics.zoho.com/open-view/2395394000008161224?ZOHO_CRITERIA=%22Localiza%20Chile%22.%22Codcom%22%3D8106" u="1"/>
        <s v="https://analytics.zoho.com/open-view/2395394000008161225?ZOHO_CRITERIA=%22Localiza%20Chile%22.%22Codcom%22%3D8106" u="1"/>
        <s v="https://analytics.zoho.com/open-view/2395394000008161226?ZOHO_CRITERIA=%22Localiza%20Chile%22.%22Codcom%22%3D8106" u="1"/>
        <s v="https://analytics.zoho.com/open-view/2395394000008161227?ZOHO_CRITERIA=%22Localiza%20Chile%22.%22Codcom%22%3D8106" u="1"/>
        <s v="https://analytics.zoho.com/open-view/2395394000008161228?ZOHO_CRITERIA=%22Localiza%20Chile%22.%22Codcom%22%3D8106" u="1"/>
        <s v="https://analytics.zoho.com/open-view/2395394000008161229?ZOHO_CRITERIA=%22Localiza%20Chile%22.%22Codcom%22%3D8106" u="1"/>
        <s v="https://analytics.zoho.com/open-view/2395394000008161231?ZOHO_CRITERIA=%22Localiza%20Chile%22.%22Codcom%22%3D8106" u="1"/>
        <s v="https://analytics.zoho.com/open-view/2395394000008161220?ZOHO_CRITERIA=%22Localiza%20Chile%22.%22Codcom%22%3D8107" u="1"/>
        <s v="https://analytics.zoho.com/open-view/2395394000008161221?ZOHO_CRITERIA=%22Localiza%20Chile%22.%22Codcom%22%3D8107" u="1"/>
        <s v="https://analytics.zoho.com/open-view/2395394000008161222?ZOHO_CRITERIA=%22Localiza%20Chile%22.%22Codcom%22%3D8107" u="1"/>
        <s v="https://analytics.zoho.com/open-view/2395394000008161223?ZOHO_CRITERIA=%22Localiza%20Chile%22.%22Codcom%22%3D8107" u="1"/>
        <s v="https://analytics.zoho.com/open-view/2395394000008161224?ZOHO_CRITERIA=%22Localiza%20Chile%22.%22Codcom%22%3D8107" u="1"/>
        <s v="https://analytics.zoho.com/open-view/2395394000008161225?ZOHO_CRITERIA=%22Localiza%20Chile%22.%22Codcom%22%3D8107" u="1"/>
        <s v="https://analytics.zoho.com/open-view/2395394000008161226?ZOHO_CRITERIA=%22Localiza%20Chile%22.%22Codcom%22%3D8107" u="1"/>
        <s v="https://analytics.zoho.com/open-view/2395394000008161227?ZOHO_CRITERIA=%22Localiza%20Chile%22.%22Codcom%22%3D8107" u="1"/>
        <s v="https://analytics.zoho.com/open-view/2395394000008161228?ZOHO_CRITERIA=%22Localiza%20Chile%22.%22Codcom%22%3D8107" u="1"/>
        <s v="https://analytics.zoho.com/open-view/2395394000008161229?ZOHO_CRITERIA=%22Localiza%20Chile%22.%22Codcom%22%3D8107" u="1"/>
        <s v="https://analytics.zoho.com/open-view/2395394000008161231?ZOHO_CRITERIA=%22Localiza%20Chile%22.%22Codcom%22%3D8107" u="1"/>
        <s v="https://analytics.zoho.com/open-view/2395394000008161220?ZOHO_CRITERIA=%22Localiza%20Chile%22.%22Codcom%22%3D8108" u="1"/>
        <s v="https://analytics.zoho.com/open-view/2395394000008161221?ZOHO_CRITERIA=%22Localiza%20Chile%22.%22Codcom%22%3D8108" u="1"/>
        <s v="https://analytics.zoho.com/open-view/2395394000008161222?ZOHO_CRITERIA=%22Localiza%20Chile%22.%22Codcom%22%3D8108" u="1"/>
        <s v="https://analytics.zoho.com/open-view/2395394000008161223?ZOHO_CRITERIA=%22Localiza%20Chile%22.%22Codcom%22%3D8108" u="1"/>
        <s v="https://analytics.zoho.com/open-view/2395394000008161224?ZOHO_CRITERIA=%22Localiza%20Chile%22.%22Codcom%22%3D8108" u="1"/>
        <s v="https://analytics.zoho.com/open-view/2395394000008161225?ZOHO_CRITERIA=%22Localiza%20Chile%22.%22Codcom%22%3D8108" u="1"/>
        <s v="https://analytics.zoho.com/open-view/2395394000008161226?ZOHO_CRITERIA=%22Localiza%20Chile%22.%22Codcom%22%3D8108" u="1"/>
        <s v="https://analytics.zoho.com/open-view/2395394000008161227?ZOHO_CRITERIA=%22Localiza%20Chile%22.%22Codcom%22%3D8108" u="1"/>
        <s v="https://analytics.zoho.com/open-view/2395394000008161228?ZOHO_CRITERIA=%22Localiza%20Chile%22.%22Codcom%22%3D8108" u="1"/>
        <s v="https://analytics.zoho.com/open-view/2395394000008161229?ZOHO_CRITERIA=%22Localiza%20Chile%22.%22Codcom%22%3D8108" u="1"/>
        <s v="https://analytics.zoho.com/open-view/2395394000008161231?ZOHO_CRITERIA=%22Localiza%20Chile%22.%22Codcom%22%3D8108" u="1"/>
        <s v="https://analytics.zoho.com/open-view/2395394000008161220?ZOHO_CRITERIA=%22Localiza%20Chile%22.%22Codcom%22%3D8109" u="1"/>
        <s v="https://analytics.zoho.com/open-view/2395394000008161221?ZOHO_CRITERIA=%22Localiza%20Chile%22.%22Codcom%22%3D8109" u="1"/>
        <s v="https://analytics.zoho.com/open-view/2395394000008161222?ZOHO_CRITERIA=%22Localiza%20Chile%22.%22Codcom%22%3D8109" u="1"/>
        <s v="https://analytics.zoho.com/open-view/2395394000008161223?ZOHO_CRITERIA=%22Localiza%20Chile%22.%22Codcom%22%3D8109" u="1"/>
        <s v="https://analytics.zoho.com/open-view/2395394000008161224?ZOHO_CRITERIA=%22Localiza%20Chile%22.%22Codcom%22%3D8109" u="1"/>
        <s v="https://analytics.zoho.com/open-view/2395394000008161225?ZOHO_CRITERIA=%22Localiza%20Chile%22.%22Codcom%22%3D8109" u="1"/>
        <s v="https://analytics.zoho.com/open-view/2395394000008161226?ZOHO_CRITERIA=%22Localiza%20Chile%22.%22Codcom%22%3D8109" u="1"/>
        <s v="https://analytics.zoho.com/open-view/2395394000008161227?ZOHO_CRITERIA=%22Localiza%20Chile%22.%22Codcom%22%3D8109" u="1"/>
        <s v="https://analytics.zoho.com/open-view/2395394000008161228?ZOHO_CRITERIA=%22Localiza%20Chile%22.%22Codcom%22%3D8109" u="1"/>
        <s v="https://analytics.zoho.com/open-view/2395394000008161229?ZOHO_CRITERIA=%22Localiza%20Chile%22.%22Codcom%22%3D8109" u="1"/>
        <s v="https://analytics.zoho.com/open-view/2395394000008161231?ZOHO_CRITERIA=%22Localiza%20Chile%22.%22Codcom%22%3D8109" u="1"/>
        <s v="https://analytics.zoho.com/open-view/2395394000008161220?ZOHO_CRITERIA=%22Localiza%20Chile%22.%22Codcom%22%3D9101" u="1"/>
        <s v="https://analytics.zoho.com/open-view/2395394000008161221?ZOHO_CRITERIA=%22Localiza%20Chile%22.%22Codcom%22%3D9101" u="1"/>
        <s v="https://analytics.zoho.com/open-view/2395394000008161222?ZOHO_CRITERIA=%22Localiza%20Chile%22.%22Codcom%22%3D9101" u="1"/>
        <s v="https://analytics.zoho.com/open-view/2395394000008161223?ZOHO_CRITERIA=%22Localiza%20Chile%22.%22Codcom%22%3D9101" u="1"/>
        <s v="https://analytics.zoho.com/open-view/2395394000008161224?ZOHO_CRITERIA=%22Localiza%20Chile%22.%22Codcom%22%3D9101" u="1"/>
        <s v="https://analytics.zoho.com/open-view/2395394000008161225?ZOHO_CRITERIA=%22Localiza%20Chile%22.%22Codcom%22%3D9101" u="1"/>
        <s v="https://analytics.zoho.com/open-view/2395394000008161226?ZOHO_CRITERIA=%22Localiza%20Chile%22.%22Codcom%22%3D9101" u="1"/>
        <s v="https://analytics.zoho.com/open-view/2395394000008161227?ZOHO_CRITERIA=%22Localiza%20Chile%22.%22Codcom%22%3D9101" u="1"/>
        <s v="https://analytics.zoho.com/open-view/2395394000008161228?ZOHO_CRITERIA=%22Localiza%20Chile%22.%22Codcom%22%3D9101" u="1"/>
        <s v="https://analytics.zoho.com/open-view/2395394000008161229?ZOHO_CRITERIA=%22Localiza%20Chile%22.%22Codcom%22%3D9101" u="1"/>
        <s v="https://analytics.zoho.com/open-view/2395394000008161231?ZOHO_CRITERIA=%22Localiza%20Chile%22.%22Codcom%22%3D9101" u="1"/>
        <s v="https://analytics.zoho.com/open-view/2395394000008161220?ZOHO_CRITERIA=%22Localiza%20Chile%22.%22Codcom%22%3D9102" u="1"/>
        <s v="https://analytics.zoho.com/open-view/2395394000008161221?ZOHO_CRITERIA=%22Localiza%20Chile%22.%22Codcom%22%3D9102" u="1"/>
        <s v="https://analytics.zoho.com/open-view/2395394000008161222?ZOHO_CRITERIA=%22Localiza%20Chile%22.%22Codcom%22%3D9102" u="1"/>
        <s v="https://analytics.zoho.com/open-view/2395394000008161223?ZOHO_CRITERIA=%22Localiza%20Chile%22.%22Codcom%22%3D9102" u="1"/>
        <s v="https://analytics.zoho.com/open-view/2395394000008161224?ZOHO_CRITERIA=%22Localiza%20Chile%22.%22Codcom%22%3D9102" u="1"/>
        <s v="https://analytics.zoho.com/open-view/2395394000008161225?ZOHO_CRITERIA=%22Localiza%20Chile%22.%22Codcom%22%3D9102" u="1"/>
        <s v="https://analytics.zoho.com/open-view/2395394000008161226?ZOHO_CRITERIA=%22Localiza%20Chile%22.%22Codcom%22%3D9102" u="1"/>
        <s v="https://analytics.zoho.com/open-view/2395394000008161227?ZOHO_CRITERIA=%22Localiza%20Chile%22.%22Codcom%22%3D9102" u="1"/>
        <s v="https://analytics.zoho.com/open-view/2395394000008161228?ZOHO_CRITERIA=%22Localiza%20Chile%22.%22Codcom%22%3D9102" u="1"/>
        <s v="https://analytics.zoho.com/open-view/2395394000008161229?ZOHO_CRITERIA=%22Localiza%20Chile%22.%22Codcom%22%3D9102" u="1"/>
        <s v="https://analytics.zoho.com/open-view/2395394000008161231?ZOHO_CRITERIA=%22Localiza%20Chile%22.%22Codcom%22%3D9102" u="1"/>
        <s v="https://analytics.zoho.com/open-view/2395394000008161220?ZOHO_CRITERIA=%22Localiza%20Chile%22.%22Codcom%22%3D9103" u="1"/>
        <s v="https://analytics.zoho.com/open-view/2395394000008161221?ZOHO_CRITERIA=%22Localiza%20Chile%22.%22Codcom%22%3D9103" u="1"/>
        <s v="https://analytics.zoho.com/open-view/2395394000008161222?ZOHO_CRITERIA=%22Localiza%20Chile%22.%22Codcom%22%3D9103" u="1"/>
        <s v="https://analytics.zoho.com/open-view/2395394000008161223?ZOHO_CRITERIA=%22Localiza%20Chile%22.%22Codcom%22%3D9103" u="1"/>
        <s v="https://analytics.zoho.com/open-view/2395394000008161224?ZOHO_CRITERIA=%22Localiza%20Chile%22.%22Codcom%22%3D9103" u="1"/>
        <s v="https://analytics.zoho.com/open-view/2395394000008161225?ZOHO_CRITERIA=%22Localiza%20Chile%22.%22Codcom%22%3D9103" u="1"/>
        <s v="https://analytics.zoho.com/open-view/2395394000008161226?ZOHO_CRITERIA=%22Localiza%20Chile%22.%22Codcom%22%3D9103" u="1"/>
        <s v="https://analytics.zoho.com/open-view/2395394000008161227?ZOHO_CRITERIA=%22Localiza%20Chile%22.%22Codcom%22%3D9103" u="1"/>
        <s v="https://analytics.zoho.com/open-view/2395394000008161228?ZOHO_CRITERIA=%22Localiza%20Chile%22.%22Codcom%22%3D9103" u="1"/>
        <s v="https://analytics.zoho.com/open-view/2395394000008161229?ZOHO_CRITERIA=%22Localiza%20Chile%22.%22Codcom%22%3D9103" u="1"/>
        <s v="https://analytics.zoho.com/open-view/2395394000008161231?ZOHO_CRITERIA=%22Localiza%20Chile%22.%22Codcom%22%3D9103" u="1"/>
        <s v="https://analytics.zoho.com/open-view/2395394000008161220?ZOHO_CRITERIA=%22Localiza%20Chile%22.%22Codcom%22%3D9104" u="1"/>
        <s v="https://analytics.zoho.com/open-view/2395394000008161221?ZOHO_CRITERIA=%22Localiza%20Chile%22.%22Codcom%22%3D9104" u="1"/>
        <s v="https://analytics.zoho.com/open-view/2395394000008161222?ZOHO_CRITERIA=%22Localiza%20Chile%22.%22Codcom%22%3D9104" u="1"/>
        <s v="https://analytics.zoho.com/open-view/2395394000008161223?ZOHO_CRITERIA=%22Localiza%20Chile%22.%22Codcom%22%3D9104" u="1"/>
        <s v="https://analytics.zoho.com/open-view/2395394000008161224?ZOHO_CRITERIA=%22Localiza%20Chile%22.%22Codcom%22%3D9104" u="1"/>
        <s v="https://analytics.zoho.com/open-view/2395394000008161225?ZOHO_CRITERIA=%22Localiza%20Chile%22.%22Codcom%22%3D9104" u="1"/>
        <s v="https://analytics.zoho.com/open-view/2395394000008161226?ZOHO_CRITERIA=%22Localiza%20Chile%22.%22Codcom%22%3D9104" u="1"/>
        <s v="https://analytics.zoho.com/open-view/2395394000008161227?ZOHO_CRITERIA=%22Localiza%20Chile%22.%22Codcom%22%3D9104" u="1"/>
        <s v="https://analytics.zoho.com/open-view/2395394000008161228?ZOHO_CRITERIA=%22Localiza%20Chile%22.%22Codcom%22%3D9104" u="1"/>
        <s v="https://analytics.zoho.com/open-view/2395394000008161229?ZOHO_CRITERIA=%22Localiza%20Chile%22.%22Codcom%22%3D9104" u="1"/>
        <s v="https://analytics.zoho.com/open-view/2395394000008161231?ZOHO_CRITERIA=%22Localiza%20Chile%22.%22Codcom%22%3D9104" u="1"/>
        <s v="https://analytics.zoho.com/open-view/2395394000008161220?ZOHO_CRITERIA=%22Localiza%20Chile%22.%22Codcom%22%3D9105" u="1"/>
        <s v="https://analytics.zoho.com/open-view/2395394000008161221?ZOHO_CRITERIA=%22Localiza%20Chile%22.%22Codcom%22%3D9105" u="1"/>
        <s v="https://analytics.zoho.com/open-view/2395394000008161222?ZOHO_CRITERIA=%22Localiza%20Chile%22.%22Codcom%22%3D9105" u="1"/>
        <s v="https://analytics.zoho.com/open-view/2395394000008161223?ZOHO_CRITERIA=%22Localiza%20Chile%22.%22Codcom%22%3D9105" u="1"/>
        <s v="https://analytics.zoho.com/open-view/2395394000008161224?ZOHO_CRITERIA=%22Localiza%20Chile%22.%22Codcom%22%3D9105" u="1"/>
        <s v="https://analytics.zoho.com/open-view/2395394000008161225?ZOHO_CRITERIA=%22Localiza%20Chile%22.%22Codcom%22%3D9105" u="1"/>
        <s v="https://analytics.zoho.com/open-view/2395394000008161226?ZOHO_CRITERIA=%22Localiza%20Chile%22.%22Codcom%22%3D9105" u="1"/>
        <s v="https://analytics.zoho.com/open-view/2395394000008161227?ZOHO_CRITERIA=%22Localiza%20Chile%22.%22Codcom%22%3D9105" u="1"/>
        <s v="https://analytics.zoho.com/open-view/2395394000008161228?ZOHO_CRITERIA=%22Localiza%20Chile%22.%22Codcom%22%3D9105" u="1"/>
        <s v="https://analytics.zoho.com/open-view/2395394000008161229?ZOHO_CRITERIA=%22Localiza%20Chile%22.%22Codcom%22%3D9105" u="1"/>
        <s v="https://analytics.zoho.com/open-view/2395394000008161231?ZOHO_CRITERIA=%22Localiza%20Chile%22.%22Codcom%22%3D9105" u="1"/>
        <s v="https://analytics.zoho.com/open-view/2395394000008161220?ZOHO_CRITERIA=%22Localiza%20Chile%22.%22Codcom%22%3D9106" u="1"/>
        <s v="https://analytics.zoho.com/open-view/2395394000008161221?ZOHO_CRITERIA=%22Localiza%20Chile%22.%22Codcom%22%3D9106" u="1"/>
        <s v="https://analytics.zoho.com/open-view/2395394000008161222?ZOHO_CRITERIA=%22Localiza%20Chile%22.%22Codcom%22%3D9106" u="1"/>
        <s v="https://analytics.zoho.com/open-view/2395394000008161223?ZOHO_CRITERIA=%22Localiza%20Chile%22.%22Codcom%22%3D9106" u="1"/>
        <s v="https://analytics.zoho.com/open-view/2395394000008161224?ZOHO_CRITERIA=%22Localiza%20Chile%22.%22Codcom%22%3D9106" u="1"/>
        <s v="https://analytics.zoho.com/open-view/2395394000008161225?ZOHO_CRITERIA=%22Localiza%20Chile%22.%22Codcom%22%3D9106" u="1"/>
        <s v="https://analytics.zoho.com/open-view/2395394000008161226?ZOHO_CRITERIA=%22Localiza%20Chile%22.%22Codcom%22%3D9106" u="1"/>
        <s v="https://analytics.zoho.com/open-view/2395394000008161227?ZOHO_CRITERIA=%22Localiza%20Chile%22.%22Codcom%22%3D9106" u="1"/>
        <s v="https://analytics.zoho.com/open-view/2395394000008161228?ZOHO_CRITERIA=%22Localiza%20Chile%22.%22Codcom%22%3D9106" u="1"/>
        <s v="https://analytics.zoho.com/open-view/2395394000008161229?ZOHO_CRITERIA=%22Localiza%20Chile%22.%22Codcom%22%3D9106" u="1"/>
        <s v="https://analytics.zoho.com/open-view/2395394000008161231?ZOHO_CRITERIA=%22Localiza%20Chile%22.%22Codcom%22%3D9106" u="1"/>
        <s v="https://analytics.zoho.com/open-view/2395394000008161220?ZOHO_CRITERIA=%22Localiza%20Chile%22.%22Codcom%22%3D9107" u="1"/>
        <s v="https://analytics.zoho.com/open-view/2395394000008161221?ZOHO_CRITERIA=%22Localiza%20Chile%22.%22Codcom%22%3D9107" u="1"/>
        <s v="https://analytics.zoho.com/open-view/2395394000008161222?ZOHO_CRITERIA=%22Localiza%20Chile%22.%22Codcom%22%3D9107" u="1"/>
        <s v="https://analytics.zoho.com/open-view/2395394000008161223?ZOHO_CRITERIA=%22Localiza%20Chile%22.%22Codcom%22%3D9107" u="1"/>
        <s v="https://analytics.zoho.com/open-view/2395394000008161224?ZOHO_CRITERIA=%22Localiza%20Chile%22.%22Codcom%22%3D9107" u="1"/>
        <s v="https://analytics.zoho.com/open-view/2395394000008161225?ZOHO_CRITERIA=%22Localiza%20Chile%22.%22Codcom%22%3D9107" u="1"/>
        <s v="https://analytics.zoho.com/open-view/2395394000008161226?ZOHO_CRITERIA=%22Localiza%20Chile%22.%22Codcom%22%3D9107" u="1"/>
        <s v="https://analytics.zoho.com/open-view/2395394000008161227?ZOHO_CRITERIA=%22Localiza%20Chile%22.%22Codcom%22%3D9107" u="1"/>
        <s v="https://analytics.zoho.com/open-view/2395394000008161228?ZOHO_CRITERIA=%22Localiza%20Chile%22.%22Codcom%22%3D9107" u="1"/>
        <s v="https://analytics.zoho.com/open-view/2395394000008161229?ZOHO_CRITERIA=%22Localiza%20Chile%22.%22Codcom%22%3D9107" u="1"/>
        <s v="https://analytics.zoho.com/open-view/2395394000008161231?ZOHO_CRITERIA=%22Localiza%20Chile%22.%22Codcom%22%3D9107" u="1"/>
        <s v="https://analytics.zoho.com/open-view/2395394000008161220?ZOHO_CRITERIA=%22Localiza%20Chile%22.%22Codcom%22%3D9108" u="1"/>
        <s v="https://analytics.zoho.com/open-view/2395394000008161221?ZOHO_CRITERIA=%22Localiza%20Chile%22.%22Codcom%22%3D9108" u="1"/>
        <s v="https://analytics.zoho.com/open-view/2395394000008161222?ZOHO_CRITERIA=%22Localiza%20Chile%22.%22Codcom%22%3D9108" u="1"/>
        <s v="https://analytics.zoho.com/open-view/2395394000008161223?ZOHO_CRITERIA=%22Localiza%20Chile%22.%22Codcom%22%3D9108" u="1"/>
        <s v="https://analytics.zoho.com/open-view/2395394000008161224?ZOHO_CRITERIA=%22Localiza%20Chile%22.%22Codcom%22%3D9108" u="1"/>
        <s v="https://analytics.zoho.com/open-view/2395394000008161225?ZOHO_CRITERIA=%22Localiza%20Chile%22.%22Codcom%22%3D9108" u="1"/>
        <s v="https://analytics.zoho.com/open-view/2395394000008161226?ZOHO_CRITERIA=%22Localiza%20Chile%22.%22Codcom%22%3D9108" u="1"/>
        <s v="https://analytics.zoho.com/open-view/2395394000008161227?ZOHO_CRITERIA=%22Localiza%20Chile%22.%22Codcom%22%3D9108" u="1"/>
        <s v="https://analytics.zoho.com/open-view/2395394000008161228?ZOHO_CRITERIA=%22Localiza%20Chile%22.%22Codcom%22%3D9108" u="1"/>
        <s v="https://analytics.zoho.com/open-view/2395394000008161229?ZOHO_CRITERIA=%22Localiza%20Chile%22.%22Codcom%22%3D9108" u="1"/>
        <s v="https://analytics.zoho.com/open-view/2395394000008161231?ZOHO_CRITERIA=%22Localiza%20Chile%22.%22Codcom%22%3D9108" u="1"/>
        <s v="https://analytics.zoho.com/open-view/2395394000008161220?ZOHO_CRITERIA=%22Localiza%20Chile%22.%22Codcom%22%3D16106" u="1"/>
        <s v="https://analytics.zoho.com/open-view/2395394000008161221?ZOHO_CRITERIA=%22Localiza%20Chile%22.%22Codcom%22%3D16106" u="1"/>
        <s v="https://analytics.zoho.com/open-view/2395394000008161222?ZOHO_CRITERIA=%22Localiza%20Chile%22.%22Codcom%22%3D16106" u="1"/>
        <s v="https://analytics.zoho.com/open-view/2395394000008161223?ZOHO_CRITERIA=%22Localiza%20Chile%22.%22Codcom%22%3D16106" u="1"/>
        <s v="https://analytics.zoho.com/open-view/2395394000008161224?ZOHO_CRITERIA=%22Localiza%20Chile%22.%22Codcom%22%3D16106" u="1"/>
        <s v="https://analytics.zoho.com/open-view/2395394000008161225?ZOHO_CRITERIA=%22Localiza%20Chile%22.%22Codcom%22%3D16106" u="1"/>
        <s v="https://analytics.zoho.com/open-view/2395394000008161226?ZOHO_CRITERIA=%22Localiza%20Chile%22.%22Codcom%22%3D16106" u="1"/>
        <s v="https://analytics.zoho.com/open-view/2395394000008161227?ZOHO_CRITERIA=%22Localiza%20Chile%22.%22Codcom%22%3D16106" u="1"/>
        <s v="https://analytics.zoho.com/open-view/2395394000008161228?ZOHO_CRITERIA=%22Localiza%20Chile%22.%22Codcom%22%3D16106" u="1"/>
        <s v="https://analytics.zoho.com/open-view/2395394000008161229?ZOHO_CRITERIA=%22Localiza%20Chile%22.%22Codcom%22%3D16106" u="1"/>
        <s v="https://analytics.zoho.com/open-view/2395394000008161231?ZOHO_CRITERIA=%22Localiza%20Chile%22.%22Codcom%22%3D16106" u="1"/>
        <s v="https://analytics.zoho.com/open-view/2395394000008161220?ZOHO_CRITERIA=%22Localiza%20Chile%22.%22Codcom%22%3D9109" u="1"/>
        <s v="https://analytics.zoho.com/open-view/2395394000008161221?ZOHO_CRITERIA=%22Localiza%20Chile%22.%22Codcom%22%3D9109" u="1"/>
        <s v="https://analytics.zoho.com/open-view/2395394000008161222?ZOHO_CRITERIA=%22Localiza%20Chile%22.%22Codcom%22%3D9109" u="1"/>
        <s v="https://analytics.zoho.com/open-view/2395394000008161223?ZOHO_CRITERIA=%22Localiza%20Chile%22.%22Codcom%22%3D9109" u="1"/>
        <s v="https://analytics.zoho.com/open-view/2395394000008161224?ZOHO_CRITERIA=%22Localiza%20Chile%22.%22Codcom%22%3D9109" u="1"/>
        <s v="https://analytics.zoho.com/open-view/2395394000008161225?ZOHO_CRITERIA=%22Localiza%20Chile%22.%22Codcom%22%3D9109" u="1"/>
        <s v="https://analytics.zoho.com/open-view/2395394000008161226?ZOHO_CRITERIA=%22Localiza%20Chile%22.%22Codcom%22%3D9109" u="1"/>
        <s v="https://analytics.zoho.com/open-view/2395394000008161227?ZOHO_CRITERIA=%22Localiza%20Chile%22.%22Codcom%22%3D9109" u="1"/>
        <s v="https://analytics.zoho.com/open-view/2395394000008161228?ZOHO_CRITERIA=%22Localiza%20Chile%22.%22Codcom%22%3D9109" u="1"/>
        <s v="https://analytics.zoho.com/open-view/2395394000008161229?ZOHO_CRITERIA=%22Localiza%20Chile%22.%22Codcom%22%3D9109" u="1"/>
        <s v="https://analytics.zoho.com/open-view/2395394000008161231?ZOHO_CRITERIA=%22Localiza%20Chile%22.%22Codcom%22%3D9109" u="1"/>
        <s v="https://analytics.zoho.com/open-view/2395394000008161220?ZOHO_CRITERIA=%22Localiza%20Chile%22.%22Codcom%22%3D16107" u="1"/>
        <s v="https://analytics.zoho.com/open-view/2395394000008161221?ZOHO_CRITERIA=%22Localiza%20Chile%22.%22Codcom%22%3D16107" u="1"/>
        <s v="https://analytics.zoho.com/open-view/2395394000008161222?ZOHO_CRITERIA=%22Localiza%20Chile%22.%22Codcom%22%3D16107" u="1"/>
        <s v="https://analytics.zoho.com/open-view/2395394000008161223?ZOHO_CRITERIA=%22Localiza%20Chile%22.%22Codcom%22%3D16107" u="1"/>
        <s v="https://analytics.zoho.com/open-view/2395394000008161224?ZOHO_CRITERIA=%22Localiza%20Chile%22.%22Codcom%22%3D16107" u="1"/>
        <s v="https://analytics.zoho.com/open-view/2395394000008161225?ZOHO_CRITERIA=%22Localiza%20Chile%22.%22Codcom%22%3D16107" u="1"/>
        <s v="https://analytics.zoho.com/open-view/2395394000008161226?ZOHO_CRITERIA=%22Localiza%20Chile%22.%22Codcom%22%3D16107" u="1"/>
        <s v="https://analytics.zoho.com/open-view/2395394000008161227?ZOHO_CRITERIA=%22Localiza%20Chile%22.%22Codcom%22%3D16107" u="1"/>
        <s v="https://analytics.zoho.com/open-view/2395394000008161228?ZOHO_CRITERIA=%22Localiza%20Chile%22.%22Codcom%22%3D16107" u="1"/>
        <s v="https://analytics.zoho.com/open-view/2395394000008161229?ZOHO_CRITERIA=%22Localiza%20Chile%22.%22Codcom%22%3D16107" u="1"/>
        <s v="https://analytics.zoho.com/open-view/2395394000008161231?ZOHO_CRITERIA=%22Localiza%20Chile%22.%22Codcom%22%3D16107" u="1"/>
        <s v="https://analytics.zoho.com/open-view/2395394000008161220?ZOHO_CRITERIA=%22Localiza%20Chile%22.%22Codcom%22%3D11401" u="1"/>
        <s v="https://analytics.zoho.com/open-view/2395394000008161221?ZOHO_CRITERIA=%22Localiza%20Chile%22.%22Codcom%22%3D11401" u="1"/>
        <s v="https://analytics.zoho.com/open-view/2395394000008161222?ZOHO_CRITERIA=%22Localiza%20Chile%22.%22Codcom%22%3D11401" u="1"/>
        <s v="https://analytics.zoho.com/open-view/2395394000008161223?ZOHO_CRITERIA=%22Localiza%20Chile%22.%22Codcom%22%3D11401" u="1"/>
        <s v="https://analytics.zoho.com/open-view/2395394000008161224?ZOHO_CRITERIA=%22Localiza%20Chile%22.%22Codcom%22%3D11401" u="1"/>
        <s v="https://analytics.zoho.com/open-view/2395394000008161225?ZOHO_CRITERIA=%22Localiza%20Chile%22.%22Codcom%22%3D11401" u="1"/>
        <s v="https://analytics.zoho.com/open-view/2395394000008161226?ZOHO_CRITERIA=%22Localiza%20Chile%22.%22Codcom%22%3D11401" u="1"/>
        <s v="https://analytics.zoho.com/open-view/2395394000008161227?ZOHO_CRITERIA=%22Localiza%20Chile%22.%22Codcom%22%3D11401" u="1"/>
        <s v="https://analytics.zoho.com/open-view/2395394000008161228?ZOHO_CRITERIA=%22Localiza%20Chile%22.%22Codcom%22%3D11401" u="1"/>
        <s v="https://analytics.zoho.com/open-view/2395394000008161229?ZOHO_CRITERIA=%22Localiza%20Chile%22.%22Codcom%22%3D11401" u="1"/>
        <s v="https://analytics.zoho.com/open-view/2395394000008161231?ZOHO_CRITERIA=%22Localiza%20Chile%22.%22Codcom%22%3D11401" u="1"/>
        <s v="https://analytics.zoho.com/open-view/2395394000008161220?ZOHO_CRITERIA=%22Localiza%20Chile%22.%22Codcom%22%3D12201" u="1"/>
        <s v="https://analytics.zoho.com/open-view/2395394000008161221?ZOHO_CRITERIA=%22Localiza%20Chile%22.%22Codcom%22%3D12201" u="1"/>
        <s v="https://analytics.zoho.com/open-view/2395394000008161222?ZOHO_CRITERIA=%22Localiza%20Chile%22.%22Codcom%22%3D12201" u="1"/>
        <s v="https://analytics.zoho.com/open-view/2395394000008161223?ZOHO_CRITERIA=%22Localiza%20Chile%22.%22Codcom%22%3D12201" u="1"/>
        <s v="https://analytics.zoho.com/open-view/2395394000008161224?ZOHO_CRITERIA=%22Localiza%20Chile%22.%22Codcom%22%3D12201" u="1"/>
        <s v="https://analytics.zoho.com/open-view/2395394000008161225?ZOHO_CRITERIA=%22Localiza%20Chile%22.%22Codcom%22%3D12201" u="1"/>
        <s v="https://analytics.zoho.com/open-view/2395394000008161226?ZOHO_CRITERIA=%22Localiza%20Chile%22.%22Codcom%22%3D12201" u="1"/>
        <s v="https://analytics.zoho.com/open-view/2395394000008161227?ZOHO_CRITERIA=%22Localiza%20Chile%22.%22Codcom%22%3D12201" u="1"/>
        <s v="https://analytics.zoho.com/open-view/2395394000008161228?ZOHO_CRITERIA=%22Localiza%20Chile%22.%22Codcom%22%3D12201" u="1"/>
        <s v="https://analytics.zoho.com/open-view/2395394000008161229?ZOHO_CRITERIA=%22Localiza%20Chile%22.%22Codcom%22%3D12201" u="1"/>
        <s v="https://analytics.zoho.com/open-view/2395394000008161231?ZOHO_CRITERIA=%22Localiza%20Chile%22.%22Codcom%22%3D12201" u="1"/>
        <s v="https://analytics.zoho.com/open-view/2395394000008161220?ZOHO_CRITERIA=%22Localiza%20Chile%22.%22Codcom%22%3D16108" u="1"/>
        <s v="https://analytics.zoho.com/open-view/2395394000008161221?ZOHO_CRITERIA=%22Localiza%20Chile%22.%22Codcom%22%3D16108" u="1"/>
        <s v="https://analytics.zoho.com/open-view/2395394000008161222?ZOHO_CRITERIA=%22Localiza%20Chile%22.%22Codcom%22%3D16108" u="1"/>
        <s v="https://analytics.zoho.com/open-view/2395394000008161223?ZOHO_CRITERIA=%22Localiza%20Chile%22.%22Codcom%22%3D16108" u="1"/>
        <s v="https://analytics.zoho.com/open-view/2395394000008161224?ZOHO_CRITERIA=%22Localiza%20Chile%22.%22Codcom%22%3D16108" u="1"/>
        <s v="https://analytics.zoho.com/open-view/2395394000008161225?ZOHO_CRITERIA=%22Localiza%20Chile%22.%22Codcom%22%3D16108" u="1"/>
        <s v="https://analytics.zoho.com/open-view/2395394000008161226?ZOHO_CRITERIA=%22Localiza%20Chile%22.%22Codcom%22%3D16108" u="1"/>
        <s v="https://analytics.zoho.com/open-view/2395394000008161227?ZOHO_CRITERIA=%22Localiza%20Chile%22.%22Codcom%22%3D16108" u="1"/>
        <s v="https://analytics.zoho.com/open-view/2395394000008161228?ZOHO_CRITERIA=%22Localiza%20Chile%22.%22Codcom%22%3D16108" u="1"/>
        <s v="https://analytics.zoho.com/open-view/2395394000008161229?ZOHO_CRITERIA=%22Localiza%20Chile%22.%22Codcom%22%3D16108" u="1"/>
        <s v="https://analytics.zoho.com/open-view/2395394000008161231?ZOHO_CRITERIA=%22Localiza%20Chile%22.%22Codcom%22%3D16108" u="1"/>
        <s v="https://analytics.zoho.com/open-view/2395394000008161220?ZOHO_CRITERIA=%22Localiza%20Chile%22.%22Codcom%22%3D11402" u="1"/>
        <s v="https://analytics.zoho.com/open-view/2395394000008161221?ZOHO_CRITERIA=%22Localiza%20Chile%22.%22Codcom%22%3D11402" u="1"/>
        <s v="https://analytics.zoho.com/open-view/2395394000008161222?ZOHO_CRITERIA=%22Localiza%20Chile%22.%22Codcom%22%3D11402" u="1"/>
        <s v="https://analytics.zoho.com/open-view/2395394000008161223?ZOHO_CRITERIA=%22Localiza%20Chile%22.%22Codcom%22%3D11402" u="1"/>
        <s v="https://analytics.zoho.com/open-view/2395394000008161224?ZOHO_CRITERIA=%22Localiza%20Chile%22.%22Codcom%22%3D11402" u="1"/>
        <s v="https://analytics.zoho.com/open-view/2395394000008161225?ZOHO_CRITERIA=%22Localiza%20Chile%22.%22Codcom%22%3D11402" u="1"/>
        <s v="https://analytics.zoho.com/open-view/2395394000008161226?ZOHO_CRITERIA=%22Localiza%20Chile%22.%22Codcom%22%3D11402" u="1"/>
        <s v="https://analytics.zoho.com/open-view/2395394000008161227?ZOHO_CRITERIA=%22Localiza%20Chile%22.%22Codcom%22%3D11402" u="1"/>
        <s v="https://analytics.zoho.com/open-view/2395394000008161228?ZOHO_CRITERIA=%22Localiza%20Chile%22.%22Codcom%22%3D11402" u="1"/>
        <s v="https://analytics.zoho.com/open-view/2395394000008161229?ZOHO_CRITERIA=%22Localiza%20Chile%22.%22Codcom%22%3D11402" u="1"/>
        <s v="https://analytics.zoho.com/open-view/2395394000008161231?ZOHO_CRITERIA=%22Localiza%20Chile%22.%22Codcom%22%3D11402" u="1"/>
        <s v="https://analytics.zoho.com/open-view/2395394000008161220?ZOHO_CRITERIA=%22Localiza%20Chile%22.%22Codcom%22%3D16201" u="1"/>
        <s v="https://analytics.zoho.com/open-view/2395394000008161221?ZOHO_CRITERIA=%22Localiza%20Chile%22.%22Codcom%22%3D16201" u="1"/>
        <s v="https://analytics.zoho.com/open-view/2395394000008161222?ZOHO_CRITERIA=%22Localiza%20Chile%22.%22Codcom%22%3D16201" u="1"/>
        <s v="https://analytics.zoho.com/open-view/2395394000008161223?ZOHO_CRITERIA=%22Localiza%20Chile%22.%22Codcom%22%3D16201" u="1"/>
        <s v="https://analytics.zoho.com/open-view/2395394000008161224?ZOHO_CRITERIA=%22Localiza%20Chile%22.%22Codcom%22%3D16201" u="1"/>
        <s v="https://analytics.zoho.com/open-view/2395394000008161225?ZOHO_CRITERIA=%22Localiza%20Chile%22.%22Codcom%22%3D16201" u="1"/>
        <s v="https://analytics.zoho.com/open-view/2395394000008161226?ZOHO_CRITERIA=%22Localiza%20Chile%22.%22Codcom%22%3D16201" u="1"/>
        <s v="https://analytics.zoho.com/open-view/2395394000008161227?ZOHO_CRITERIA=%22Localiza%20Chile%22.%22Codcom%22%3D16201" u="1"/>
        <s v="https://analytics.zoho.com/open-view/2395394000008161228?ZOHO_CRITERIA=%22Localiza%20Chile%22.%22Codcom%22%3D16201" u="1"/>
        <s v="https://analytics.zoho.com/open-view/2395394000008161229?ZOHO_CRITERIA=%22Localiza%20Chile%22.%22Codcom%22%3D16201" u="1"/>
        <s v="https://analytics.zoho.com/open-view/2395394000008161231?ZOHO_CRITERIA=%22Localiza%20Chile%22.%22Codcom%22%3D16201" u="1"/>
        <s v="https://analytics.zoho.com/open-view/2395394000008161220?ZOHO_CRITERIA=%22Localiza%20Chile%22.%22Codcom%22%3D16109" u="1"/>
        <s v="https://analytics.zoho.com/open-view/2395394000008161221?ZOHO_CRITERIA=%22Localiza%20Chile%22.%22Codcom%22%3D16109" u="1"/>
        <s v="https://analytics.zoho.com/open-view/2395394000008161222?ZOHO_CRITERIA=%22Localiza%20Chile%22.%22Codcom%22%3D16109" u="1"/>
        <s v="https://analytics.zoho.com/open-view/2395394000008161223?ZOHO_CRITERIA=%22Localiza%20Chile%22.%22Codcom%22%3D16109" u="1"/>
        <s v="https://analytics.zoho.com/open-view/2395394000008161224?ZOHO_CRITERIA=%22Localiza%20Chile%22.%22Codcom%22%3D16109" u="1"/>
        <s v="https://analytics.zoho.com/open-view/2395394000008161225?ZOHO_CRITERIA=%22Localiza%20Chile%22.%22Codcom%22%3D16109" u="1"/>
        <s v="https://analytics.zoho.com/open-view/2395394000008161226?ZOHO_CRITERIA=%22Localiza%20Chile%22.%22Codcom%22%3D16109" u="1"/>
        <s v="https://analytics.zoho.com/open-view/2395394000008161227?ZOHO_CRITERIA=%22Localiza%20Chile%22.%22Codcom%22%3D16109" u="1"/>
        <s v="https://analytics.zoho.com/open-view/2395394000008161228?ZOHO_CRITERIA=%22Localiza%20Chile%22.%22Codcom%22%3D16109" u="1"/>
        <s v="https://analytics.zoho.com/open-view/2395394000008161229?ZOHO_CRITERIA=%22Localiza%20Chile%22.%22Codcom%22%3D16109" u="1"/>
        <s v="https://analytics.zoho.com/open-view/2395394000008161231?ZOHO_CRITERIA=%22Localiza%20Chile%22.%22Codcom%22%3D16109" u="1"/>
        <s v="https://analytics.zoho.com/open-view/2395394000008161220?ZOHO_CRITERIA=%22Localiza%20Chile%22.%22Codcom%22%3D16202" u="1"/>
        <s v="https://analytics.zoho.com/open-view/2395394000008161221?ZOHO_CRITERIA=%22Localiza%20Chile%22.%22Codcom%22%3D16202" u="1"/>
        <s v="https://analytics.zoho.com/open-view/2395394000008161222?ZOHO_CRITERIA=%22Localiza%20Chile%22.%22Codcom%22%3D16202" u="1"/>
        <s v="https://analytics.zoho.com/open-view/2395394000008161223?ZOHO_CRITERIA=%22Localiza%20Chile%22.%22Codcom%22%3D16202" u="1"/>
        <s v="https://analytics.zoho.com/open-view/2395394000008161224?ZOHO_CRITERIA=%22Localiza%20Chile%22.%22Codcom%22%3D16202" u="1"/>
        <s v="https://analytics.zoho.com/open-view/2395394000008161225?ZOHO_CRITERIA=%22Localiza%20Chile%22.%22Codcom%22%3D16202" u="1"/>
        <s v="https://analytics.zoho.com/open-view/2395394000008161226?ZOHO_CRITERIA=%22Localiza%20Chile%22.%22Codcom%22%3D16202" u="1"/>
        <s v="https://analytics.zoho.com/open-view/2395394000008161227?ZOHO_CRITERIA=%22Localiza%20Chile%22.%22Codcom%22%3D16202" u="1"/>
        <s v="https://analytics.zoho.com/open-view/2395394000008161228?ZOHO_CRITERIA=%22Localiza%20Chile%22.%22Codcom%22%3D16202" u="1"/>
        <s v="https://analytics.zoho.com/open-view/2395394000008161229?ZOHO_CRITERIA=%22Localiza%20Chile%22.%22Codcom%22%3D16202" u="1"/>
        <s v="https://analytics.zoho.com/open-view/2395394000008161231?ZOHO_CRITERIA=%22Localiza%20Chile%22.%22Codcom%22%3D16202" u="1"/>
        <s v="https://analytics.zoho.com/open-view/2395394000008161220?ZOHO_CRITERIA=%22Localiza%20Chile%22.%22Codcom%22%3D16203" u="1"/>
        <s v="https://analytics.zoho.com/open-view/2395394000008161221?ZOHO_CRITERIA=%22Localiza%20Chile%22.%22Codcom%22%3D16203" u="1"/>
        <s v="https://analytics.zoho.com/open-view/2395394000008161222?ZOHO_CRITERIA=%22Localiza%20Chile%22.%22Codcom%22%3D16203" u="1"/>
        <s v="https://analytics.zoho.com/open-view/2395394000008161223?ZOHO_CRITERIA=%22Localiza%20Chile%22.%22Codcom%22%3D16203" u="1"/>
        <s v="https://analytics.zoho.com/open-view/2395394000008161224?ZOHO_CRITERIA=%22Localiza%20Chile%22.%22Codcom%22%3D16203" u="1"/>
        <s v="https://analytics.zoho.com/open-view/2395394000008161225?ZOHO_CRITERIA=%22Localiza%20Chile%22.%22Codcom%22%3D16203" u="1"/>
        <s v="https://analytics.zoho.com/open-view/2395394000008161226?ZOHO_CRITERIA=%22Localiza%20Chile%22.%22Codcom%22%3D16203" u="1"/>
        <s v="https://analytics.zoho.com/open-view/2395394000008161227?ZOHO_CRITERIA=%22Localiza%20Chile%22.%22Codcom%22%3D16203" u="1"/>
        <s v="https://analytics.zoho.com/open-view/2395394000008161228?ZOHO_CRITERIA=%22Localiza%20Chile%22.%22Codcom%22%3D16203" u="1"/>
        <s v="https://analytics.zoho.com/open-view/2395394000008161229?ZOHO_CRITERIA=%22Localiza%20Chile%22.%22Codcom%22%3D16203" u="1"/>
        <s v="https://analytics.zoho.com/open-view/2395394000008161231?ZOHO_CRITERIA=%22Localiza%20Chile%22.%22Codcom%22%3D16203" u="1"/>
        <s v="https://analytics.zoho.com/open-view/2395394000008161220?ZOHO_CRITERIA=%22Localiza%20Chile%22.%22Codcom%22%3D16204" u="1"/>
        <s v="https://analytics.zoho.com/open-view/2395394000008161221?ZOHO_CRITERIA=%22Localiza%20Chile%22.%22Codcom%22%3D16204" u="1"/>
        <s v="https://analytics.zoho.com/open-view/2395394000008161222?ZOHO_CRITERIA=%22Localiza%20Chile%22.%22Codcom%22%3D16204" u="1"/>
        <s v="https://analytics.zoho.com/open-view/2395394000008161223?ZOHO_CRITERIA=%22Localiza%20Chile%22.%22Codcom%22%3D16204" u="1"/>
        <s v="https://analytics.zoho.com/open-view/2395394000008161224?ZOHO_CRITERIA=%22Localiza%20Chile%22.%22Codcom%22%3D16204" u="1"/>
        <s v="https://analytics.zoho.com/open-view/2395394000008161225?ZOHO_CRITERIA=%22Localiza%20Chile%22.%22Codcom%22%3D16204" u="1"/>
        <s v="https://analytics.zoho.com/open-view/2395394000008161226?ZOHO_CRITERIA=%22Localiza%20Chile%22.%22Codcom%22%3D16204" u="1"/>
        <s v="https://analytics.zoho.com/open-view/2395394000008161227?ZOHO_CRITERIA=%22Localiza%20Chile%22.%22Codcom%22%3D16204" u="1"/>
        <s v="https://analytics.zoho.com/open-view/2395394000008161228?ZOHO_CRITERIA=%22Localiza%20Chile%22.%22Codcom%22%3D16204" u="1"/>
        <s v="https://analytics.zoho.com/open-view/2395394000008161229?ZOHO_CRITERIA=%22Localiza%20Chile%22.%22Codcom%22%3D16204" u="1"/>
        <s v="https://analytics.zoho.com/open-view/2395394000008161231?ZOHO_CRITERIA=%22Localiza%20Chile%22.%22Codcom%22%3D16204" u="1"/>
        <s v="https://analytics.zoho.com/open-view/2395394000008161220?ZOHO_CRITERIA=%22Localiza%20Chile%22.%22Codcom%22%3D6110" u="1"/>
        <s v="https://analytics.zoho.com/open-view/2395394000008161221?ZOHO_CRITERIA=%22Localiza%20Chile%22.%22Codcom%22%3D6110" u="1"/>
        <s v="https://analytics.zoho.com/open-view/2395394000008161222?ZOHO_CRITERIA=%22Localiza%20Chile%22.%22Codcom%22%3D6110" u="1"/>
        <s v="https://analytics.zoho.com/open-view/2395394000008161223?ZOHO_CRITERIA=%22Localiza%20Chile%22.%22Codcom%22%3D6110" u="1"/>
        <s v="https://analytics.zoho.com/open-view/2395394000008161224?ZOHO_CRITERIA=%22Localiza%20Chile%22.%22Codcom%22%3D6110" u="1"/>
        <s v="https://analytics.zoho.com/open-view/2395394000008161225?ZOHO_CRITERIA=%22Localiza%20Chile%22.%22Codcom%22%3D6110" u="1"/>
        <s v="https://analytics.zoho.com/open-view/2395394000008161226?ZOHO_CRITERIA=%22Localiza%20Chile%22.%22Codcom%22%3D6110" u="1"/>
        <s v="https://analytics.zoho.com/open-view/2395394000008161227?ZOHO_CRITERIA=%22Localiza%20Chile%22.%22Codcom%22%3D6110" u="1"/>
        <s v="https://analytics.zoho.com/open-view/2395394000008161228?ZOHO_CRITERIA=%22Localiza%20Chile%22.%22Codcom%22%3D6110" u="1"/>
        <s v="https://analytics.zoho.com/open-view/2395394000008161229?ZOHO_CRITERIA=%22Localiza%20Chile%22.%22Codcom%22%3D6110" u="1"/>
        <s v="https://analytics.zoho.com/open-view/2395394000008161231?ZOHO_CRITERIA=%22Localiza%20Chile%22.%22Codcom%22%3D6110" u="1"/>
        <s v="https://analytics.zoho.com/open-view/2395394000008161220?ZOHO_CRITERIA=%22Localiza%20Chile%22.%22Codcom%22%3D6111" u="1"/>
        <s v="https://analytics.zoho.com/open-view/2395394000008161221?ZOHO_CRITERIA=%22Localiza%20Chile%22.%22Codcom%22%3D6111" u="1"/>
        <s v="https://analytics.zoho.com/open-view/2395394000008161222?ZOHO_CRITERIA=%22Localiza%20Chile%22.%22Codcom%22%3D6111" u="1"/>
        <s v="https://analytics.zoho.com/open-view/2395394000008161223?ZOHO_CRITERIA=%22Localiza%20Chile%22.%22Codcom%22%3D6111" u="1"/>
        <s v="https://analytics.zoho.com/open-view/2395394000008161224?ZOHO_CRITERIA=%22Localiza%20Chile%22.%22Codcom%22%3D6111" u="1"/>
        <s v="https://analytics.zoho.com/open-view/2395394000008161225?ZOHO_CRITERIA=%22Localiza%20Chile%22.%22Codcom%22%3D6111" u="1"/>
        <s v="https://analytics.zoho.com/open-view/2395394000008161226?ZOHO_CRITERIA=%22Localiza%20Chile%22.%22Codcom%22%3D6111" u="1"/>
        <s v="https://analytics.zoho.com/open-view/2395394000008161227?ZOHO_CRITERIA=%22Localiza%20Chile%22.%22Codcom%22%3D6111" u="1"/>
        <s v="https://analytics.zoho.com/open-view/2395394000008161228?ZOHO_CRITERIA=%22Localiza%20Chile%22.%22Codcom%22%3D6111" u="1"/>
        <s v="https://analytics.zoho.com/open-view/2395394000008161229?ZOHO_CRITERIA=%22Localiza%20Chile%22.%22Codcom%22%3D6111" u="1"/>
        <s v="https://analytics.zoho.com/open-view/2395394000008161231?ZOHO_CRITERIA=%22Localiza%20Chile%22.%22Codcom%22%3D6111" u="1"/>
        <s v="https://analytics.zoho.com/open-view/2395394000008161220?ZOHO_CRITERIA=%22Localiza%20Chile%22.%22Codcom%22%3D6112" u="1"/>
        <s v="https://analytics.zoho.com/open-view/2395394000008161221?ZOHO_CRITERIA=%22Localiza%20Chile%22.%22Codcom%22%3D6112" u="1"/>
        <s v="https://analytics.zoho.com/open-view/2395394000008161222?ZOHO_CRITERIA=%22Localiza%20Chile%22.%22Codcom%22%3D6112" u="1"/>
        <s v="https://analytics.zoho.com/open-view/2395394000008161223?ZOHO_CRITERIA=%22Localiza%20Chile%22.%22Codcom%22%3D6112" u="1"/>
        <s v="https://analytics.zoho.com/open-view/2395394000008161224?ZOHO_CRITERIA=%22Localiza%20Chile%22.%22Codcom%22%3D6112" u="1"/>
        <s v="https://analytics.zoho.com/open-view/2395394000008161225?ZOHO_CRITERIA=%22Localiza%20Chile%22.%22Codcom%22%3D6112" u="1"/>
        <s v="https://analytics.zoho.com/open-view/2395394000008161226?ZOHO_CRITERIA=%22Localiza%20Chile%22.%22Codcom%22%3D6112" u="1"/>
        <s v="https://analytics.zoho.com/open-view/2395394000008161227?ZOHO_CRITERIA=%22Localiza%20Chile%22.%22Codcom%22%3D6112" u="1"/>
        <s v="https://analytics.zoho.com/open-view/2395394000008161228?ZOHO_CRITERIA=%22Localiza%20Chile%22.%22Codcom%22%3D6112" u="1"/>
        <s v="https://analytics.zoho.com/open-view/2395394000008161229?ZOHO_CRITERIA=%22Localiza%20Chile%22.%22Codcom%22%3D6112" u="1"/>
        <s v="https://analytics.zoho.com/open-view/2395394000008161231?ZOHO_CRITERIA=%22Localiza%20Chile%22.%22Codcom%22%3D6112" u="1"/>
        <s v="https://analytics.zoho.com/open-view/2395394000008161220?ZOHO_CRITERIA=%22Localiza%20Chile%22.%22Codcom%22%3D6113" u="1"/>
        <s v="https://analytics.zoho.com/open-view/2395394000008161221?ZOHO_CRITERIA=%22Localiza%20Chile%22.%22Codcom%22%3D6113" u="1"/>
        <s v="https://analytics.zoho.com/open-view/2395394000008161222?ZOHO_CRITERIA=%22Localiza%20Chile%22.%22Codcom%22%3D6113" u="1"/>
        <s v="https://analytics.zoho.com/open-view/2395394000008161223?ZOHO_CRITERIA=%22Localiza%20Chile%22.%22Codcom%22%3D6113" u="1"/>
        <s v="https://analytics.zoho.com/open-view/2395394000008161224?ZOHO_CRITERIA=%22Localiza%20Chile%22.%22Codcom%22%3D6113" u="1"/>
        <s v="https://analytics.zoho.com/open-view/2395394000008161225?ZOHO_CRITERIA=%22Localiza%20Chile%22.%22Codcom%22%3D6113" u="1"/>
        <s v="https://analytics.zoho.com/open-view/2395394000008161226?ZOHO_CRITERIA=%22Localiza%20Chile%22.%22Codcom%22%3D6113" u="1"/>
        <s v="https://analytics.zoho.com/open-view/2395394000008161227?ZOHO_CRITERIA=%22Localiza%20Chile%22.%22Codcom%22%3D6113" u="1"/>
        <s v="https://analytics.zoho.com/open-view/2395394000008161228?ZOHO_CRITERIA=%22Localiza%20Chile%22.%22Codcom%22%3D6113" u="1"/>
        <s v="https://analytics.zoho.com/open-view/2395394000008161229?ZOHO_CRITERIA=%22Localiza%20Chile%22.%22Codcom%22%3D6113" u="1"/>
        <s v="https://analytics.zoho.com/open-view/2395394000008161231?ZOHO_CRITERIA=%22Localiza%20Chile%22.%22Codcom%22%3D6113" u="1"/>
        <s v="https://analytics.zoho.com/open-view/2395394000008161220?ZOHO_CRITERIA=%22Localiza%20Chile%22.%22Codcom%22%3D6114" u="1"/>
        <s v="https://analytics.zoho.com/open-view/2395394000008161221?ZOHO_CRITERIA=%22Localiza%20Chile%22.%22Codcom%22%3D6114" u="1"/>
        <s v="https://analytics.zoho.com/open-view/2395394000008161222?ZOHO_CRITERIA=%22Localiza%20Chile%22.%22Codcom%22%3D6114" u="1"/>
        <s v="https://analytics.zoho.com/open-view/2395394000008161223?ZOHO_CRITERIA=%22Localiza%20Chile%22.%22Codcom%22%3D6114" u="1"/>
        <s v="https://analytics.zoho.com/open-view/2395394000008161224?ZOHO_CRITERIA=%22Localiza%20Chile%22.%22Codcom%22%3D6114" u="1"/>
        <s v="https://analytics.zoho.com/open-view/2395394000008161225?ZOHO_CRITERIA=%22Localiza%20Chile%22.%22Codcom%22%3D6114" u="1"/>
        <s v="https://analytics.zoho.com/open-view/2395394000008161226?ZOHO_CRITERIA=%22Localiza%20Chile%22.%22Codcom%22%3D6114" u="1"/>
        <s v="https://analytics.zoho.com/open-view/2395394000008161227?ZOHO_CRITERIA=%22Localiza%20Chile%22.%22Codcom%22%3D6114" u="1"/>
        <s v="https://analytics.zoho.com/open-view/2395394000008161228?ZOHO_CRITERIA=%22Localiza%20Chile%22.%22Codcom%22%3D6114" u="1"/>
        <s v="https://analytics.zoho.com/open-view/2395394000008161229?ZOHO_CRITERIA=%22Localiza%20Chile%22.%22Codcom%22%3D6114" u="1"/>
        <s v="https://analytics.zoho.com/open-view/2395394000008161231?ZOHO_CRITERIA=%22Localiza%20Chile%22.%22Codcom%22%3D6114" u="1"/>
        <s v="https://analytics.zoho.com/open-view/2395394000008161220?ZOHO_CRITERIA=%22Localiza%20Chile%22.%22Codcom%22%3D6115" u="1"/>
        <s v="https://analytics.zoho.com/open-view/2395394000008161221?ZOHO_CRITERIA=%22Localiza%20Chile%22.%22Codcom%22%3D6115" u="1"/>
        <s v="https://analytics.zoho.com/open-view/2395394000008161222?ZOHO_CRITERIA=%22Localiza%20Chile%22.%22Codcom%22%3D6115" u="1"/>
        <s v="https://analytics.zoho.com/open-view/2395394000008161223?ZOHO_CRITERIA=%22Localiza%20Chile%22.%22Codcom%22%3D6115" u="1"/>
        <s v="https://analytics.zoho.com/open-view/2395394000008161224?ZOHO_CRITERIA=%22Localiza%20Chile%22.%22Codcom%22%3D6115" u="1"/>
        <s v="https://analytics.zoho.com/open-view/2395394000008161225?ZOHO_CRITERIA=%22Localiza%20Chile%22.%22Codcom%22%3D6115" u="1"/>
        <s v="https://analytics.zoho.com/open-view/2395394000008161226?ZOHO_CRITERIA=%22Localiza%20Chile%22.%22Codcom%22%3D6115" u="1"/>
        <s v="https://analytics.zoho.com/open-view/2395394000008161227?ZOHO_CRITERIA=%22Localiza%20Chile%22.%22Codcom%22%3D6115" u="1"/>
        <s v="https://analytics.zoho.com/open-view/2395394000008161228?ZOHO_CRITERIA=%22Localiza%20Chile%22.%22Codcom%22%3D6115" u="1"/>
        <s v="https://analytics.zoho.com/open-view/2395394000008161229?ZOHO_CRITERIA=%22Localiza%20Chile%22.%22Codcom%22%3D6115" u="1"/>
        <s v="https://analytics.zoho.com/open-view/2395394000008161231?ZOHO_CRITERIA=%22Localiza%20Chile%22.%22Codcom%22%3D6115" u="1"/>
        <s v="https://analytics.zoho.com/open-view/2395394000008161220?ZOHO_CRITERIA=%22Localiza%20Chile%22.%22Codcom%22%3D6116" u="1"/>
        <s v="https://analytics.zoho.com/open-view/2395394000008161221?ZOHO_CRITERIA=%22Localiza%20Chile%22.%22Codcom%22%3D6116" u="1"/>
        <s v="https://analytics.zoho.com/open-view/2395394000008161222?ZOHO_CRITERIA=%22Localiza%20Chile%22.%22Codcom%22%3D6116" u="1"/>
        <s v="https://analytics.zoho.com/open-view/2395394000008161223?ZOHO_CRITERIA=%22Localiza%20Chile%22.%22Codcom%22%3D6116" u="1"/>
        <s v="https://analytics.zoho.com/open-view/2395394000008161224?ZOHO_CRITERIA=%22Localiza%20Chile%22.%22Codcom%22%3D6116" u="1"/>
        <s v="https://analytics.zoho.com/open-view/2395394000008161225?ZOHO_CRITERIA=%22Localiza%20Chile%22.%22Codcom%22%3D6116" u="1"/>
        <s v="https://analytics.zoho.com/open-view/2395394000008161226?ZOHO_CRITERIA=%22Localiza%20Chile%22.%22Codcom%22%3D6116" u="1"/>
        <s v="https://analytics.zoho.com/open-view/2395394000008161227?ZOHO_CRITERIA=%22Localiza%20Chile%22.%22Codcom%22%3D6116" u="1"/>
        <s v="https://analytics.zoho.com/open-view/2395394000008161228?ZOHO_CRITERIA=%22Localiza%20Chile%22.%22Codcom%22%3D6116" u="1"/>
        <s v="https://analytics.zoho.com/open-view/2395394000008161229?ZOHO_CRITERIA=%22Localiza%20Chile%22.%22Codcom%22%3D6116" u="1"/>
        <s v="https://analytics.zoho.com/open-view/2395394000008161231?ZOHO_CRITERIA=%22Localiza%20Chile%22.%22Codcom%22%3D6116" u="1"/>
        <s v="https://analytics.zoho.com/open-view/2395394000008161220?ZOHO_CRITERIA=%22Localiza%20Chile%22.%22Codcom%22%3D6117" u="1"/>
        <s v="https://analytics.zoho.com/open-view/2395394000008161221?ZOHO_CRITERIA=%22Localiza%20Chile%22.%22Codcom%22%3D6117" u="1"/>
        <s v="https://analytics.zoho.com/open-view/2395394000008161222?ZOHO_CRITERIA=%22Localiza%20Chile%22.%22Codcom%22%3D6117" u="1"/>
        <s v="https://analytics.zoho.com/open-view/2395394000008161223?ZOHO_CRITERIA=%22Localiza%20Chile%22.%22Codcom%22%3D6117" u="1"/>
        <s v="https://analytics.zoho.com/open-view/2395394000008161224?ZOHO_CRITERIA=%22Localiza%20Chile%22.%22Codcom%22%3D6117" u="1"/>
        <s v="https://analytics.zoho.com/open-view/2395394000008161225?ZOHO_CRITERIA=%22Localiza%20Chile%22.%22Codcom%22%3D6117" u="1"/>
        <s v="https://analytics.zoho.com/open-view/2395394000008161226?ZOHO_CRITERIA=%22Localiza%20Chile%22.%22Codcom%22%3D6117" u="1"/>
        <s v="https://analytics.zoho.com/open-view/2395394000008161227?ZOHO_CRITERIA=%22Localiza%20Chile%22.%22Codcom%22%3D6117" u="1"/>
        <s v="https://analytics.zoho.com/open-view/2395394000008161228?ZOHO_CRITERIA=%22Localiza%20Chile%22.%22Codcom%22%3D6117" u="1"/>
        <s v="https://analytics.zoho.com/open-view/2395394000008161229?ZOHO_CRITERIA=%22Localiza%20Chile%22.%22Codcom%22%3D6117" u="1"/>
        <s v="https://analytics.zoho.com/open-view/2395394000008161231?ZOHO_CRITERIA=%22Localiza%20Chile%22.%22Codcom%22%3D6117" u="1"/>
        <s v="https://analytics.zoho.com/open-view/2395394000008161220?ZOHO_CRITERIA=%22Localiza%20Chile%22.%22Codcom%22%3D7110" u="1"/>
        <s v="https://analytics.zoho.com/open-view/2395394000008161221?ZOHO_CRITERIA=%22Localiza%20Chile%22.%22Codcom%22%3D7110" u="1"/>
        <s v="https://analytics.zoho.com/open-view/2395394000008161222?ZOHO_CRITERIA=%22Localiza%20Chile%22.%22Codcom%22%3D7110" u="1"/>
        <s v="https://analytics.zoho.com/open-view/2395394000008161223?ZOHO_CRITERIA=%22Localiza%20Chile%22.%22Codcom%22%3D7110" u="1"/>
        <s v="https://analytics.zoho.com/open-view/2395394000008161224?ZOHO_CRITERIA=%22Localiza%20Chile%22.%22Codcom%22%3D7110" u="1"/>
        <s v="https://analytics.zoho.com/open-view/2395394000008161225?ZOHO_CRITERIA=%22Localiza%20Chile%22.%22Codcom%22%3D7110" u="1"/>
        <s v="https://analytics.zoho.com/open-view/2395394000008161226?ZOHO_CRITERIA=%22Localiza%20Chile%22.%22Codcom%22%3D7110" u="1"/>
        <s v="https://analytics.zoho.com/open-view/2395394000008161227?ZOHO_CRITERIA=%22Localiza%20Chile%22.%22Codcom%22%3D7110" u="1"/>
        <s v="https://analytics.zoho.com/open-view/2395394000008161228?ZOHO_CRITERIA=%22Localiza%20Chile%22.%22Codcom%22%3D7110" u="1"/>
        <s v="https://analytics.zoho.com/open-view/2395394000008161229?ZOHO_CRITERIA=%22Localiza%20Chile%22.%22Codcom%22%3D7110" u="1"/>
        <s v="https://analytics.zoho.com/open-view/2395394000008161231?ZOHO_CRITERIA=%22Localiza%20Chile%22.%22Codcom%22%3D7110" u="1"/>
        <s v="https://analytics.zoho.com/open-view/2395394000008161220?ZOHO_CRITERIA=%22Localiza%20Chile%22.%22Codcom%22%3D16205" u="1"/>
        <s v="https://analytics.zoho.com/open-view/2395394000008161221?ZOHO_CRITERIA=%22Localiza%20Chile%22.%22Codcom%22%3D16205" u="1"/>
        <s v="https://analytics.zoho.com/open-view/2395394000008161222?ZOHO_CRITERIA=%22Localiza%20Chile%22.%22Codcom%22%3D16205" u="1"/>
        <s v="https://analytics.zoho.com/open-view/2395394000008161223?ZOHO_CRITERIA=%22Localiza%20Chile%22.%22Codcom%22%3D16205" u="1"/>
        <s v="https://analytics.zoho.com/open-view/2395394000008161224?ZOHO_CRITERIA=%22Localiza%20Chile%22.%22Codcom%22%3D16205" u="1"/>
        <s v="https://analytics.zoho.com/open-view/2395394000008161225?ZOHO_CRITERIA=%22Localiza%20Chile%22.%22Codcom%22%3D16205" u="1"/>
        <s v="https://analytics.zoho.com/open-view/2395394000008161226?ZOHO_CRITERIA=%22Localiza%20Chile%22.%22Codcom%22%3D16205" u="1"/>
        <s v="https://analytics.zoho.com/open-view/2395394000008161227?ZOHO_CRITERIA=%22Localiza%20Chile%22.%22Codcom%22%3D16205" u="1"/>
        <s v="https://analytics.zoho.com/open-view/2395394000008161228?ZOHO_CRITERIA=%22Localiza%20Chile%22.%22Codcom%22%3D16205" u="1"/>
        <s v="https://analytics.zoho.com/open-view/2395394000008161229?ZOHO_CRITERIA=%22Localiza%20Chile%22.%22Codcom%22%3D16205" u="1"/>
        <s v="https://analytics.zoho.com/open-view/2395394000008161231?ZOHO_CRITERIA=%22Localiza%20Chile%22.%22Codcom%22%3D16205" u="1"/>
        <s v="https://analytics.zoho.com/open-view/2395394000008161220?ZOHO_CRITERIA=%22Localiza%20Chile%22.%22Codcom%22%3D8110" u="1"/>
        <s v="https://analytics.zoho.com/open-view/2395394000008161221?ZOHO_CRITERIA=%22Localiza%20Chile%22.%22Codcom%22%3D8110" u="1"/>
        <s v="https://analytics.zoho.com/open-view/2395394000008161222?ZOHO_CRITERIA=%22Localiza%20Chile%22.%22Codcom%22%3D8110" u="1"/>
        <s v="https://analytics.zoho.com/open-view/2395394000008161223?ZOHO_CRITERIA=%22Localiza%20Chile%22.%22Codcom%22%3D8110" u="1"/>
        <s v="https://analytics.zoho.com/open-view/2395394000008161224?ZOHO_CRITERIA=%22Localiza%20Chile%22.%22Codcom%22%3D8110" u="1"/>
        <s v="https://analytics.zoho.com/open-view/2395394000008161225?ZOHO_CRITERIA=%22Localiza%20Chile%22.%22Codcom%22%3D8110" u="1"/>
        <s v="https://analytics.zoho.com/open-view/2395394000008161226?ZOHO_CRITERIA=%22Localiza%20Chile%22.%22Codcom%22%3D8110" u="1"/>
        <s v="https://analytics.zoho.com/open-view/2395394000008161227?ZOHO_CRITERIA=%22Localiza%20Chile%22.%22Codcom%22%3D8110" u="1"/>
        <s v="https://analytics.zoho.com/open-view/2395394000008161228?ZOHO_CRITERIA=%22Localiza%20Chile%22.%22Codcom%22%3D8110" u="1"/>
        <s v="https://analytics.zoho.com/open-view/2395394000008161229?ZOHO_CRITERIA=%22Localiza%20Chile%22.%22Codcom%22%3D8110" u="1"/>
        <s v="https://analytics.zoho.com/open-view/2395394000008161231?ZOHO_CRITERIA=%22Localiza%20Chile%22.%22Codcom%22%3D8110" u="1"/>
        <s v="https://analytics.zoho.com/open-view/2395394000008161220?ZOHO_CRITERIA=%22Localiza%20Chile%22.%22Codcom%22%3D8111" u="1"/>
        <s v="https://analytics.zoho.com/open-view/2395394000008161221?ZOHO_CRITERIA=%22Localiza%20Chile%22.%22Codcom%22%3D8111" u="1"/>
        <s v="https://analytics.zoho.com/open-view/2395394000008161222?ZOHO_CRITERIA=%22Localiza%20Chile%22.%22Codcom%22%3D8111" u="1"/>
        <s v="https://analytics.zoho.com/open-view/2395394000008161223?ZOHO_CRITERIA=%22Localiza%20Chile%22.%22Codcom%22%3D8111" u="1"/>
        <s v="https://analytics.zoho.com/open-view/2395394000008161224?ZOHO_CRITERIA=%22Localiza%20Chile%22.%22Codcom%22%3D8111" u="1"/>
        <s v="https://analytics.zoho.com/open-view/2395394000008161225?ZOHO_CRITERIA=%22Localiza%20Chile%22.%22Codcom%22%3D8111" u="1"/>
        <s v="https://analytics.zoho.com/open-view/2395394000008161226?ZOHO_CRITERIA=%22Localiza%20Chile%22.%22Codcom%22%3D8111" u="1"/>
        <s v="https://analytics.zoho.com/open-view/2395394000008161227?ZOHO_CRITERIA=%22Localiza%20Chile%22.%22Codcom%22%3D8111" u="1"/>
        <s v="https://analytics.zoho.com/open-view/2395394000008161228?ZOHO_CRITERIA=%22Localiza%20Chile%22.%22Codcom%22%3D8111" u="1"/>
        <s v="https://analytics.zoho.com/open-view/2395394000008161229?ZOHO_CRITERIA=%22Localiza%20Chile%22.%22Codcom%22%3D8111" u="1"/>
        <s v="https://analytics.zoho.com/open-view/2395394000008161231?ZOHO_CRITERIA=%22Localiza%20Chile%22.%22Codcom%22%3D8111" u="1"/>
        <s v="https://analytics.zoho.com/open-view/2395394000008161220?ZOHO_CRITERIA=%22Localiza%20Chile%22.%22Codcom%22%3D8112" u="1"/>
        <s v="https://analytics.zoho.com/open-view/2395394000008161221?ZOHO_CRITERIA=%22Localiza%20Chile%22.%22Codcom%22%3D8112" u="1"/>
        <s v="https://analytics.zoho.com/open-view/2395394000008161222?ZOHO_CRITERIA=%22Localiza%20Chile%22.%22Codcom%22%3D8112" u="1"/>
        <s v="https://analytics.zoho.com/open-view/2395394000008161223?ZOHO_CRITERIA=%22Localiza%20Chile%22.%22Codcom%22%3D8112" u="1"/>
        <s v="https://analytics.zoho.com/open-view/2395394000008161224?ZOHO_CRITERIA=%22Localiza%20Chile%22.%22Codcom%22%3D8112" u="1"/>
        <s v="https://analytics.zoho.com/open-view/2395394000008161225?ZOHO_CRITERIA=%22Localiza%20Chile%22.%22Codcom%22%3D8112" u="1"/>
        <s v="https://analytics.zoho.com/open-view/2395394000008161226?ZOHO_CRITERIA=%22Localiza%20Chile%22.%22Codcom%22%3D8112" u="1"/>
        <s v="https://analytics.zoho.com/open-view/2395394000008161227?ZOHO_CRITERIA=%22Localiza%20Chile%22.%22Codcom%22%3D8112" u="1"/>
        <s v="https://analytics.zoho.com/open-view/2395394000008161228?ZOHO_CRITERIA=%22Localiza%20Chile%22.%22Codcom%22%3D8112" u="1"/>
        <s v="https://analytics.zoho.com/open-view/2395394000008161229?ZOHO_CRITERIA=%22Localiza%20Chile%22.%22Codcom%22%3D8112" u="1"/>
        <s v="https://analytics.zoho.com/open-view/2395394000008161231?ZOHO_CRITERIA=%22Localiza%20Chile%22.%22Codcom%22%3D8112" u="1"/>
        <s v="https://analytics.zoho.com/open-view/2395394000008161220?ZOHO_CRITERIA=%22Localiza%20Chile%22.%22Codcom%22%3D9110" u="1"/>
        <s v="https://analytics.zoho.com/open-view/2395394000008161221?ZOHO_CRITERIA=%22Localiza%20Chile%22.%22Codcom%22%3D9110" u="1"/>
        <s v="https://analytics.zoho.com/open-view/2395394000008161222?ZOHO_CRITERIA=%22Localiza%20Chile%22.%22Codcom%22%3D9110" u="1"/>
        <s v="https://analytics.zoho.com/open-view/2395394000008161223?ZOHO_CRITERIA=%22Localiza%20Chile%22.%22Codcom%22%3D9110" u="1"/>
        <s v="https://analytics.zoho.com/open-view/2395394000008161224?ZOHO_CRITERIA=%22Localiza%20Chile%22.%22Codcom%22%3D9110" u="1"/>
        <s v="https://analytics.zoho.com/open-view/2395394000008161225?ZOHO_CRITERIA=%22Localiza%20Chile%22.%22Codcom%22%3D9110" u="1"/>
        <s v="https://analytics.zoho.com/open-view/2395394000008161226?ZOHO_CRITERIA=%22Localiza%20Chile%22.%22Codcom%22%3D9110" u="1"/>
        <s v="https://analytics.zoho.com/open-view/2395394000008161227?ZOHO_CRITERIA=%22Localiza%20Chile%22.%22Codcom%22%3D9110" u="1"/>
        <s v="https://analytics.zoho.com/open-view/2395394000008161228?ZOHO_CRITERIA=%22Localiza%20Chile%22.%22Codcom%22%3D9110" u="1"/>
        <s v="https://analytics.zoho.com/open-view/2395394000008161229?ZOHO_CRITERIA=%22Localiza%20Chile%22.%22Codcom%22%3D9110" u="1"/>
        <s v="https://analytics.zoho.com/open-view/2395394000008161231?ZOHO_CRITERIA=%22Localiza%20Chile%22.%22Codcom%22%3D9110" u="1"/>
        <s v="https://analytics.zoho.com/open-view/2395394000008161220?ZOHO_CRITERIA=%22Localiza%20Chile%22.%22Codcom%22%3D9111" u="1"/>
        <s v="https://analytics.zoho.com/open-view/2395394000008161221?ZOHO_CRITERIA=%22Localiza%20Chile%22.%22Codcom%22%3D9111" u="1"/>
        <s v="https://analytics.zoho.com/open-view/2395394000008161222?ZOHO_CRITERIA=%22Localiza%20Chile%22.%22Codcom%22%3D9111" u="1"/>
        <s v="https://analytics.zoho.com/open-view/2395394000008161223?ZOHO_CRITERIA=%22Localiza%20Chile%22.%22Codcom%22%3D9111" u="1"/>
        <s v="https://analytics.zoho.com/open-view/2395394000008161224?ZOHO_CRITERIA=%22Localiza%20Chile%22.%22Codcom%22%3D9111" u="1"/>
        <s v="https://analytics.zoho.com/open-view/2395394000008161225?ZOHO_CRITERIA=%22Localiza%20Chile%22.%22Codcom%22%3D9111" u="1"/>
        <s v="https://analytics.zoho.com/open-view/2395394000008161226?ZOHO_CRITERIA=%22Localiza%20Chile%22.%22Codcom%22%3D9111" u="1"/>
        <s v="https://analytics.zoho.com/open-view/2395394000008161227?ZOHO_CRITERIA=%22Localiza%20Chile%22.%22Codcom%22%3D9111" u="1"/>
        <s v="https://analytics.zoho.com/open-view/2395394000008161228?ZOHO_CRITERIA=%22Localiza%20Chile%22.%22Codcom%22%3D9111" u="1"/>
        <s v="https://analytics.zoho.com/open-view/2395394000008161229?ZOHO_CRITERIA=%22Localiza%20Chile%22.%22Codcom%22%3D9111" u="1"/>
        <s v="https://analytics.zoho.com/open-view/2395394000008161231?ZOHO_CRITERIA=%22Localiza%20Chile%22.%22Codcom%22%3D9111" u="1"/>
        <s v="https://analytics.zoho.com/open-view/2395394000008161220?ZOHO_CRITERIA=%22Localiza%20Chile%22.%22Codcom%22%3D9112" u="1"/>
        <s v="https://analytics.zoho.com/open-view/2395394000008161221?ZOHO_CRITERIA=%22Localiza%20Chile%22.%22Codcom%22%3D9112" u="1"/>
        <s v="https://analytics.zoho.com/open-view/2395394000008161222?ZOHO_CRITERIA=%22Localiza%20Chile%22.%22Codcom%22%3D9112" u="1"/>
        <s v="https://analytics.zoho.com/open-view/2395394000008161223?ZOHO_CRITERIA=%22Localiza%20Chile%22.%22Codcom%22%3D9112" u="1"/>
        <s v="https://analytics.zoho.com/open-view/2395394000008161224?ZOHO_CRITERIA=%22Localiza%20Chile%22.%22Codcom%22%3D9112" u="1"/>
        <s v="https://analytics.zoho.com/open-view/2395394000008161225?ZOHO_CRITERIA=%22Localiza%20Chile%22.%22Codcom%22%3D9112" u="1"/>
        <s v="https://analytics.zoho.com/open-view/2395394000008161226?ZOHO_CRITERIA=%22Localiza%20Chile%22.%22Codcom%22%3D9112" u="1"/>
        <s v="https://analytics.zoho.com/open-view/2395394000008161227?ZOHO_CRITERIA=%22Localiza%20Chile%22.%22Codcom%22%3D9112" u="1"/>
        <s v="https://analytics.zoho.com/open-view/2395394000008161228?ZOHO_CRITERIA=%22Localiza%20Chile%22.%22Codcom%22%3D9112" u="1"/>
        <s v="https://analytics.zoho.com/open-view/2395394000008161229?ZOHO_CRITERIA=%22Localiza%20Chile%22.%22Codcom%22%3D9112" u="1"/>
        <s v="https://analytics.zoho.com/open-view/2395394000008161231?ZOHO_CRITERIA=%22Localiza%20Chile%22.%22Codcom%22%3D9112" u="1"/>
        <s v="https://analytics.zoho.com/open-view/2395394000008161220?ZOHO_CRITERIA=%22Localiza%20Chile%22.%22Codcom%22%3D9113" u="1"/>
        <s v="https://analytics.zoho.com/open-view/2395394000008161221?ZOHO_CRITERIA=%22Localiza%20Chile%22.%22Codcom%22%3D9113" u="1"/>
        <s v="https://analytics.zoho.com/open-view/2395394000008161222?ZOHO_CRITERIA=%22Localiza%20Chile%22.%22Codcom%22%3D9113" u="1"/>
        <s v="https://analytics.zoho.com/open-view/2395394000008161223?ZOHO_CRITERIA=%22Localiza%20Chile%22.%22Codcom%22%3D9113" u="1"/>
        <s v="https://analytics.zoho.com/open-view/2395394000008161224?ZOHO_CRITERIA=%22Localiza%20Chile%22.%22Codcom%22%3D9113" u="1"/>
        <s v="https://analytics.zoho.com/open-view/2395394000008161225?ZOHO_CRITERIA=%22Localiza%20Chile%22.%22Codcom%22%3D9113" u="1"/>
        <s v="https://analytics.zoho.com/open-view/2395394000008161226?ZOHO_CRITERIA=%22Localiza%20Chile%22.%22Codcom%22%3D9113" u="1"/>
        <s v="https://analytics.zoho.com/open-view/2395394000008161227?ZOHO_CRITERIA=%22Localiza%20Chile%22.%22Codcom%22%3D9113" u="1"/>
        <s v="https://analytics.zoho.com/open-view/2395394000008161228?ZOHO_CRITERIA=%22Localiza%20Chile%22.%22Codcom%22%3D9113" u="1"/>
        <s v="https://analytics.zoho.com/open-view/2395394000008161229?ZOHO_CRITERIA=%22Localiza%20Chile%22.%22Codcom%22%3D9113" u="1"/>
        <s v="https://analytics.zoho.com/open-view/2395394000008161231?ZOHO_CRITERIA=%22Localiza%20Chile%22.%22Codcom%22%3D9113" u="1"/>
        <s v="https://analytics.zoho.com/open-view/2395394000008161220?ZOHO_CRITERIA=%22Localiza%20Chile%22.%22Codcom%22%3D9114" u="1"/>
        <s v="https://analytics.zoho.com/open-view/2395394000008161221?ZOHO_CRITERIA=%22Localiza%20Chile%22.%22Codcom%22%3D9114" u="1"/>
        <s v="https://analytics.zoho.com/open-view/2395394000008161222?ZOHO_CRITERIA=%22Localiza%20Chile%22.%22Codcom%22%3D9114" u="1"/>
        <s v="https://analytics.zoho.com/open-view/2395394000008161223?ZOHO_CRITERIA=%22Localiza%20Chile%22.%22Codcom%22%3D9114" u="1"/>
        <s v="https://analytics.zoho.com/open-view/2395394000008161224?ZOHO_CRITERIA=%22Localiza%20Chile%22.%22Codcom%22%3D9114" u="1"/>
        <s v="https://analytics.zoho.com/open-view/2395394000008161225?ZOHO_CRITERIA=%22Localiza%20Chile%22.%22Codcom%22%3D9114" u="1"/>
        <s v="https://analytics.zoho.com/open-view/2395394000008161226?ZOHO_CRITERIA=%22Localiza%20Chile%22.%22Codcom%22%3D9114" u="1"/>
        <s v="https://analytics.zoho.com/open-view/2395394000008161227?ZOHO_CRITERIA=%22Localiza%20Chile%22.%22Codcom%22%3D9114" u="1"/>
        <s v="https://analytics.zoho.com/open-view/2395394000008161228?ZOHO_CRITERIA=%22Localiza%20Chile%22.%22Codcom%22%3D9114" u="1"/>
        <s v="https://analytics.zoho.com/open-view/2395394000008161229?ZOHO_CRITERIA=%22Localiza%20Chile%22.%22Codcom%22%3D9114" u="1"/>
        <s v="https://analytics.zoho.com/open-view/2395394000008161231?ZOHO_CRITERIA=%22Localiza%20Chile%22.%22Codcom%22%3D9114" u="1"/>
        <s v="https://analytics.zoho.com/open-view/2395394000008161220?ZOHO_CRITERIA=%22Localiza%20Chile%22.%22Codcom%22%3D9115" u="1"/>
        <s v="https://analytics.zoho.com/open-view/2395394000008161221?ZOHO_CRITERIA=%22Localiza%20Chile%22.%22Codcom%22%3D9115" u="1"/>
        <s v="https://analytics.zoho.com/open-view/2395394000008161222?ZOHO_CRITERIA=%22Localiza%20Chile%22.%22Codcom%22%3D9115" u="1"/>
        <s v="https://analytics.zoho.com/open-view/2395394000008161223?ZOHO_CRITERIA=%22Localiza%20Chile%22.%22Codcom%22%3D9115" u="1"/>
        <s v="https://analytics.zoho.com/open-view/2395394000008161224?ZOHO_CRITERIA=%22Localiza%20Chile%22.%22Codcom%22%3D9115" u="1"/>
        <s v="https://analytics.zoho.com/open-view/2395394000008161225?ZOHO_CRITERIA=%22Localiza%20Chile%22.%22Codcom%22%3D9115" u="1"/>
        <s v="https://analytics.zoho.com/open-view/2395394000008161226?ZOHO_CRITERIA=%22Localiza%20Chile%22.%22Codcom%22%3D9115" u="1"/>
        <s v="https://analytics.zoho.com/open-view/2395394000008161227?ZOHO_CRITERIA=%22Localiza%20Chile%22.%22Codcom%22%3D9115" u="1"/>
        <s v="https://analytics.zoho.com/open-view/2395394000008161228?ZOHO_CRITERIA=%22Localiza%20Chile%22.%22Codcom%22%3D9115" u="1"/>
        <s v="https://analytics.zoho.com/open-view/2395394000008161229?ZOHO_CRITERIA=%22Localiza%20Chile%22.%22Codcom%22%3D9115" u="1"/>
        <s v="https://analytics.zoho.com/open-view/2395394000008161231?ZOHO_CRITERIA=%22Localiza%20Chile%22.%22Codcom%22%3D9115" u="1"/>
        <s v="https://analytics.zoho.com/open-view/2395394000008161220?ZOHO_CRITERIA=%22Localiza%20Chile%22.%22Codcom%22%3D9116" u="1"/>
        <s v="https://analytics.zoho.com/open-view/2395394000008161221?ZOHO_CRITERIA=%22Localiza%20Chile%22.%22Codcom%22%3D9116" u="1"/>
        <s v="https://analytics.zoho.com/open-view/2395394000008161222?ZOHO_CRITERIA=%22Localiza%20Chile%22.%22Codcom%22%3D9116" u="1"/>
        <s v="https://analytics.zoho.com/open-view/2395394000008161223?ZOHO_CRITERIA=%22Localiza%20Chile%22.%22Codcom%22%3D9116" u="1"/>
        <s v="https://analytics.zoho.com/open-view/2395394000008161224?ZOHO_CRITERIA=%22Localiza%20Chile%22.%22Codcom%22%3D9116" u="1"/>
        <s v="https://analytics.zoho.com/open-view/2395394000008161225?ZOHO_CRITERIA=%22Localiza%20Chile%22.%22Codcom%22%3D9116" u="1"/>
        <s v="https://analytics.zoho.com/open-view/2395394000008161226?ZOHO_CRITERIA=%22Localiza%20Chile%22.%22Codcom%22%3D9116" u="1"/>
        <s v="https://analytics.zoho.com/open-view/2395394000008161227?ZOHO_CRITERIA=%22Localiza%20Chile%22.%22Codcom%22%3D9116" u="1"/>
        <s v="https://analytics.zoho.com/open-view/2395394000008161228?ZOHO_CRITERIA=%22Localiza%20Chile%22.%22Codcom%22%3D9116" u="1"/>
        <s v="https://analytics.zoho.com/open-view/2395394000008161229?ZOHO_CRITERIA=%22Localiza%20Chile%22.%22Codcom%22%3D9116" u="1"/>
        <s v="https://analytics.zoho.com/open-view/2395394000008161231?ZOHO_CRITERIA=%22Localiza%20Chile%22.%22Codcom%22%3D9116" u="1"/>
        <s v="https://analytics.zoho.com/open-view/2395394000008161220?ZOHO_CRITERIA=%22Localiza%20Chile%22.%22Codcom%22%3D9117" u="1"/>
        <s v="https://analytics.zoho.com/open-view/2395394000008161221?ZOHO_CRITERIA=%22Localiza%20Chile%22.%22Codcom%22%3D9117" u="1"/>
        <s v="https://analytics.zoho.com/open-view/2395394000008161222?ZOHO_CRITERIA=%22Localiza%20Chile%22.%22Codcom%22%3D9117" u="1"/>
        <s v="https://analytics.zoho.com/open-view/2395394000008161223?ZOHO_CRITERIA=%22Localiza%20Chile%22.%22Codcom%22%3D9117" u="1"/>
        <s v="https://analytics.zoho.com/open-view/2395394000008161224?ZOHO_CRITERIA=%22Localiza%20Chile%22.%22Codcom%22%3D9117" u="1"/>
        <s v="https://analytics.zoho.com/open-view/2395394000008161225?ZOHO_CRITERIA=%22Localiza%20Chile%22.%22Codcom%22%3D9117" u="1"/>
        <s v="https://analytics.zoho.com/open-view/2395394000008161226?ZOHO_CRITERIA=%22Localiza%20Chile%22.%22Codcom%22%3D9117" u="1"/>
        <s v="https://analytics.zoho.com/open-view/2395394000008161227?ZOHO_CRITERIA=%22Localiza%20Chile%22.%22Codcom%22%3D9117" u="1"/>
        <s v="https://analytics.zoho.com/open-view/2395394000008161228?ZOHO_CRITERIA=%22Localiza%20Chile%22.%22Codcom%22%3D9117" u="1"/>
        <s v="https://analytics.zoho.com/open-view/2395394000008161229?ZOHO_CRITERIA=%22Localiza%20Chile%22.%22Codcom%22%3D9117" u="1"/>
        <s v="https://analytics.zoho.com/open-view/2395394000008161231?ZOHO_CRITERIA=%22Localiza%20Chile%22.%22Codcom%22%3D9117" u="1"/>
        <s v="https://analytics.zoho.com/open-view/2395394000008161220?ZOHO_CRITERIA=%22Localiza%20Chile%22.%22Codcom%22%3D9118" u="1"/>
        <s v="https://analytics.zoho.com/open-view/2395394000008161221?ZOHO_CRITERIA=%22Localiza%20Chile%22.%22Codcom%22%3D9118" u="1"/>
        <s v="https://analytics.zoho.com/open-view/2395394000008161222?ZOHO_CRITERIA=%22Localiza%20Chile%22.%22Codcom%22%3D9118" u="1"/>
        <s v="https://analytics.zoho.com/open-view/2395394000008161223?ZOHO_CRITERIA=%22Localiza%20Chile%22.%22Codcom%22%3D9118" u="1"/>
        <s v="https://analytics.zoho.com/open-view/2395394000008161224?ZOHO_CRITERIA=%22Localiza%20Chile%22.%22Codcom%22%3D9118" u="1"/>
        <s v="https://analytics.zoho.com/open-view/2395394000008161225?ZOHO_CRITERIA=%22Localiza%20Chile%22.%22Codcom%22%3D9118" u="1"/>
        <s v="https://analytics.zoho.com/open-view/2395394000008161226?ZOHO_CRITERIA=%22Localiza%20Chile%22.%22Codcom%22%3D9118" u="1"/>
        <s v="https://analytics.zoho.com/open-view/2395394000008161227?ZOHO_CRITERIA=%22Localiza%20Chile%22.%22Codcom%22%3D9118" u="1"/>
        <s v="https://analytics.zoho.com/open-view/2395394000008161228?ZOHO_CRITERIA=%22Localiza%20Chile%22.%22Codcom%22%3D9118" u="1"/>
        <s v="https://analytics.zoho.com/open-view/2395394000008161229?ZOHO_CRITERIA=%22Localiza%20Chile%22.%22Codcom%22%3D9118" u="1"/>
        <s v="https://analytics.zoho.com/open-view/2395394000008161231?ZOHO_CRITERIA=%22Localiza%20Chile%22.%22Codcom%22%3D9118" u="1"/>
        <s v="https://analytics.zoho.com/open-view/2395394000008161220?ZOHO_CRITERIA=%22Localiza%20Chile%22.%22Codcom%22%3D16206" u="1"/>
        <s v="https://analytics.zoho.com/open-view/2395394000008161221?ZOHO_CRITERIA=%22Localiza%20Chile%22.%22Codcom%22%3D16206" u="1"/>
        <s v="https://analytics.zoho.com/open-view/2395394000008161222?ZOHO_CRITERIA=%22Localiza%20Chile%22.%22Codcom%22%3D16206" u="1"/>
        <s v="https://analytics.zoho.com/open-view/2395394000008161223?ZOHO_CRITERIA=%22Localiza%20Chile%22.%22Codcom%22%3D16206" u="1"/>
        <s v="https://analytics.zoho.com/open-view/2395394000008161224?ZOHO_CRITERIA=%22Localiza%20Chile%22.%22Codcom%22%3D16206" u="1"/>
        <s v="https://analytics.zoho.com/open-view/2395394000008161225?ZOHO_CRITERIA=%22Localiza%20Chile%22.%22Codcom%22%3D16206" u="1"/>
        <s v="https://analytics.zoho.com/open-view/2395394000008161226?ZOHO_CRITERIA=%22Localiza%20Chile%22.%22Codcom%22%3D16206" u="1"/>
        <s v="https://analytics.zoho.com/open-view/2395394000008161227?ZOHO_CRITERIA=%22Localiza%20Chile%22.%22Codcom%22%3D16206" u="1"/>
        <s v="https://analytics.zoho.com/open-view/2395394000008161228?ZOHO_CRITERIA=%22Localiza%20Chile%22.%22Codcom%22%3D16206" u="1"/>
        <s v="https://analytics.zoho.com/open-view/2395394000008161229?ZOHO_CRITERIA=%22Localiza%20Chile%22.%22Codcom%22%3D16206" u="1"/>
        <s v="https://analytics.zoho.com/open-view/2395394000008161231?ZOHO_CRITERIA=%22Localiza%20Chile%22.%22Codcom%22%3D16206" u="1"/>
        <s v="https://analytics.zoho.com/open-view/2395394000008161220?ZOHO_CRITERIA=%22Localiza%20Chile%22.%22Codcom%22%3D9119" u="1"/>
        <s v="https://analytics.zoho.com/open-view/2395394000008161221?ZOHO_CRITERIA=%22Localiza%20Chile%22.%22Codcom%22%3D9119" u="1"/>
        <s v="https://analytics.zoho.com/open-view/2395394000008161222?ZOHO_CRITERIA=%22Localiza%20Chile%22.%22Codcom%22%3D9119" u="1"/>
        <s v="https://analytics.zoho.com/open-view/2395394000008161223?ZOHO_CRITERIA=%22Localiza%20Chile%22.%22Codcom%22%3D9119" u="1"/>
        <s v="https://analytics.zoho.com/open-view/2395394000008161224?ZOHO_CRITERIA=%22Localiza%20Chile%22.%22Codcom%22%3D9119" u="1"/>
        <s v="https://analytics.zoho.com/open-view/2395394000008161225?ZOHO_CRITERIA=%22Localiza%20Chile%22.%22Codcom%22%3D9119" u="1"/>
        <s v="https://analytics.zoho.com/open-view/2395394000008161226?ZOHO_CRITERIA=%22Localiza%20Chile%22.%22Codcom%22%3D9119" u="1"/>
        <s v="https://analytics.zoho.com/open-view/2395394000008161227?ZOHO_CRITERIA=%22Localiza%20Chile%22.%22Codcom%22%3D9119" u="1"/>
        <s v="https://analytics.zoho.com/open-view/2395394000008161228?ZOHO_CRITERIA=%22Localiza%20Chile%22.%22Codcom%22%3D9119" u="1"/>
        <s v="https://analytics.zoho.com/open-view/2395394000008161229?ZOHO_CRITERIA=%22Localiza%20Chile%22.%22Codcom%22%3D9119" u="1"/>
        <s v="https://analytics.zoho.com/open-view/2395394000008161231?ZOHO_CRITERIA=%22Localiza%20Chile%22.%22Codcom%22%3D9119" u="1"/>
        <s v="https://analytics.zoho.com/open-view/2395394000008161220?ZOHO_CRITERIA=%22Localiza%20Chile%22.%22Codcom%22%3D16207" u="1"/>
        <s v="https://analytics.zoho.com/open-view/2395394000008161221?ZOHO_CRITERIA=%22Localiza%20Chile%22.%22Codcom%22%3D16207" u="1"/>
        <s v="https://analytics.zoho.com/open-view/2395394000008161222?ZOHO_CRITERIA=%22Localiza%20Chile%22.%22Codcom%22%3D16207" u="1"/>
        <s v="https://analytics.zoho.com/open-view/2395394000008161223?ZOHO_CRITERIA=%22Localiza%20Chile%22.%22Codcom%22%3D16207" u="1"/>
        <s v="https://analytics.zoho.com/open-view/2395394000008161224?ZOHO_CRITERIA=%22Localiza%20Chile%22.%22Codcom%22%3D16207" u="1"/>
        <s v="https://analytics.zoho.com/open-view/2395394000008161225?ZOHO_CRITERIA=%22Localiza%20Chile%22.%22Codcom%22%3D16207" u="1"/>
        <s v="https://analytics.zoho.com/open-view/2395394000008161226?ZOHO_CRITERIA=%22Localiza%20Chile%22.%22Codcom%22%3D16207" u="1"/>
        <s v="https://analytics.zoho.com/open-view/2395394000008161227?ZOHO_CRITERIA=%22Localiza%20Chile%22.%22Codcom%22%3D16207" u="1"/>
        <s v="https://analytics.zoho.com/open-view/2395394000008161228?ZOHO_CRITERIA=%22Localiza%20Chile%22.%22Codcom%22%3D16207" u="1"/>
        <s v="https://analytics.zoho.com/open-view/2395394000008161229?ZOHO_CRITERIA=%22Localiza%20Chile%22.%22Codcom%22%3D16207" u="1"/>
        <s v="https://analytics.zoho.com/open-view/2395394000008161231?ZOHO_CRITERIA=%22Localiza%20Chile%22.%22Codcom%22%3D16207" u="1"/>
        <s v="https://analytics.zoho.com/open-view/2395394000008161220?ZOHO_CRITERIA=%22Localiza%20Chile%22.%22Codcom%22%3D13110" u="1"/>
        <s v="https://analytics.zoho.com/open-view/2395394000008161221?ZOHO_CRITERIA=%22Localiza%20Chile%22.%22Codcom%22%3D13110" u="1"/>
        <s v="https://analytics.zoho.com/open-view/2395394000008161222?ZOHO_CRITERIA=%22Localiza%20Chile%22.%22Codcom%22%3D13110" u="1"/>
        <s v="https://analytics.zoho.com/open-view/2395394000008161223?ZOHO_CRITERIA=%22Localiza%20Chile%22.%22Codcom%22%3D13110" u="1"/>
        <s v="https://analytics.zoho.com/open-view/2395394000008161224?ZOHO_CRITERIA=%22Localiza%20Chile%22.%22Codcom%22%3D13110" u="1"/>
        <s v="https://analytics.zoho.com/open-view/2395394000008161225?ZOHO_CRITERIA=%22Localiza%20Chile%22.%22Codcom%22%3D13110" u="1"/>
        <s v="https://analytics.zoho.com/open-view/2395394000008161226?ZOHO_CRITERIA=%22Localiza%20Chile%22.%22Codcom%22%3D13110" u="1"/>
        <s v="https://analytics.zoho.com/open-view/2395394000008161227?ZOHO_CRITERIA=%22Localiza%20Chile%22.%22Codcom%22%3D13110" u="1"/>
        <s v="https://analytics.zoho.com/open-view/2395394000008161228?ZOHO_CRITERIA=%22Localiza%20Chile%22.%22Codcom%22%3D13110" u="1"/>
        <s v="https://analytics.zoho.com/open-view/2395394000008161229?ZOHO_CRITERIA=%22Localiza%20Chile%22.%22Codcom%22%3D13110" u="1"/>
        <s v="https://analytics.zoho.com/open-view/2395394000008161231?ZOHO_CRITERIA=%22Localiza%20Chile%22.%22Codcom%22%3D13110" u="1"/>
        <s v="https://analytics.zoho.com/open-view/2395394000008161220?ZOHO_CRITERIA=%22Localiza%20Chile%22.%22Codcom%22%3D13120" u="1"/>
        <s v="https://analytics.zoho.com/open-view/2395394000008161221?ZOHO_CRITERIA=%22Localiza%20Chile%22.%22Codcom%22%3D13120" u="1"/>
        <s v="https://analytics.zoho.com/open-view/2395394000008161222?ZOHO_CRITERIA=%22Localiza%20Chile%22.%22Codcom%22%3D13120" u="1"/>
        <s v="https://analytics.zoho.com/open-view/2395394000008161223?ZOHO_CRITERIA=%22Localiza%20Chile%22.%22Codcom%22%3D13120" u="1"/>
        <s v="https://analytics.zoho.com/open-view/2395394000008161224?ZOHO_CRITERIA=%22Localiza%20Chile%22.%22Codcom%22%3D13120" u="1"/>
        <s v="https://analytics.zoho.com/open-view/2395394000008161225?ZOHO_CRITERIA=%22Localiza%20Chile%22.%22Codcom%22%3D13120" u="1"/>
        <s v="https://analytics.zoho.com/open-view/2395394000008161226?ZOHO_CRITERIA=%22Localiza%20Chile%22.%22Codcom%22%3D13120" u="1"/>
        <s v="https://analytics.zoho.com/open-view/2395394000008161227?ZOHO_CRITERIA=%22Localiza%20Chile%22.%22Codcom%22%3D13120" u="1"/>
        <s v="https://analytics.zoho.com/open-view/2395394000008161228?ZOHO_CRITERIA=%22Localiza%20Chile%22.%22Codcom%22%3D13120" u="1"/>
        <s v="https://analytics.zoho.com/open-view/2395394000008161229?ZOHO_CRITERIA=%22Localiza%20Chile%22.%22Codcom%22%3D13120" u="1"/>
        <s v="https://analytics.zoho.com/open-view/2395394000008161231?ZOHO_CRITERIA=%22Localiza%20Chile%22.%22Codcom%22%3D13120" u="1"/>
        <s v="https://analytics.zoho.com/open-view/2395394000008161220?ZOHO_CRITERIA=%22Localiza%20Chile%22.%22Codcom%22%3D13130" u="1"/>
        <s v="https://analytics.zoho.com/open-view/2395394000008161221?ZOHO_CRITERIA=%22Localiza%20Chile%22.%22Codcom%22%3D13130" u="1"/>
        <s v="https://analytics.zoho.com/open-view/2395394000008161222?ZOHO_CRITERIA=%22Localiza%20Chile%22.%22Codcom%22%3D13130" u="1"/>
        <s v="https://analytics.zoho.com/open-view/2395394000008161223?ZOHO_CRITERIA=%22Localiza%20Chile%22.%22Codcom%22%3D13130" u="1"/>
        <s v="https://analytics.zoho.com/open-view/2395394000008161224?ZOHO_CRITERIA=%22Localiza%20Chile%22.%22Codcom%22%3D13130" u="1"/>
        <s v="https://analytics.zoho.com/open-view/2395394000008161225?ZOHO_CRITERIA=%22Localiza%20Chile%22.%22Codcom%22%3D13130" u="1"/>
        <s v="https://analytics.zoho.com/open-view/2395394000008161226?ZOHO_CRITERIA=%22Localiza%20Chile%22.%22Codcom%22%3D13130" u="1"/>
        <s v="https://analytics.zoho.com/open-view/2395394000008161227?ZOHO_CRITERIA=%22Localiza%20Chile%22.%22Codcom%22%3D13130" u="1"/>
        <s v="https://analytics.zoho.com/open-view/2395394000008161228?ZOHO_CRITERIA=%22Localiza%20Chile%22.%22Codcom%22%3D13130" u="1"/>
        <s v="https://analytics.zoho.com/open-view/2395394000008161229?ZOHO_CRITERIA=%22Localiza%20Chile%22.%22Codcom%22%3D13130" u="1"/>
        <s v="https://analytics.zoho.com/open-view/2395394000008161231?ZOHO_CRITERIA=%22Localiza%20Chile%22.%22Codcom%22%3D13130" u="1"/>
        <s v="https://analytics.zoho.com/open-view/2395394000008161220?ZOHO_CRITERIA=%22Localiza%20Chile%22.%22Codcom%22%3D12301" u="1"/>
        <s v="https://analytics.zoho.com/open-view/2395394000008161221?ZOHO_CRITERIA=%22Localiza%20Chile%22.%22Codcom%22%3D12301" u="1"/>
        <s v="https://analytics.zoho.com/open-view/2395394000008161222?ZOHO_CRITERIA=%22Localiza%20Chile%22.%22Codcom%22%3D12301" u="1"/>
        <s v="https://analytics.zoho.com/open-view/2395394000008161223?ZOHO_CRITERIA=%22Localiza%20Chile%22.%22Codcom%22%3D12301" u="1"/>
        <s v="https://analytics.zoho.com/open-view/2395394000008161224?ZOHO_CRITERIA=%22Localiza%20Chile%22.%22Codcom%22%3D12301" u="1"/>
        <s v="https://analytics.zoho.com/open-view/2395394000008161225?ZOHO_CRITERIA=%22Localiza%20Chile%22.%22Codcom%22%3D12301" u="1"/>
        <s v="https://analytics.zoho.com/open-view/2395394000008161226?ZOHO_CRITERIA=%22Localiza%20Chile%22.%22Codcom%22%3D12301" u="1"/>
        <s v="https://analytics.zoho.com/open-view/2395394000008161227?ZOHO_CRITERIA=%22Localiza%20Chile%22.%22Codcom%22%3D12301" u="1"/>
        <s v="https://analytics.zoho.com/open-view/2395394000008161228?ZOHO_CRITERIA=%22Localiza%20Chile%22.%22Codcom%22%3D12301" u="1"/>
        <s v="https://analytics.zoho.com/open-view/2395394000008161229?ZOHO_CRITERIA=%22Localiza%20Chile%22.%22Codcom%22%3D12301" u="1"/>
        <s v="https://analytics.zoho.com/open-view/2395394000008161231?ZOHO_CRITERIA=%22Localiza%20Chile%22.%22Codcom%22%3D12301" u="1"/>
        <s v="https://analytics.zoho.com/open-view/2395394000008161200?ZOHO_CRITERIA=%22Localiza%20Chile%22.%22Codreg%22%3D13" u="1"/>
        <s v="https://analytics.zoho.com/open-view/2395394000008161201?ZOHO_CRITERIA=%22Localiza%20Chile%22.%22Codreg%22%3D13" u="1"/>
        <s v="https://analytics.zoho.com/open-view/2395394000008161202?ZOHO_CRITERIA=%22Localiza%20Chile%22.%22Codreg%22%3D13" u="1"/>
        <s v="https://analytics.zoho.com/open-view/2395394000008161203?ZOHO_CRITERIA=%22Localiza%20Chile%22.%22Codreg%22%3D13" u="1"/>
        <s v="https://analytics.zoho.com/open-view/2395394000008161204?ZOHO_CRITERIA=%22Localiza%20Chile%22.%22Codreg%22%3D13" u="1"/>
        <s v="https://analytics.zoho.com/open-view/2395394000008161205?ZOHO_CRITERIA=%22Localiza%20Chile%22.%22Codreg%22%3D13" u="1"/>
        <s v="https://analytics.zoho.com/open-view/2395394000008161206?ZOHO_CRITERIA=%22Localiza%20Chile%22.%22Codreg%22%3D13" u="1"/>
        <s v="https://analytics.zoho.com/open-view/2395394000008161207?ZOHO_CRITERIA=%22Localiza%20Chile%22.%22Codreg%22%3D13" u="1"/>
        <s v="https://analytics.zoho.com/open-view/2395394000008161208?ZOHO_CRITERIA=%22Localiza%20Chile%22.%22Codreg%22%3D13" u="1"/>
        <s v="https://analytics.zoho.com/open-view/2395394000008161209?ZOHO_CRITERIA=%22Localiza%20Chile%22.%22Codreg%22%3D13" u="1"/>
        <s v="https://analytics.zoho.com/open-view/2395394000008161214?ZOHO_CRITERIA=%22Localiza%20Chile%22.%22Codreg%22%3D13" u="1"/>
        <s v="https://analytics.zoho.com/open-view/2395394000008161220?ZOHO_CRITERIA=%22Localiza%20Chile%22.%22Codcom%22%3D13101" u="1"/>
        <s v="https://analytics.zoho.com/open-view/2395394000008161221?ZOHO_CRITERIA=%22Localiza%20Chile%22.%22Codcom%22%3D13101" u="1"/>
        <s v="https://analytics.zoho.com/open-view/2395394000008161222?ZOHO_CRITERIA=%22Localiza%20Chile%22.%22Codcom%22%3D13101" u="1"/>
        <s v="https://analytics.zoho.com/open-view/2395394000008161223?ZOHO_CRITERIA=%22Localiza%20Chile%22.%22Codcom%22%3D13101" u="1"/>
        <s v="https://analytics.zoho.com/open-view/2395394000008161224?ZOHO_CRITERIA=%22Localiza%20Chile%22.%22Codcom%22%3D13101" u="1"/>
        <s v="https://analytics.zoho.com/open-view/2395394000008161225?ZOHO_CRITERIA=%22Localiza%20Chile%22.%22Codcom%22%3D13101" u="1"/>
        <s v="https://analytics.zoho.com/open-view/2395394000008161226?ZOHO_CRITERIA=%22Localiza%20Chile%22.%22Codcom%22%3D13101" u="1"/>
        <s v="https://analytics.zoho.com/open-view/2395394000008161227?ZOHO_CRITERIA=%22Localiza%20Chile%22.%22Codcom%22%3D13101" u="1"/>
        <s v="https://analytics.zoho.com/open-view/2395394000008161228?ZOHO_CRITERIA=%22Localiza%20Chile%22.%22Codcom%22%3D13101" u="1"/>
        <s v="https://analytics.zoho.com/open-view/2395394000008161229?ZOHO_CRITERIA=%22Localiza%20Chile%22.%22Codcom%22%3D13101" u="1"/>
        <s v="https://analytics.zoho.com/open-view/2395394000008161231?ZOHO_CRITERIA=%22Localiza%20Chile%22.%22Codcom%22%3D13101" u="1"/>
        <s v="https://analytics.zoho.com/open-view/2395394000008161220?ZOHO_CRITERIA=%22Localiza%20Chile%22.%22Codcom%22%3D13111" u="1"/>
        <s v="https://analytics.zoho.com/open-view/2395394000008161221?ZOHO_CRITERIA=%22Localiza%20Chile%22.%22Codcom%22%3D13111" u="1"/>
        <s v="https://analytics.zoho.com/open-view/2395394000008161222?ZOHO_CRITERIA=%22Localiza%20Chile%22.%22Codcom%22%3D13111" u="1"/>
        <s v="https://analytics.zoho.com/open-view/2395394000008161223?ZOHO_CRITERIA=%22Localiza%20Chile%22.%22Codcom%22%3D13111" u="1"/>
        <s v="https://analytics.zoho.com/open-view/2395394000008161224?ZOHO_CRITERIA=%22Localiza%20Chile%22.%22Codcom%22%3D13111" u="1"/>
        <s v="https://analytics.zoho.com/open-view/2395394000008161225?ZOHO_CRITERIA=%22Localiza%20Chile%22.%22Codcom%22%3D13111" u="1"/>
        <s v="https://analytics.zoho.com/open-view/2395394000008161226?ZOHO_CRITERIA=%22Localiza%20Chile%22.%22Codcom%22%3D13111" u="1"/>
        <s v="https://analytics.zoho.com/open-view/2395394000008161227?ZOHO_CRITERIA=%22Localiza%20Chile%22.%22Codcom%22%3D13111" u="1"/>
        <s v="https://analytics.zoho.com/open-view/2395394000008161228?ZOHO_CRITERIA=%22Localiza%20Chile%22.%22Codcom%22%3D13111" u="1"/>
        <s v="https://analytics.zoho.com/open-view/2395394000008161229?ZOHO_CRITERIA=%22Localiza%20Chile%22.%22Codcom%22%3D13111" u="1"/>
        <s v="https://analytics.zoho.com/open-view/2395394000008161231?ZOHO_CRITERIA=%22Localiza%20Chile%22.%22Codcom%22%3D13111" u="1"/>
        <s v="https://analytics.zoho.com/open-view/2395394000008161220?ZOHO_CRITERIA=%22Localiza%20Chile%22.%22Codcom%22%3D13121" u="1"/>
        <s v="https://analytics.zoho.com/open-view/2395394000008161221?ZOHO_CRITERIA=%22Localiza%20Chile%22.%22Codcom%22%3D13121" u="1"/>
        <s v="https://analytics.zoho.com/open-view/2395394000008161222?ZOHO_CRITERIA=%22Localiza%20Chile%22.%22Codcom%22%3D13121" u="1"/>
        <s v="https://analytics.zoho.com/open-view/2395394000008161223?ZOHO_CRITERIA=%22Localiza%20Chile%22.%22Codcom%22%3D13121" u="1"/>
        <s v="https://analytics.zoho.com/open-view/2395394000008161224?ZOHO_CRITERIA=%22Localiza%20Chile%22.%22Codcom%22%3D13121" u="1"/>
        <s v="https://analytics.zoho.com/open-view/2395394000008161225?ZOHO_CRITERIA=%22Localiza%20Chile%22.%22Codcom%22%3D13121" u="1"/>
        <s v="https://analytics.zoho.com/open-view/2395394000008161226?ZOHO_CRITERIA=%22Localiza%20Chile%22.%22Codcom%22%3D13121" u="1"/>
        <s v="https://analytics.zoho.com/open-view/2395394000008161227?ZOHO_CRITERIA=%22Localiza%20Chile%22.%22Codcom%22%3D13121" u="1"/>
        <s v="https://analytics.zoho.com/open-view/2395394000008161228?ZOHO_CRITERIA=%22Localiza%20Chile%22.%22Codcom%22%3D13121" u="1"/>
        <s v="https://analytics.zoho.com/open-view/2395394000008161229?ZOHO_CRITERIA=%22Localiza%20Chile%22.%22Codcom%22%3D13121" u="1"/>
        <s v="https://analytics.zoho.com/open-view/2395394000008161231?ZOHO_CRITERIA=%22Localiza%20Chile%22.%22Codcom%22%3D13121" u="1"/>
        <s v="https://analytics.zoho.com/open-view/2395394000008161220?ZOHO_CRITERIA=%22Localiza%20Chile%22.%22Codcom%22%3D13131" u="1"/>
        <s v="https://analytics.zoho.com/open-view/2395394000008161221?ZOHO_CRITERIA=%22Localiza%20Chile%22.%22Codcom%22%3D13131" u="1"/>
        <s v="https://analytics.zoho.com/open-view/2395394000008161222?ZOHO_CRITERIA=%22Localiza%20Chile%22.%22Codcom%22%3D13131" u="1"/>
        <s v="https://analytics.zoho.com/open-view/2395394000008161223?ZOHO_CRITERIA=%22Localiza%20Chile%22.%22Codcom%22%3D13131" u="1"/>
        <s v="https://analytics.zoho.com/open-view/2395394000008161224?ZOHO_CRITERIA=%22Localiza%20Chile%22.%22Codcom%22%3D13131" u="1"/>
        <s v="https://analytics.zoho.com/open-view/2395394000008161225?ZOHO_CRITERIA=%22Localiza%20Chile%22.%22Codcom%22%3D13131" u="1"/>
        <s v="https://analytics.zoho.com/open-view/2395394000008161226?ZOHO_CRITERIA=%22Localiza%20Chile%22.%22Codcom%22%3D13131" u="1"/>
        <s v="https://analytics.zoho.com/open-view/2395394000008161227?ZOHO_CRITERIA=%22Localiza%20Chile%22.%22Codcom%22%3D13131" u="1"/>
        <s v="https://analytics.zoho.com/open-view/2395394000008161228?ZOHO_CRITERIA=%22Localiza%20Chile%22.%22Codcom%22%3D13131" u="1"/>
        <s v="https://analytics.zoho.com/open-view/2395394000008161229?ZOHO_CRITERIA=%22Localiza%20Chile%22.%22Codcom%22%3D13131" u="1"/>
        <s v="https://analytics.zoho.com/open-view/2395394000008161231?ZOHO_CRITERIA=%22Localiza%20Chile%22.%22Codcom%22%3D13131" u="1"/>
        <s v="https://analytics.zoho.com/open-view/2395394000008161220?ZOHO_CRITERIA=%22Localiza%20Chile%22.%22Codcom%22%3D16301" u="1"/>
        <s v="https://analytics.zoho.com/open-view/2395394000008161221?ZOHO_CRITERIA=%22Localiza%20Chile%22.%22Codcom%22%3D16301" u="1"/>
        <s v="https://analytics.zoho.com/open-view/2395394000008161222?ZOHO_CRITERIA=%22Localiza%20Chile%22.%22Codcom%22%3D16301" u="1"/>
        <s v="https://analytics.zoho.com/open-view/2395394000008161223?ZOHO_CRITERIA=%22Localiza%20Chile%22.%22Codcom%22%3D16301" u="1"/>
        <s v="https://analytics.zoho.com/open-view/2395394000008161224?ZOHO_CRITERIA=%22Localiza%20Chile%22.%22Codcom%22%3D16301" u="1"/>
        <s v="https://analytics.zoho.com/open-view/2395394000008161225?ZOHO_CRITERIA=%22Localiza%20Chile%22.%22Codcom%22%3D16301" u="1"/>
        <s v="https://analytics.zoho.com/open-view/2395394000008161226?ZOHO_CRITERIA=%22Localiza%20Chile%22.%22Codcom%22%3D16301" u="1"/>
        <s v="https://analytics.zoho.com/open-view/2395394000008161227?ZOHO_CRITERIA=%22Localiza%20Chile%22.%22Codcom%22%3D16301" u="1"/>
        <s v="https://analytics.zoho.com/open-view/2395394000008161228?ZOHO_CRITERIA=%22Localiza%20Chile%22.%22Codcom%22%3D16301" u="1"/>
        <s v="https://analytics.zoho.com/open-view/2395394000008161229?ZOHO_CRITERIA=%22Localiza%20Chile%22.%22Codcom%22%3D16301" u="1"/>
        <s v="https://analytics.zoho.com/open-view/2395394000008161231?ZOHO_CRITERIA=%22Localiza%20Chile%22.%22Codcom%22%3D16301" u="1"/>
        <s v="https://analytics.zoho.com/open-view/2395394000008161220?ZOHO_CRITERIA=%22Localiza%20Chile%22.%22Codcom%22%3D12302" u="1"/>
        <s v="https://analytics.zoho.com/open-view/2395394000008161221?ZOHO_CRITERIA=%22Localiza%20Chile%22.%22Codcom%22%3D12302" u="1"/>
        <s v="https://analytics.zoho.com/open-view/2395394000008161222?ZOHO_CRITERIA=%22Localiza%20Chile%22.%22Codcom%22%3D12302" u="1"/>
        <s v="https://analytics.zoho.com/open-view/2395394000008161223?ZOHO_CRITERIA=%22Localiza%20Chile%22.%22Codcom%22%3D12302" u="1"/>
        <s v="https://analytics.zoho.com/open-view/2395394000008161224?ZOHO_CRITERIA=%22Localiza%20Chile%22.%22Codcom%22%3D12302" u="1"/>
        <s v="https://analytics.zoho.com/open-view/2395394000008161225?ZOHO_CRITERIA=%22Localiza%20Chile%22.%22Codcom%22%3D12302" u="1"/>
        <s v="https://analytics.zoho.com/open-view/2395394000008161226?ZOHO_CRITERIA=%22Localiza%20Chile%22.%22Codcom%22%3D12302" u="1"/>
        <s v="https://analytics.zoho.com/open-view/2395394000008161227?ZOHO_CRITERIA=%22Localiza%20Chile%22.%22Codcom%22%3D12302" u="1"/>
        <s v="https://analytics.zoho.com/open-view/2395394000008161228?ZOHO_CRITERIA=%22Localiza%20Chile%22.%22Codcom%22%3D12302" u="1"/>
        <s v="https://analytics.zoho.com/open-view/2395394000008161229?ZOHO_CRITERIA=%22Localiza%20Chile%22.%22Codcom%22%3D12302" u="1"/>
        <s v="https://analytics.zoho.com/open-view/2395394000008161231?ZOHO_CRITERIA=%22Localiza%20Chile%22.%22Codcom%22%3D12302" u="1"/>
        <s v="https://analytics.zoho.com/open-view/2395394000008161220?ZOHO_CRITERIA=%22Localiza%20Chile%22.%22Codcom%22%3D13102" u="1"/>
        <s v="https://analytics.zoho.com/open-view/2395394000008161221?ZOHO_CRITERIA=%22Localiza%20Chile%22.%22Codcom%22%3D13102" u="1"/>
        <s v="https://analytics.zoho.com/open-view/2395394000008161222?ZOHO_CRITERIA=%22Localiza%20Chile%22.%22Codcom%22%3D13102" u="1"/>
        <s v="https://analytics.zoho.com/open-view/2395394000008161223?ZOHO_CRITERIA=%22Localiza%20Chile%22.%22Codcom%22%3D13102" u="1"/>
        <s v="https://analytics.zoho.com/open-view/2395394000008161224?ZOHO_CRITERIA=%22Localiza%20Chile%22.%22Codcom%22%3D13102" u="1"/>
        <s v="https://analytics.zoho.com/open-view/2395394000008161225?ZOHO_CRITERIA=%22Localiza%20Chile%22.%22Codcom%22%3D13102" u="1"/>
        <s v="https://analytics.zoho.com/open-view/2395394000008161226?ZOHO_CRITERIA=%22Localiza%20Chile%22.%22Codcom%22%3D13102" u="1"/>
        <s v="https://analytics.zoho.com/open-view/2395394000008161227?ZOHO_CRITERIA=%22Localiza%20Chile%22.%22Codcom%22%3D13102" u="1"/>
        <s v="https://analytics.zoho.com/open-view/2395394000008161228?ZOHO_CRITERIA=%22Localiza%20Chile%22.%22Codcom%22%3D13102" u="1"/>
        <s v="https://analytics.zoho.com/open-view/2395394000008161229?ZOHO_CRITERIA=%22Localiza%20Chile%22.%22Codcom%22%3D13102" u="1"/>
        <s v="https://analytics.zoho.com/open-view/2395394000008161231?ZOHO_CRITERIA=%22Localiza%20Chile%22.%22Codcom%22%3D13102" u="1"/>
        <s v="https://analytics.zoho.com/open-view/2395394000008161220?ZOHO_CRITERIA=%22Localiza%20Chile%22.%22Codcom%22%3D13112" u="1"/>
        <s v="https://analytics.zoho.com/open-view/2395394000008161221?ZOHO_CRITERIA=%22Localiza%20Chile%22.%22Codcom%22%3D13112" u="1"/>
        <s v="https://analytics.zoho.com/open-view/2395394000008161222?ZOHO_CRITERIA=%22Localiza%20Chile%22.%22Codcom%22%3D13112" u="1"/>
        <s v="https://analytics.zoho.com/open-view/2395394000008161223?ZOHO_CRITERIA=%22Localiza%20Chile%22.%22Codcom%22%3D13112" u="1"/>
        <s v="https://analytics.zoho.com/open-view/2395394000008161224?ZOHO_CRITERIA=%22Localiza%20Chile%22.%22Codcom%22%3D13112" u="1"/>
        <s v="https://analytics.zoho.com/open-view/2395394000008161225?ZOHO_CRITERIA=%22Localiza%20Chile%22.%22Codcom%22%3D13112" u="1"/>
        <s v="https://analytics.zoho.com/open-view/2395394000008161226?ZOHO_CRITERIA=%22Localiza%20Chile%22.%22Codcom%22%3D13112" u="1"/>
        <s v="https://analytics.zoho.com/open-view/2395394000008161227?ZOHO_CRITERIA=%22Localiza%20Chile%22.%22Codcom%22%3D13112" u="1"/>
        <s v="https://analytics.zoho.com/open-view/2395394000008161228?ZOHO_CRITERIA=%22Localiza%20Chile%22.%22Codcom%22%3D13112" u="1"/>
        <s v="https://analytics.zoho.com/open-view/2395394000008161229?ZOHO_CRITERIA=%22Localiza%20Chile%22.%22Codcom%22%3D13112" u="1"/>
        <s v="https://analytics.zoho.com/open-view/2395394000008161231?ZOHO_CRITERIA=%22Localiza%20Chile%22.%22Codcom%22%3D13112" u="1"/>
        <s v="https://analytics.zoho.com/open-view/2395394000008161220?ZOHO_CRITERIA=%22Localiza%20Chile%22.%22Codcom%22%3D13122" u="1"/>
        <s v="https://analytics.zoho.com/open-view/2395394000008161221?ZOHO_CRITERIA=%22Localiza%20Chile%22.%22Codcom%22%3D13122" u="1"/>
        <s v="https://analytics.zoho.com/open-view/2395394000008161222?ZOHO_CRITERIA=%22Localiza%20Chile%22.%22Codcom%22%3D13122" u="1"/>
        <s v="https://analytics.zoho.com/open-view/2395394000008161223?ZOHO_CRITERIA=%22Localiza%20Chile%22.%22Codcom%22%3D13122" u="1"/>
        <s v="https://analytics.zoho.com/open-view/2395394000008161224?ZOHO_CRITERIA=%22Localiza%20Chile%22.%22Codcom%22%3D13122" u="1"/>
        <s v="https://analytics.zoho.com/open-view/2395394000008161225?ZOHO_CRITERIA=%22Localiza%20Chile%22.%22Codcom%22%3D13122" u="1"/>
        <s v="https://analytics.zoho.com/open-view/2395394000008161226?ZOHO_CRITERIA=%22Localiza%20Chile%22.%22Codcom%22%3D13122" u="1"/>
        <s v="https://analytics.zoho.com/open-view/2395394000008161227?ZOHO_CRITERIA=%22Localiza%20Chile%22.%22Codcom%22%3D13122" u="1"/>
        <s v="https://analytics.zoho.com/open-view/2395394000008161228?ZOHO_CRITERIA=%22Localiza%20Chile%22.%22Codcom%22%3D13122" u="1"/>
        <s v="https://analytics.zoho.com/open-view/2395394000008161229?ZOHO_CRITERIA=%22Localiza%20Chile%22.%22Codcom%22%3D13122" u="1"/>
        <s v="https://analytics.zoho.com/open-view/2395394000008161231?ZOHO_CRITERIA=%22Localiza%20Chile%22.%22Codcom%22%3D13122" u="1"/>
        <s v="https://analytics.zoho.com/open-view/2395394000008161220?ZOHO_CRITERIA=%22Localiza%20Chile%22.%22Codcom%22%3D13132" u="1"/>
        <s v="https://analytics.zoho.com/open-view/2395394000008161221?ZOHO_CRITERIA=%22Localiza%20Chile%22.%22Codcom%22%3D13132" u="1"/>
        <s v="https://analytics.zoho.com/open-view/2395394000008161222?ZOHO_CRITERIA=%22Localiza%20Chile%22.%22Codcom%22%3D13132" u="1"/>
        <s v="https://analytics.zoho.com/open-view/2395394000008161223?ZOHO_CRITERIA=%22Localiza%20Chile%22.%22Codcom%22%3D13132" u="1"/>
        <s v="https://analytics.zoho.com/open-view/2395394000008161224?ZOHO_CRITERIA=%22Localiza%20Chile%22.%22Codcom%22%3D13132" u="1"/>
        <s v="https://analytics.zoho.com/open-view/2395394000008161225?ZOHO_CRITERIA=%22Localiza%20Chile%22.%22Codcom%22%3D13132" u="1"/>
        <s v="https://analytics.zoho.com/open-view/2395394000008161226?ZOHO_CRITERIA=%22Localiza%20Chile%22.%22Codcom%22%3D13132" u="1"/>
        <s v="https://analytics.zoho.com/open-view/2395394000008161227?ZOHO_CRITERIA=%22Localiza%20Chile%22.%22Codcom%22%3D13132" u="1"/>
        <s v="https://analytics.zoho.com/open-view/2395394000008161228?ZOHO_CRITERIA=%22Localiza%20Chile%22.%22Codcom%22%3D13132" u="1"/>
        <s v="https://analytics.zoho.com/open-view/2395394000008161229?ZOHO_CRITERIA=%22Localiza%20Chile%22.%22Codcom%22%3D13132" u="1"/>
        <s v="https://analytics.zoho.com/open-view/2395394000008161231?ZOHO_CRITERIA=%22Localiza%20Chile%22.%22Codcom%22%3D13132" u="1"/>
        <s v="https://analytics.zoho.com/open-view/2395394000008161220?ZOHO_CRITERIA=%22Localiza%20Chile%22.%22Codcom%22%3D16302" u="1"/>
        <s v="https://analytics.zoho.com/open-view/2395394000008161221?ZOHO_CRITERIA=%22Localiza%20Chile%22.%22Codcom%22%3D16302" u="1"/>
        <s v="https://analytics.zoho.com/open-view/2395394000008161222?ZOHO_CRITERIA=%22Localiza%20Chile%22.%22Codcom%22%3D16302" u="1"/>
        <s v="https://analytics.zoho.com/open-view/2395394000008161223?ZOHO_CRITERIA=%22Localiza%20Chile%22.%22Codcom%22%3D16302" u="1"/>
        <s v="https://analytics.zoho.com/open-view/2395394000008161224?ZOHO_CRITERIA=%22Localiza%20Chile%22.%22Codcom%22%3D16302" u="1"/>
        <s v="https://analytics.zoho.com/open-view/2395394000008161225?ZOHO_CRITERIA=%22Localiza%20Chile%22.%22Codcom%22%3D16302" u="1"/>
        <s v="https://analytics.zoho.com/open-view/2395394000008161226?ZOHO_CRITERIA=%22Localiza%20Chile%22.%22Codcom%22%3D16302" u="1"/>
        <s v="https://analytics.zoho.com/open-view/2395394000008161227?ZOHO_CRITERIA=%22Localiza%20Chile%22.%22Codcom%22%3D16302" u="1"/>
        <s v="https://analytics.zoho.com/open-view/2395394000008161228?ZOHO_CRITERIA=%22Localiza%20Chile%22.%22Codcom%22%3D16302" u="1"/>
        <s v="https://analytics.zoho.com/open-view/2395394000008161229?ZOHO_CRITERIA=%22Localiza%20Chile%22.%22Codcom%22%3D16302" u="1"/>
        <s v="https://analytics.zoho.com/open-view/2395394000008161231?ZOHO_CRITERIA=%22Localiza%20Chile%22.%22Codcom%22%3D16302" u="1"/>
        <s v="https://analytics.zoho.com/open-view/2395394000008161220?ZOHO_CRITERIA=%22Localiza%20Chile%22.%22Codcom%22%3D12303" u="1"/>
        <s v="https://analytics.zoho.com/open-view/2395394000008161221?ZOHO_CRITERIA=%22Localiza%20Chile%22.%22Codcom%22%3D12303" u="1"/>
        <s v="https://analytics.zoho.com/open-view/2395394000008161222?ZOHO_CRITERIA=%22Localiza%20Chile%22.%22Codcom%22%3D12303" u="1"/>
        <s v="https://analytics.zoho.com/open-view/2395394000008161223?ZOHO_CRITERIA=%22Localiza%20Chile%22.%22Codcom%22%3D12303" u="1"/>
        <s v="https://analytics.zoho.com/open-view/2395394000008161224?ZOHO_CRITERIA=%22Localiza%20Chile%22.%22Codcom%22%3D12303" u="1"/>
        <s v="https://analytics.zoho.com/open-view/2395394000008161225?ZOHO_CRITERIA=%22Localiza%20Chile%22.%22Codcom%22%3D12303" u="1"/>
        <s v="https://analytics.zoho.com/open-view/2395394000008161226?ZOHO_CRITERIA=%22Localiza%20Chile%22.%22Codcom%22%3D12303" u="1"/>
        <s v="https://analytics.zoho.com/open-view/2395394000008161227?ZOHO_CRITERIA=%22Localiza%20Chile%22.%22Codcom%22%3D12303" u="1"/>
        <s v="https://analytics.zoho.com/open-view/2395394000008161228?ZOHO_CRITERIA=%22Localiza%20Chile%22.%22Codcom%22%3D12303" u="1"/>
        <s v="https://analytics.zoho.com/open-view/2395394000008161229?ZOHO_CRITERIA=%22Localiza%20Chile%22.%22Codcom%22%3D12303" u="1"/>
        <s v="https://analytics.zoho.com/open-view/2395394000008161231?ZOHO_CRITERIA=%22Localiza%20Chile%22.%22Codcom%22%3D12303" u="1"/>
        <s v="https://analytics.zoho.com/open-view/2395394000008161220?ZOHO_CRITERIA=%22Localiza%20Chile%22.%22Codcom%22%3D13103" u="1"/>
        <s v="https://analytics.zoho.com/open-view/2395394000008161221?ZOHO_CRITERIA=%22Localiza%20Chile%22.%22Codcom%22%3D13103" u="1"/>
        <s v="https://analytics.zoho.com/open-view/2395394000008161222?ZOHO_CRITERIA=%22Localiza%20Chile%22.%22Codcom%22%3D13103" u="1"/>
        <s v="https://analytics.zoho.com/open-view/2395394000008161223?ZOHO_CRITERIA=%22Localiza%20Chile%22.%22Codcom%22%3D13103" u="1"/>
        <s v="https://analytics.zoho.com/open-view/2395394000008161224?ZOHO_CRITERIA=%22Localiza%20Chile%22.%22Codcom%22%3D13103" u="1"/>
        <s v="https://analytics.zoho.com/open-view/2395394000008161225?ZOHO_CRITERIA=%22Localiza%20Chile%22.%22Codcom%22%3D13103" u="1"/>
        <s v="https://analytics.zoho.com/open-view/2395394000008161226?ZOHO_CRITERIA=%22Localiza%20Chile%22.%22Codcom%22%3D13103" u="1"/>
        <s v="https://analytics.zoho.com/open-view/2395394000008161227?ZOHO_CRITERIA=%22Localiza%20Chile%22.%22Codcom%22%3D13103" u="1"/>
        <s v="https://analytics.zoho.com/open-view/2395394000008161228?ZOHO_CRITERIA=%22Localiza%20Chile%22.%22Codcom%22%3D13103" u="1"/>
        <s v="https://analytics.zoho.com/open-view/2395394000008161229?ZOHO_CRITERIA=%22Localiza%20Chile%22.%22Codcom%22%3D13103" u="1"/>
        <s v="https://analytics.zoho.com/open-view/2395394000008161231?ZOHO_CRITERIA=%22Localiza%20Chile%22.%22Codcom%22%3D13103" u="1"/>
        <s v="https://analytics.zoho.com/open-view/2395394000008161220?ZOHO_CRITERIA=%22Localiza%20Chile%22.%22Codcom%22%3D13113" u="1"/>
        <s v="https://analytics.zoho.com/open-view/2395394000008161221?ZOHO_CRITERIA=%22Localiza%20Chile%22.%22Codcom%22%3D13113" u="1"/>
        <s v="https://analytics.zoho.com/open-view/2395394000008161222?ZOHO_CRITERIA=%22Localiza%20Chile%22.%22Codcom%22%3D13113" u="1"/>
        <s v="https://analytics.zoho.com/open-view/2395394000008161223?ZOHO_CRITERIA=%22Localiza%20Chile%22.%22Codcom%22%3D13113" u="1"/>
        <s v="https://analytics.zoho.com/open-view/2395394000008161224?ZOHO_CRITERIA=%22Localiza%20Chile%22.%22Codcom%22%3D13113" u="1"/>
        <s v="https://analytics.zoho.com/open-view/2395394000008161225?ZOHO_CRITERIA=%22Localiza%20Chile%22.%22Codcom%22%3D13113" u="1"/>
        <s v="https://analytics.zoho.com/open-view/2395394000008161226?ZOHO_CRITERIA=%22Localiza%20Chile%22.%22Codcom%22%3D13113" u="1"/>
        <s v="https://analytics.zoho.com/open-view/2395394000008161227?ZOHO_CRITERIA=%22Localiza%20Chile%22.%22Codcom%22%3D13113" u="1"/>
        <s v="https://analytics.zoho.com/open-view/2395394000008161228?ZOHO_CRITERIA=%22Localiza%20Chile%22.%22Codcom%22%3D13113" u="1"/>
        <s v="https://analytics.zoho.com/open-view/2395394000008161229?ZOHO_CRITERIA=%22Localiza%20Chile%22.%22Codcom%22%3D13113" u="1"/>
        <s v="https://analytics.zoho.com/open-view/2395394000008161231?ZOHO_CRITERIA=%22Localiza%20Chile%22.%22Codcom%22%3D13113" u="1"/>
        <s v="https://analytics.zoho.com/open-view/2395394000008161220?ZOHO_CRITERIA=%22Localiza%20Chile%22.%22Codcom%22%3D13123" u="1"/>
        <s v="https://analytics.zoho.com/open-view/2395394000008161221?ZOHO_CRITERIA=%22Localiza%20Chile%22.%22Codcom%22%3D13123" u="1"/>
        <s v="https://analytics.zoho.com/open-view/2395394000008161222?ZOHO_CRITERIA=%22Localiza%20Chile%22.%22Codcom%22%3D13123" u="1"/>
        <s v="https://analytics.zoho.com/open-view/2395394000008161223?ZOHO_CRITERIA=%22Localiza%20Chile%22.%22Codcom%22%3D13123" u="1"/>
        <s v="https://analytics.zoho.com/open-view/2395394000008161224?ZOHO_CRITERIA=%22Localiza%20Chile%22.%22Codcom%22%3D13123" u="1"/>
        <s v="https://analytics.zoho.com/open-view/2395394000008161225?ZOHO_CRITERIA=%22Localiza%20Chile%22.%22Codcom%22%3D13123" u="1"/>
        <s v="https://analytics.zoho.com/open-view/2395394000008161226?ZOHO_CRITERIA=%22Localiza%20Chile%22.%22Codcom%22%3D13123" u="1"/>
        <s v="https://analytics.zoho.com/open-view/2395394000008161227?ZOHO_CRITERIA=%22Localiza%20Chile%22.%22Codcom%22%3D13123" u="1"/>
        <s v="https://analytics.zoho.com/open-view/2395394000008161228?ZOHO_CRITERIA=%22Localiza%20Chile%22.%22Codcom%22%3D13123" u="1"/>
        <s v="https://analytics.zoho.com/open-view/2395394000008161229?ZOHO_CRITERIA=%22Localiza%20Chile%22.%22Codcom%22%3D13123" u="1"/>
        <s v="https://analytics.zoho.com/open-view/2395394000008161231?ZOHO_CRITERIA=%22Localiza%20Chile%22.%22Codcom%22%3D13123" u="1"/>
        <s v="https://analytics.zoho.com/open-view/2395394000008161220?ZOHO_CRITERIA=%22Localiza%20Chile%22.%22Codcom%22%3D2201" u="1"/>
        <s v="https://analytics.zoho.com/open-view/2395394000008161221?ZOHO_CRITERIA=%22Localiza%20Chile%22.%22Codcom%22%3D2201" u="1"/>
        <s v="https://analytics.zoho.com/open-view/2395394000008161222?ZOHO_CRITERIA=%22Localiza%20Chile%22.%22Codcom%22%3D2201" u="1"/>
        <s v="https://analytics.zoho.com/open-view/2395394000008161223?ZOHO_CRITERIA=%22Localiza%20Chile%22.%22Codcom%22%3D2201" u="1"/>
        <s v="https://analytics.zoho.com/open-view/2395394000008161224?ZOHO_CRITERIA=%22Localiza%20Chile%22.%22Codcom%22%3D2201" u="1"/>
        <s v="https://analytics.zoho.com/open-view/2395394000008161225?ZOHO_CRITERIA=%22Localiza%20Chile%22.%22Codcom%22%3D2201" u="1"/>
        <s v="https://analytics.zoho.com/open-view/2395394000008161226?ZOHO_CRITERIA=%22Localiza%20Chile%22.%22Codcom%22%3D2201" u="1"/>
        <s v="https://analytics.zoho.com/open-view/2395394000008161227?ZOHO_CRITERIA=%22Localiza%20Chile%22.%22Codcom%22%3D2201" u="1"/>
        <s v="https://analytics.zoho.com/open-view/2395394000008161228?ZOHO_CRITERIA=%22Localiza%20Chile%22.%22Codcom%22%3D2201" u="1"/>
        <s v="https://analytics.zoho.com/open-view/2395394000008161229?ZOHO_CRITERIA=%22Localiza%20Chile%22.%22Codcom%22%3D2201" u="1"/>
        <s v="https://analytics.zoho.com/open-view/2395394000008161231?ZOHO_CRITERIA=%22Localiza%20Chile%22.%22Codcom%22%3D2201" u="1"/>
        <s v="https://analytics.zoho.com/open-view/2395394000008161220?ZOHO_CRITERIA=%22Localiza%20Chile%22.%22Codcom%22%3D2202" u="1"/>
        <s v="https://analytics.zoho.com/open-view/2395394000008161221?ZOHO_CRITERIA=%22Localiza%20Chile%22.%22Codcom%22%3D2202" u="1"/>
        <s v="https://analytics.zoho.com/open-view/2395394000008161222?ZOHO_CRITERIA=%22Localiza%20Chile%22.%22Codcom%22%3D2202" u="1"/>
        <s v="https://analytics.zoho.com/open-view/2395394000008161223?ZOHO_CRITERIA=%22Localiza%20Chile%22.%22Codcom%22%3D2202" u="1"/>
        <s v="https://analytics.zoho.com/open-view/2395394000008161224?ZOHO_CRITERIA=%22Localiza%20Chile%22.%22Codcom%22%3D2202" u="1"/>
        <s v="https://analytics.zoho.com/open-view/2395394000008161225?ZOHO_CRITERIA=%22Localiza%20Chile%22.%22Codcom%22%3D2202" u="1"/>
        <s v="https://analytics.zoho.com/open-view/2395394000008161226?ZOHO_CRITERIA=%22Localiza%20Chile%22.%22Codcom%22%3D2202" u="1"/>
        <s v="https://analytics.zoho.com/open-view/2395394000008161227?ZOHO_CRITERIA=%22Localiza%20Chile%22.%22Codcom%22%3D2202" u="1"/>
        <s v="https://analytics.zoho.com/open-view/2395394000008161228?ZOHO_CRITERIA=%22Localiza%20Chile%22.%22Codcom%22%3D2202" u="1"/>
        <s v="https://analytics.zoho.com/open-view/2395394000008161229?ZOHO_CRITERIA=%22Localiza%20Chile%22.%22Codcom%22%3D2202" u="1"/>
        <s v="https://analytics.zoho.com/open-view/2395394000008161231?ZOHO_CRITERIA=%22Localiza%20Chile%22.%22Codcom%22%3D2202" u="1"/>
        <s v="https://analytics.zoho.com/open-view/2395394000008161220?ZOHO_CRITERIA=%22Localiza%20Chile%22.%22Codcom%22%3D2203" u="1"/>
        <s v="https://analytics.zoho.com/open-view/2395394000008161221?ZOHO_CRITERIA=%22Localiza%20Chile%22.%22Codcom%22%3D2203" u="1"/>
        <s v="https://analytics.zoho.com/open-view/2395394000008161222?ZOHO_CRITERIA=%22Localiza%20Chile%22.%22Codcom%22%3D2203" u="1"/>
        <s v="https://analytics.zoho.com/open-view/2395394000008161223?ZOHO_CRITERIA=%22Localiza%20Chile%22.%22Codcom%22%3D2203" u="1"/>
        <s v="https://analytics.zoho.com/open-view/2395394000008161224?ZOHO_CRITERIA=%22Localiza%20Chile%22.%22Codcom%22%3D2203" u="1"/>
        <s v="https://analytics.zoho.com/open-view/2395394000008161225?ZOHO_CRITERIA=%22Localiza%20Chile%22.%22Codcom%22%3D2203" u="1"/>
        <s v="https://analytics.zoho.com/open-view/2395394000008161226?ZOHO_CRITERIA=%22Localiza%20Chile%22.%22Codcom%22%3D2203" u="1"/>
        <s v="https://analytics.zoho.com/open-view/2395394000008161227?ZOHO_CRITERIA=%22Localiza%20Chile%22.%22Codcom%22%3D2203" u="1"/>
        <s v="https://analytics.zoho.com/open-view/2395394000008161228?ZOHO_CRITERIA=%22Localiza%20Chile%22.%22Codcom%22%3D2203" u="1"/>
        <s v="https://analytics.zoho.com/open-view/2395394000008161229?ZOHO_CRITERIA=%22Localiza%20Chile%22.%22Codcom%22%3D2203" u="1"/>
        <s v="https://analytics.zoho.com/open-view/2395394000008161231?ZOHO_CRITERIA=%22Localiza%20Chile%22.%22Codcom%22%3D2203" u="1"/>
        <s v="https://analytics.zoho.com/open-view/2395394000008161220?ZOHO_CRITERIA=%22Localiza%20Chile%22.%22Codcom%22%3D16303" u="1"/>
        <s v="https://analytics.zoho.com/open-view/2395394000008161221?ZOHO_CRITERIA=%22Localiza%20Chile%22.%22Codcom%22%3D16303" u="1"/>
        <s v="https://analytics.zoho.com/open-view/2395394000008161222?ZOHO_CRITERIA=%22Localiza%20Chile%22.%22Codcom%22%3D16303" u="1"/>
        <s v="https://analytics.zoho.com/open-view/2395394000008161223?ZOHO_CRITERIA=%22Localiza%20Chile%22.%22Codcom%22%3D16303" u="1"/>
        <s v="https://analytics.zoho.com/open-view/2395394000008161224?ZOHO_CRITERIA=%22Localiza%20Chile%22.%22Codcom%22%3D16303" u="1"/>
        <s v="https://analytics.zoho.com/open-view/2395394000008161225?ZOHO_CRITERIA=%22Localiza%20Chile%22.%22Codcom%22%3D16303" u="1"/>
        <s v="https://analytics.zoho.com/open-view/2395394000008161226?ZOHO_CRITERIA=%22Localiza%20Chile%22.%22Codcom%22%3D16303" u="1"/>
        <s v="https://analytics.zoho.com/open-view/2395394000008161227?ZOHO_CRITERIA=%22Localiza%20Chile%22.%22Codcom%22%3D16303" u="1"/>
        <s v="https://analytics.zoho.com/open-view/2395394000008161228?ZOHO_CRITERIA=%22Localiza%20Chile%22.%22Codcom%22%3D16303" u="1"/>
        <s v="https://analytics.zoho.com/open-view/2395394000008161229?ZOHO_CRITERIA=%22Localiza%20Chile%22.%22Codcom%22%3D16303" u="1"/>
        <s v="https://analytics.zoho.com/open-view/2395394000008161231?ZOHO_CRITERIA=%22Localiza%20Chile%22.%22Codcom%22%3D16303" u="1"/>
        <s v="https://analytics.zoho.com/open-view/2395394000008161220?ZOHO_CRITERIA=%22Localiza%20Chile%22.%22Codcom%22%3D3201" u="1"/>
        <s v="https://analytics.zoho.com/open-view/2395394000008161221?ZOHO_CRITERIA=%22Localiza%20Chile%22.%22Codcom%22%3D3201" u="1"/>
        <s v="https://analytics.zoho.com/open-view/2395394000008161222?ZOHO_CRITERIA=%22Localiza%20Chile%22.%22Codcom%22%3D3201" u="1"/>
        <s v="https://analytics.zoho.com/open-view/2395394000008161223?ZOHO_CRITERIA=%22Localiza%20Chile%22.%22Codcom%22%3D3201" u="1"/>
        <s v="https://analytics.zoho.com/open-view/2395394000008161224?ZOHO_CRITERIA=%22Localiza%20Chile%22.%22Codcom%22%3D3201" u="1"/>
        <s v="https://analytics.zoho.com/open-view/2395394000008161225?ZOHO_CRITERIA=%22Localiza%20Chile%22.%22Codcom%22%3D3201" u="1"/>
        <s v="https://analytics.zoho.com/open-view/2395394000008161226?ZOHO_CRITERIA=%22Localiza%20Chile%22.%22Codcom%22%3D3201" u="1"/>
        <s v="https://analytics.zoho.com/open-view/2395394000008161227?ZOHO_CRITERIA=%22Localiza%20Chile%22.%22Codcom%22%3D3201" u="1"/>
        <s v="https://analytics.zoho.com/open-view/2395394000008161228?ZOHO_CRITERIA=%22Localiza%20Chile%22.%22Codcom%22%3D3201" u="1"/>
        <s v="https://analytics.zoho.com/open-view/2395394000008161229?ZOHO_CRITERIA=%22Localiza%20Chile%22.%22Codcom%22%3D3201" u="1"/>
        <s v="https://analytics.zoho.com/open-view/2395394000008161231?ZOHO_CRITERIA=%22Localiza%20Chile%22.%22Codcom%22%3D3201" u="1"/>
        <s v="https://analytics.zoho.com/open-view/2395394000008161220?ZOHO_CRITERIA=%22Localiza%20Chile%22.%22Codcom%22%3D3202" u="1"/>
        <s v="https://analytics.zoho.com/open-view/2395394000008161221?ZOHO_CRITERIA=%22Localiza%20Chile%22.%22Codcom%22%3D3202" u="1"/>
        <s v="https://analytics.zoho.com/open-view/2395394000008161222?ZOHO_CRITERIA=%22Localiza%20Chile%22.%22Codcom%22%3D3202" u="1"/>
        <s v="https://analytics.zoho.com/open-view/2395394000008161223?ZOHO_CRITERIA=%22Localiza%20Chile%22.%22Codcom%22%3D3202" u="1"/>
        <s v="https://analytics.zoho.com/open-view/2395394000008161224?ZOHO_CRITERIA=%22Localiza%20Chile%22.%22Codcom%22%3D3202" u="1"/>
        <s v="https://analytics.zoho.com/open-view/2395394000008161225?ZOHO_CRITERIA=%22Localiza%20Chile%22.%22Codcom%22%3D3202" u="1"/>
        <s v="https://analytics.zoho.com/open-view/2395394000008161226?ZOHO_CRITERIA=%22Localiza%20Chile%22.%22Codcom%22%3D3202" u="1"/>
        <s v="https://analytics.zoho.com/open-view/2395394000008161227?ZOHO_CRITERIA=%22Localiza%20Chile%22.%22Codcom%22%3D3202" u="1"/>
        <s v="https://analytics.zoho.com/open-view/2395394000008161228?ZOHO_CRITERIA=%22Localiza%20Chile%22.%22Codcom%22%3D3202" u="1"/>
        <s v="https://analytics.zoho.com/open-view/2395394000008161229?ZOHO_CRITERIA=%22Localiza%20Chile%22.%22Codcom%22%3D3202" u="1"/>
        <s v="https://analytics.zoho.com/open-view/2395394000008161231?ZOHO_CRITERIA=%22Localiza%20Chile%22.%22Codcom%22%3D3202" u="1"/>
        <s v="https://analytics.zoho.com/open-view/2395394000008161220?ZOHO_CRITERIA=%22Localiza%20Chile%22.%22Codcom%22%3D13104" u="1"/>
        <s v="https://analytics.zoho.com/open-view/2395394000008161221?ZOHO_CRITERIA=%22Localiza%20Chile%22.%22Codcom%22%3D13104" u="1"/>
        <s v="https://analytics.zoho.com/open-view/2395394000008161222?ZOHO_CRITERIA=%22Localiza%20Chile%22.%22Codcom%22%3D13104" u="1"/>
        <s v="https://analytics.zoho.com/open-view/2395394000008161223?ZOHO_CRITERIA=%22Localiza%20Chile%22.%22Codcom%22%3D13104" u="1"/>
        <s v="https://analytics.zoho.com/open-view/2395394000008161224?ZOHO_CRITERIA=%22Localiza%20Chile%22.%22Codcom%22%3D13104" u="1"/>
        <s v="https://analytics.zoho.com/open-view/2395394000008161225?ZOHO_CRITERIA=%22Localiza%20Chile%22.%22Codcom%22%3D13104" u="1"/>
        <s v="https://analytics.zoho.com/open-view/2395394000008161226?ZOHO_CRITERIA=%22Localiza%20Chile%22.%22Codcom%22%3D13104" u="1"/>
        <s v="https://analytics.zoho.com/open-view/2395394000008161227?ZOHO_CRITERIA=%22Localiza%20Chile%22.%22Codcom%22%3D13104" u="1"/>
        <s v="https://analytics.zoho.com/open-view/2395394000008161228?ZOHO_CRITERIA=%22Localiza%20Chile%22.%22Codcom%22%3D13104" u="1"/>
        <s v="https://analytics.zoho.com/open-view/2395394000008161229?ZOHO_CRITERIA=%22Localiza%20Chile%22.%22Codcom%22%3D13104" u="1"/>
        <s v="https://analytics.zoho.com/open-view/2395394000008161231?ZOHO_CRITERIA=%22Localiza%20Chile%22.%22Codcom%22%3D13104" u="1"/>
        <s v="https://analytics.zoho.com/open-view/2395394000008161220?ZOHO_CRITERIA=%22Localiza%20Chile%22.%22Codcom%22%3D13114" u="1"/>
        <s v="https://analytics.zoho.com/open-view/2395394000008161221?ZOHO_CRITERIA=%22Localiza%20Chile%22.%22Codcom%22%3D13114" u="1"/>
        <s v="https://analytics.zoho.com/open-view/2395394000008161222?ZOHO_CRITERIA=%22Localiza%20Chile%22.%22Codcom%22%3D13114" u="1"/>
        <s v="https://analytics.zoho.com/open-view/2395394000008161223?ZOHO_CRITERIA=%22Localiza%20Chile%22.%22Codcom%22%3D13114" u="1"/>
        <s v="https://analytics.zoho.com/open-view/2395394000008161224?ZOHO_CRITERIA=%22Localiza%20Chile%22.%22Codcom%22%3D13114" u="1"/>
        <s v="https://analytics.zoho.com/open-view/2395394000008161225?ZOHO_CRITERIA=%22Localiza%20Chile%22.%22Codcom%22%3D13114" u="1"/>
        <s v="https://analytics.zoho.com/open-view/2395394000008161226?ZOHO_CRITERIA=%22Localiza%20Chile%22.%22Codcom%22%3D13114" u="1"/>
        <s v="https://analytics.zoho.com/open-view/2395394000008161227?ZOHO_CRITERIA=%22Localiza%20Chile%22.%22Codcom%22%3D13114" u="1"/>
        <s v="https://analytics.zoho.com/open-view/2395394000008161228?ZOHO_CRITERIA=%22Localiza%20Chile%22.%22Codcom%22%3D13114" u="1"/>
        <s v="https://analytics.zoho.com/open-view/2395394000008161229?ZOHO_CRITERIA=%22Localiza%20Chile%22.%22Codcom%22%3D13114" u="1"/>
        <s v="https://analytics.zoho.com/open-view/2395394000008161231?ZOHO_CRITERIA=%22Localiza%20Chile%22.%22Codcom%22%3D13114" u="1"/>
        <s v="https://analytics.zoho.com/open-view/2395394000008161220?ZOHO_CRITERIA=%22Localiza%20Chile%22.%22Codcom%22%3D13124" u="1"/>
        <s v="https://analytics.zoho.com/open-view/2395394000008161221?ZOHO_CRITERIA=%22Localiza%20Chile%22.%22Codcom%22%3D13124" u="1"/>
        <s v="https://analytics.zoho.com/open-view/2395394000008161222?ZOHO_CRITERIA=%22Localiza%20Chile%22.%22Codcom%22%3D13124" u="1"/>
        <s v="https://analytics.zoho.com/open-view/2395394000008161223?ZOHO_CRITERIA=%22Localiza%20Chile%22.%22Codcom%22%3D13124" u="1"/>
        <s v="https://analytics.zoho.com/open-view/2395394000008161224?ZOHO_CRITERIA=%22Localiza%20Chile%22.%22Codcom%22%3D13124" u="1"/>
        <s v="https://analytics.zoho.com/open-view/2395394000008161225?ZOHO_CRITERIA=%22Localiza%20Chile%22.%22Codcom%22%3D13124" u="1"/>
        <s v="https://analytics.zoho.com/open-view/2395394000008161226?ZOHO_CRITERIA=%22Localiza%20Chile%22.%22Codcom%22%3D13124" u="1"/>
        <s v="https://analytics.zoho.com/open-view/2395394000008161227?ZOHO_CRITERIA=%22Localiza%20Chile%22.%22Codcom%22%3D13124" u="1"/>
        <s v="https://analytics.zoho.com/open-view/2395394000008161228?ZOHO_CRITERIA=%22Localiza%20Chile%22.%22Codcom%22%3D13124" u="1"/>
        <s v="https://analytics.zoho.com/open-view/2395394000008161229?ZOHO_CRITERIA=%22Localiza%20Chile%22.%22Codcom%22%3D13124" u="1"/>
        <s v="https://analytics.zoho.com/open-view/2395394000008161231?ZOHO_CRITERIA=%22Localiza%20Chile%22.%22Codcom%22%3D13124" u="1"/>
        <s v="https://analytics.zoho.com/open-view/2395394000008161220?ZOHO_CRITERIA=%22Localiza%20Chile%22.%22Codcom%22%3D4201" u="1"/>
        <s v="https://analytics.zoho.com/open-view/2395394000008161221?ZOHO_CRITERIA=%22Localiza%20Chile%22.%22Codcom%22%3D4201" u="1"/>
        <s v="https://analytics.zoho.com/open-view/2395394000008161222?ZOHO_CRITERIA=%22Localiza%20Chile%22.%22Codcom%22%3D4201" u="1"/>
        <s v="https://analytics.zoho.com/open-view/2395394000008161223?ZOHO_CRITERIA=%22Localiza%20Chile%22.%22Codcom%22%3D4201" u="1"/>
        <s v="https://analytics.zoho.com/open-view/2395394000008161224?ZOHO_CRITERIA=%22Localiza%20Chile%22.%22Codcom%22%3D4201" u="1"/>
        <s v="https://analytics.zoho.com/open-view/2395394000008161225?ZOHO_CRITERIA=%22Localiza%20Chile%22.%22Codcom%22%3D4201" u="1"/>
        <s v="https://analytics.zoho.com/open-view/2395394000008161226?ZOHO_CRITERIA=%22Localiza%20Chile%22.%22Codcom%22%3D4201" u="1"/>
        <s v="https://analytics.zoho.com/open-view/2395394000008161227?ZOHO_CRITERIA=%22Localiza%20Chile%22.%22Codcom%22%3D4201" u="1"/>
        <s v="https://analytics.zoho.com/open-view/2395394000008161228?ZOHO_CRITERIA=%22Localiza%20Chile%22.%22Codcom%22%3D4201" u="1"/>
        <s v="https://analytics.zoho.com/open-view/2395394000008161229?ZOHO_CRITERIA=%22Localiza%20Chile%22.%22Codcom%22%3D4201" u="1"/>
        <s v="https://analytics.zoho.com/open-view/2395394000008161231?ZOHO_CRITERIA=%22Localiza%20Chile%22.%22Codcom%22%3D4201" u="1"/>
        <s v="https://analytics.zoho.com/open-view/2395394000008161220?ZOHO_CRITERIA=%22Localiza%20Chile%22.%22Codcom%22%3D4202" u="1"/>
        <s v="https://analytics.zoho.com/open-view/2395394000008161221?ZOHO_CRITERIA=%22Localiza%20Chile%22.%22Codcom%22%3D4202" u="1"/>
        <s v="https://analytics.zoho.com/open-view/2395394000008161222?ZOHO_CRITERIA=%22Localiza%20Chile%22.%22Codcom%22%3D4202" u="1"/>
        <s v="https://analytics.zoho.com/open-view/2395394000008161223?ZOHO_CRITERIA=%22Localiza%20Chile%22.%22Codcom%22%3D4202" u="1"/>
        <s v="https://analytics.zoho.com/open-view/2395394000008161224?ZOHO_CRITERIA=%22Localiza%20Chile%22.%22Codcom%22%3D4202" u="1"/>
        <s v="https://analytics.zoho.com/open-view/2395394000008161225?ZOHO_CRITERIA=%22Localiza%20Chile%22.%22Codcom%22%3D4202" u="1"/>
        <s v="https://analytics.zoho.com/open-view/2395394000008161226?ZOHO_CRITERIA=%22Localiza%20Chile%22.%22Codcom%22%3D4202" u="1"/>
        <s v="https://analytics.zoho.com/open-view/2395394000008161227?ZOHO_CRITERIA=%22Localiza%20Chile%22.%22Codcom%22%3D4202" u="1"/>
        <s v="https://analytics.zoho.com/open-view/2395394000008161228?ZOHO_CRITERIA=%22Localiza%20Chile%22.%22Codcom%22%3D4202" u="1"/>
        <s v="https://analytics.zoho.com/open-view/2395394000008161229?ZOHO_CRITERIA=%22Localiza%20Chile%22.%22Codcom%22%3D4202" u="1"/>
        <s v="https://analytics.zoho.com/open-view/2395394000008161231?ZOHO_CRITERIA=%22Localiza%20Chile%22.%22Codcom%22%3D4202" u="1"/>
        <s v="https://analytics.zoho.com/open-view/2395394000008161220?ZOHO_CRITERIA=%22Localiza%20Chile%22.%22Codcom%22%3D4203" u="1"/>
        <s v="https://analytics.zoho.com/open-view/2395394000008161221?ZOHO_CRITERIA=%22Localiza%20Chile%22.%22Codcom%22%3D4203" u="1"/>
        <s v="https://analytics.zoho.com/open-view/2395394000008161222?ZOHO_CRITERIA=%22Localiza%20Chile%22.%22Codcom%22%3D4203" u="1"/>
        <s v="https://analytics.zoho.com/open-view/2395394000008161223?ZOHO_CRITERIA=%22Localiza%20Chile%22.%22Codcom%22%3D4203" u="1"/>
        <s v="https://analytics.zoho.com/open-view/2395394000008161224?ZOHO_CRITERIA=%22Localiza%20Chile%22.%22Codcom%22%3D4203" u="1"/>
        <s v="https://analytics.zoho.com/open-view/2395394000008161225?ZOHO_CRITERIA=%22Localiza%20Chile%22.%22Codcom%22%3D4203" u="1"/>
        <s v="https://analytics.zoho.com/open-view/2395394000008161226?ZOHO_CRITERIA=%22Localiza%20Chile%22.%22Codcom%22%3D4203" u="1"/>
        <s v="https://analytics.zoho.com/open-view/2395394000008161227?ZOHO_CRITERIA=%22Localiza%20Chile%22.%22Codcom%22%3D4203" u="1"/>
        <s v="https://analytics.zoho.com/open-view/2395394000008161228?ZOHO_CRITERIA=%22Localiza%20Chile%22.%22Codcom%22%3D4203" u="1"/>
        <s v="https://analytics.zoho.com/open-view/2395394000008161229?ZOHO_CRITERIA=%22Localiza%20Chile%22.%22Codcom%22%3D4203" u="1"/>
        <s v="https://analytics.zoho.com/open-view/2395394000008161231?ZOHO_CRITERIA=%22Localiza%20Chile%22.%22Codcom%22%3D4203" u="1"/>
        <s v="https://analytics.zoho.com/open-view/2395394000008161220?ZOHO_CRITERIA=%22Localiza%20Chile%22.%22Codcom%22%3D4204" u="1"/>
        <s v="https://analytics.zoho.com/open-view/2395394000008161221?ZOHO_CRITERIA=%22Localiza%20Chile%22.%22Codcom%22%3D4204" u="1"/>
        <s v="https://analytics.zoho.com/open-view/2395394000008161222?ZOHO_CRITERIA=%22Localiza%20Chile%22.%22Codcom%22%3D4204" u="1"/>
        <s v="https://analytics.zoho.com/open-view/2395394000008161223?ZOHO_CRITERIA=%22Localiza%20Chile%22.%22Codcom%22%3D4204" u="1"/>
        <s v="https://analytics.zoho.com/open-view/2395394000008161224?ZOHO_CRITERIA=%22Localiza%20Chile%22.%22Codcom%22%3D4204" u="1"/>
        <s v="https://analytics.zoho.com/open-view/2395394000008161225?ZOHO_CRITERIA=%22Localiza%20Chile%22.%22Codcom%22%3D4204" u="1"/>
        <s v="https://analytics.zoho.com/open-view/2395394000008161226?ZOHO_CRITERIA=%22Localiza%20Chile%22.%22Codcom%22%3D4204" u="1"/>
        <s v="https://analytics.zoho.com/open-view/2395394000008161227?ZOHO_CRITERIA=%22Localiza%20Chile%22.%22Codcom%22%3D4204" u="1"/>
        <s v="https://analytics.zoho.com/open-view/2395394000008161228?ZOHO_CRITERIA=%22Localiza%20Chile%22.%22Codcom%22%3D4204" u="1"/>
        <s v="https://analytics.zoho.com/open-view/2395394000008161229?ZOHO_CRITERIA=%22Localiza%20Chile%22.%22Codcom%22%3D4204" u="1"/>
        <s v="https://analytics.zoho.com/open-view/2395394000008161231?ZOHO_CRITERIA=%22Localiza%20Chile%22.%22Codcom%22%3D4204" u="1"/>
        <s v="https://analytics.zoho.com/open-view/2395394000008161220?ZOHO_CRITERIA=%22Localiza%20Chile%22.%22Codcom%22%3D16304" u="1"/>
        <s v="https://analytics.zoho.com/open-view/2395394000008161221?ZOHO_CRITERIA=%22Localiza%20Chile%22.%22Codcom%22%3D16304" u="1"/>
        <s v="https://analytics.zoho.com/open-view/2395394000008161222?ZOHO_CRITERIA=%22Localiza%20Chile%22.%22Codcom%22%3D16304" u="1"/>
        <s v="https://analytics.zoho.com/open-view/2395394000008161223?ZOHO_CRITERIA=%22Localiza%20Chile%22.%22Codcom%22%3D16304" u="1"/>
        <s v="https://analytics.zoho.com/open-view/2395394000008161224?ZOHO_CRITERIA=%22Localiza%20Chile%22.%22Codcom%22%3D16304" u="1"/>
        <s v="https://analytics.zoho.com/open-view/2395394000008161225?ZOHO_CRITERIA=%22Localiza%20Chile%22.%22Codcom%22%3D16304" u="1"/>
        <s v="https://analytics.zoho.com/open-view/2395394000008161226?ZOHO_CRITERIA=%22Localiza%20Chile%22.%22Codcom%22%3D16304" u="1"/>
        <s v="https://analytics.zoho.com/open-view/2395394000008161227?ZOHO_CRITERIA=%22Localiza%20Chile%22.%22Codcom%22%3D16304" u="1"/>
        <s v="https://analytics.zoho.com/open-view/2395394000008161228?ZOHO_CRITERIA=%22Localiza%20Chile%22.%22Codcom%22%3D16304" u="1"/>
        <s v="https://analytics.zoho.com/open-view/2395394000008161229?ZOHO_CRITERIA=%22Localiza%20Chile%22.%22Codcom%22%3D16304" u="1"/>
        <s v="https://analytics.zoho.com/open-view/2395394000008161231?ZOHO_CRITERIA=%22Localiza%20Chile%22.%22Codcom%22%3D16304" u="1"/>
        <s v="https://analytics.zoho.com/open-view/2395394000008161220?ZOHO_CRITERIA=%22Localiza%20Chile%22.%22Codcom%22%3D5201" u="1"/>
        <s v="https://analytics.zoho.com/open-view/2395394000008161221?ZOHO_CRITERIA=%22Localiza%20Chile%22.%22Codcom%22%3D5201" u="1"/>
        <s v="https://analytics.zoho.com/open-view/2395394000008161222?ZOHO_CRITERIA=%22Localiza%20Chile%22.%22Codcom%22%3D5201" u="1"/>
        <s v="https://analytics.zoho.com/open-view/2395394000008161223?ZOHO_CRITERIA=%22Localiza%20Chile%22.%22Codcom%22%3D5201" u="1"/>
        <s v="https://analytics.zoho.com/open-view/2395394000008161224?ZOHO_CRITERIA=%22Localiza%20Chile%22.%22Codcom%22%3D5201" u="1"/>
        <s v="https://analytics.zoho.com/open-view/2395394000008161225?ZOHO_CRITERIA=%22Localiza%20Chile%22.%22Codcom%22%3D5201" u="1"/>
        <s v="https://analytics.zoho.com/open-view/2395394000008161226?ZOHO_CRITERIA=%22Localiza%20Chile%22.%22Codcom%22%3D5201" u="1"/>
        <s v="https://analytics.zoho.com/open-view/2395394000008161227?ZOHO_CRITERIA=%22Localiza%20Chile%22.%22Codcom%22%3D5201" u="1"/>
        <s v="https://analytics.zoho.com/open-view/2395394000008161228?ZOHO_CRITERIA=%22Localiza%20Chile%22.%22Codcom%22%3D5201" u="1"/>
        <s v="https://analytics.zoho.com/open-view/2395394000008161229?ZOHO_CRITERIA=%22Localiza%20Chile%22.%22Codcom%22%3D5201" u="1"/>
        <s v="https://analytics.zoho.com/open-view/2395394000008161231?ZOHO_CRITERIA=%22Localiza%20Chile%22.%22Codcom%22%3D5201" u="1"/>
        <s v="https://analytics.zoho.com/open-view/2395394000008161220?ZOHO_CRITERIA=%22Localiza%20Chile%22.%22Codcom%22%3D13105" u="1"/>
        <s v="https://analytics.zoho.com/open-view/2395394000008161221?ZOHO_CRITERIA=%22Localiza%20Chile%22.%22Codcom%22%3D13105" u="1"/>
        <s v="https://analytics.zoho.com/open-view/2395394000008161222?ZOHO_CRITERIA=%22Localiza%20Chile%22.%22Codcom%22%3D13105" u="1"/>
        <s v="https://analytics.zoho.com/open-view/2395394000008161223?ZOHO_CRITERIA=%22Localiza%20Chile%22.%22Codcom%22%3D13105" u="1"/>
        <s v="https://analytics.zoho.com/open-view/2395394000008161224?ZOHO_CRITERIA=%22Localiza%20Chile%22.%22Codcom%22%3D13105" u="1"/>
        <s v="https://analytics.zoho.com/open-view/2395394000008161225?ZOHO_CRITERIA=%22Localiza%20Chile%22.%22Codcom%22%3D13105" u="1"/>
        <s v="https://analytics.zoho.com/open-view/2395394000008161226?ZOHO_CRITERIA=%22Localiza%20Chile%22.%22Codcom%22%3D13105" u="1"/>
        <s v="https://analytics.zoho.com/open-view/2395394000008161227?ZOHO_CRITERIA=%22Localiza%20Chile%22.%22Codcom%22%3D13105" u="1"/>
        <s v="https://analytics.zoho.com/open-view/2395394000008161228?ZOHO_CRITERIA=%22Localiza%20Chile%22.%22Codcom%22%3D13105" u="1"/>
        <s v="https://analytics.zoho.com/open-view/2395394000008161229?ZOHO_CRITERIA=%22Localiza%20Chile%22.%22Codcom%22%3D13105" u="1"/>
        <s v="https://analytics.zoho.com/open-view/2395394000008161231?ZOHO_CRITERIA=%22Localiza%20Chile%22.%22Codcom%22%3D13105" u="1"/>
        <s v="https://analytics.zoho.com/open-view/2395394000008161220?ZOHO_CRITERIA=%22Localiza%20Chile%22.%22Codcom%22%3D13115" u="1"/>
        <s v="https://analytics.zoho.com/open-view/2395394000008161221?ZOHO_CRITERIA=%22Localiza%20Chile%22.%22Codcom%22%3D13115" u="1"/>
        <s v="https://analytics.zoho.com/open-view/2395394000008161222?ZOHO_CRITERIA=%22Localiza%20Chile%22.%22Codcom%22%3D13115" u="1"/>
        <s v="https://analytics.zoho.com/open-view/2395394000008161223?ZOHO_CRITERIA=%22Localiza%20Chile%22.%22Codcom%22%3D13115" u="1"/>
        <s v="https://analytics.zoho.com/open-view/2395394000008161224?ZOHO_CRITERIA=%22Localiza%20Chile%22.%22Codcom%22%3D13115" u="1"/>
        <s v="https://analytics.zoho.com/open-view/2395394000008161225?ZOHO_CRITERIA=%22Localiza%20Chile%22.%22Codcom%22%3D13115" u="1"/>
        <s v="https://analytics.zoho.com/open-view/2395394000008161226?ZOHO_CRITERIA=%22Localiza%20Chile%22.%22Codcom%22%3D13115" u="1"/>
        <s v="https://analytics.zoho.com/open-view/2395394000008161227?ZOHO_CRITERIA=%22Localiza%20Chile%22.%22Codcom%22%3D13115" u="1"/>
        <s v="https://analytics.zoho.com/open-view/2395394000008161228?ZOHO_CRITERIA=%22Localiza%20Chile%22.%22Codcom%22%3D13115" u="1"/>
        <s v="https://analytics.zoho.com/open-view/2395394000008161229?ZOHO_CRITERIA=%22Localiza%20Chile%22.%22Codcom%22%3D13115" u="1"/>
        <s v="https://analytics.zoho.com/open-view/2395394000008161231?ZOHO_CRITERIA=%22Localiza%20Chile%22.%22Codcom%22%3D13115" u="1"/>
        <s v="https://analytics.zoho.com/open-view/2395394000008161220?ZOHO_CRITERIA=%22Localiza%20Chile%22.%22Codcom%22%3D13125" u="1"/>
        <s v="https://analytics.zoho.com/open-view/2395394000008161221?ZOHO_CRITERIA=%22Localiza%20Chile%22.%22Codcom%22%3D13125" u="1"/>
        <s v="https://analytics.zoho.com/open-view/2395394000008161222?ZOHO_CRITERIA=%22Localiza%20Chile%22.%22Codcom%22%3D13125" u="1"/>
        <s v="https://analytics.zoho.com/open-view/2395394000008161223?ZOHO_CRITERIA=%22Localiza%20Chile%22.%22Codcom%22%3D13125" u="1"/>
        <s v="https://analytics.zoho.com/open-view/2395394000008161224?ZOHO_CRITERIA=%22Localiza%20Chile%22.%22Codcom%22%3D13125" u="1"/>
        <s v="https://analytics.zoho.com/open-view/2395394000008161225?ZOHO_CRITERIA=%22Localiza%20Chile%22.%22Codcom%22%3D13125" u="1"/>
        <s v="https://analytics.zoho.com/open-view/2395394000008161226?ZOHO_CRITERIA=%22Localiza%20Chile%22.%22Codcom%22%3D13125" u="1"/>
        <s v="https://analytics.zoho.com/open-view/2395394000008161227?ZOHO_CRITERIA=%22Localiza%20Chile%22.%22Codcom%22%3D13125" u="1"/>
        <s v="https://analytics.zoho.com/open-view/2395394000008161228?ZOHO_CRITERIA=%22Localiza%20Chile%22.%22Codcom%22%3D13125" u="1"/>
        <s v="https://analytics.zoho.com/open-view/2395394000008161229?ZOHO_CRITERIA=%22Localiza%20Chile%22.%22Codcom%22%3D13125" u="1"/>
        <s v="https://analytics.zoho.com/open-view/2395394000008161231?ZOHO_CRITERIA=%22Localiza%20Chile%22.%22Codcom%22%3D13125" u="1"/>
        <s v="https://analytics.zoho.com/open-view/2395394000008161220?ZOHO_CRITERIA=%22Localiza%20Chile%22.%22Codcom%22%3D6201" u="1"/>
        <s v="https://analytics.zoho.com/open-view/2395394000008161221?ZOHO_CRITERIA=%22Localiza%20Chile%22.%22Codcom%22%3D6201" u="1"/>
        <s v="https://analytics.zoho.com/open-view/2395394000008161222?ZOHO_CRITERIA=%22Localiza%20Chile%22.%22Codcom%22%3D6201" u="1"/>
        <s v="https://analytics.zoho.com/open-view/2395394000008161223?ZOHO_CRITERIA=%22Localiza%20Chile%22.%22Codcom%22%3D6201" u="1"/>
        <s v="https://analytics.zoho.com/open-view/2395394000008161224?ZOHO_CRITERIA=%22Localiza%20Chile%22.%22Codcom%22%3D6201" u="1"/>
        <s v="https://analytics.zoho.com/open-view/2395394000008161225?ZOHO_CRITERIA=%22Localiza%20Chile%22.%22Codcom%22%3D6201" u="1"/>
        <s v="https://analytics.zoho.com/open-view/2395394000008161226?ZOHO_CRITERIA=%22Localiza%20Chile%22.%22Codcom%22%3D6201" u="1"/>
        <s v="https://analytics.zoho.com/open-view/2395394000008161227?ZOHO_CRITERIA=%22Localiza%20Chile%22.%22Codcom%22%3D6201" u="1"/>
        <s v="https://analytics.zoho.com/open-view/2395394000008161228?ZOHO_CRITERIA=%22Localiza%20Chile%22.%22Codcom%22%3D6201" u="1"/>
        <s v="https://analytics.zoho.com/open-view/2395394000008161229?ZOHO_CRITERIA=%22Localiza%20Chile%22.%22Codcom%22%3D6201" u="1"/>
        <s v="https://analytics.zoho.com/open-view/2395394000008161231?ZOHO_CRITERIA=%22Localiza%20Chile%22.%22Codcom%22%3D6201" u="1"/>
        <s v="https://analytics.zoho.com/open-view/2395394000008161220?ZOHO_CRITERIA=%22Localiza%20Chile%22.%22Codcom%22%3D6202" u="1"/>
        <s v="https://analytics.zoho.com/open-view/2395394000008161221?ZOHO_CRITERIA=%22Localiza%20Chile%22.%22Codcom%22%3D6202" u="1"/>
        <s v="https://analytics.zoho.com/open-view/2395394000008161222?ZOHO_CRITERIA=%22Localiza%20Chile%22.%22Codcom%22%3D6202" u="1"/>
        <s v="https://analytics.zoho.com/open-view/2395394000008161223?ZOHO_CRITERIA=%22Localiza%20Chile%22.%22Codcom%22%3D6202" u="1"/>
        <s v="https://analytics.zoho.com/open-view/2395394000008161224?ZOHO_CRITERIA=%22Localiza%20Chile%22.%22Codcom%22%3D6202" u="1"/>
        <s v="https://analytics.zoho.com/open-view/2395394000008161225?ZOHO_CRITERIA=%22Localiza%20Chile%22.%22Codcom%22%3D6202" u="1"/>
        <s v="https://analytics.zoho.com/open-view/2395394000008161226?ZOHO_CRITERIA=%22Localiza%20Chile%22.%22Codcom%22%3D6202" u="1"/>
        <s v="https://analytics.zoho.com/open-view/2395394000008161227?ZOHO_CRITERIA=%22Localiza%20Chile%22.%22Codcom%22%3D6202" u="1"/>
        <s v="https://analytics.zoho.com/open-view/2395394000008161228?ZOHO_CRITERIA=%22Localiza%20Chile%22.%22Codcom%22%3D6202" u="1"/>
        <s v="https://analytics.zoho.com/open-view/2395394000008161229?ZOHO_CRITERIA=%22Localiza%20Chile%22.%22Codcom%22%3D6202" u="1"/>
        <s v="https://analytics.zoho.com/open-view/2395394000008161231?ZOHO_CRITERIA=%22Localiza%20Chile%22.%22Codcom%22%3D6202" u="1"/>
        <s v="https://analytics.zoho.com/open-view/2395394000008161220?ZOHO_CRITERIA=%22Localiza%20Chile%22.%22Codcom%22%3D6203" u="1"/>
        <s v="https://analytics.zoho.com/open-view/2395394000008161221?ZOHO_CRITERIA=%22Localiza%20Chile%22.%22Codcom%22%3D6203" u="1"/>
        <s v="https://analytics.zoho.com/open-view/2395394000008161222?ZOHO_CRITERIA=%22Localiza%20Chile%22.%22Codcom%22%3D6203" u="1"/>
        <s v="https://analytics.zoho.com/open-view/2395394000008161223?ZOHO_CRITERIA=%22Localiza%20Chile%22.%22Codcom%22%3D6203" u="1"/>
        <s v="https://analytics.zoho.com/open-view/2395394000008161224?ZOHO_CRITERIA=%22Localiza%20Chile%22.%22Codcom%22%3D6203" u="1"/>
        <s v="https://analytics.zoho.com/open-view/2395394000008161225?ZOHO_CRITERIA=%22Localiza%20Chile%22.%22Codcom%22%3D6203" u="1"/>
        <s v="https://analytics.zoho.com/open-view/2395394000008161226?ZOHO_CRITERIA=%22Localiza%20Chile%22.%22Codcom%22%3D6203" u="1"/>
        <s v="https://analytics.zoho.com/open-view/2395394000008161227?ZOHO_CRITERIA=%22Localiza%20Chile%22.%22Codcom%22%3D6203" u="1"/>
        <s v="https://analytics.zoho.com/open-view/2395394000008161228?ZOHO_CRITERIA=%22Localiza%20Chile%22.%22Codcom%22%3D6203" u="1"/>
        <s v="https://analytics.zoho.com/open-view/2395394000008161229?ZOHO_CRITERIA=%22Localiza%20Chile%22.%22Codcom%22%3D6203" u="1"/>
        <s v="https://analytics.zoho.com/open-view/2395394000008161231?ZOHO_CRITERIA=%22Localiza%20Chile%22.%22Codcom%22%3D6203" u="1"/>
        <s v="https://analytics.zoho.com/open-view/2395394000008161220?ZOHO_CRITERIA=%22Localiza%20Chile%22.%22Codcom%22%3D6204" u="1"/>
        <s v="https://analytics.zoho.com/open-view/2395394000008161221?ZOHO_CRITERIA=%22Localiza%20Chile%22.%22Codcom%22%3D6204" u="1"/>
        <s v="https://analytics.zoho.com/open-view/2395394000008161222?ZOHO_CRITERIA=%22Localiza%20Chile%22.%22Codcom%22%3D6204" u="1"/>
        <s v="https://analytics.zoho.com/open-view/2395394000008161223?ZOHO_CRITERIA=%22Localiza%20Chile%22.%22Codcom%22%3D6204" u="1"/>
        <s v="https://analytics.zoho.com/open-view/2395394000008161224?ZOHO_CRITERIA=%22Localiza%20Chile%22.%22Codcom%22%3D6204" u="1"/>
        <s v="https://analytics.zoho.com/open-view/2395394000008161225?ZOHO_CRITERIA=%22Localiza%20Chile%22.%22Codcom%22%3D6204" u="1"/>
        <s v="https://analytics.zoho.com/open-view/2395394000008161226?ZOHO_CRITERIA=%22Localiza%20Chile%22.%22Codcom%22%3D6204" u="1"/>
        <s v="https://analytics.zoho.com/open-view/2395394000008161227?ZOHO_CRITERIA=%22Localiza%20Chile%22.%22Codcom%22%3D6204" u="1"/>
        <s v="https://analytics.zoho.com/open-view/2395394000008161228?ZOHO_CRITERIA=%22Localiza%20Chile%22.%22Codcom%22%3D6204" u="1"/>
        <s v="https://analytics.zoho.com/open-view/2395394000008161229?ZOHO_CRITERIA=%22Localiza%20Chile%22.%22Codcom%22%3D6204" u="1"/>
        <s v="https://analytics.zoho.com/open-view/2395394000008161231?ZOHO_CRITERIA=%22Localiza%20Chile%22.%22Codcom%22%3D6204" u="1"/>
        <s v="https://analytics.zoho.com/open-view/2395394000008161220?ZOHO_CRITERIA=%22Localiza%20Chile%22.%22Codcom%22%3D6205" u="1"/>
        <s v="https://analytics.zoho.com/open-view/2395394000008161221?ZOHO_CRITERIA=%22Localiza%20Chile%22.%22Codcom%22%3D6205" u="1"/>
        <s v="https://analytics.zoho.com/open-view/2395394000008161222?ZOHO_CRITERIA=%22Localiza%20Chile%22.%22Codcom%22%3D6205" u="1"/>
        <s v="https://analytics.zoho.com/open-view/2395394000008161223?ZOHO_CRITERIA=%22Localiza%20Chile%22.%22Codcom%22%3D6205" u="1"/>
        <s v="https://analytics.zoho.com/open-view/2395394000008161224?ZOHO_CRITERIA=%22Localiza%20Chile%22.%22Codcom%22%3D6205" u="1"/>
        <s v="https://analytics.zoho.com/open-view/2395394000008161225?ZOHO_CRITERIA=%22Localiza%20Chile%22.%22Codcom%22%3D6205" u="1"/>
        <s v="https://analytics.zoho.com/open-view/2395394000008161226?ZOHO_CRITERIA=%22Localiza%20Chile%22.%22Codcom%22%3D6205" u="1"/>
        <s v="https://analytics.zoho.com/open-view/2395394000008161227?ZOHO_CRITERIA=%22Localiza%20Chile%22.%22Codcom%22%3D6205" u="1"/>
        <s v="https://analytics.zoho.com/open-view/2395394000008161228?ZOHO_CRITERIA=%22Localiza%20Chile%22.%22Codcom%22%3D6205" u="1"/>
        <s v="https://analytics.zoho.com/open-view/2395394000008161229?ZOHO_CRITERIA=%22Localiza%20Chile%22.%22Codcom%22%3D6205" u="1"/>
        <s v="https://analytics.zoho.com/open-view/2395394000008161231?ZOHO_CRITERIA=%22Localiza%20Chile%22.%22Codcom%22%3D6205" u="1"/>
        <s v="https://analytics.zoho.com/open-view/2395394000008161220?ZOHO_CRITERIA=%22Localiza%20Chile%22.%22Codcom%22%3D6206" u="1"/>
        <s v="https://analytics.zoho.com/open-view/2395394000008161221?ZOHO_CRITERIA=%22Localiza%20Chile%22.%22Codcom%22%3D6206" u="1"/>
        <s v="https://analytics.zoho.com/open-view/2395394000008161222?ZOHO_CRITERIA=%22Localiza%20Chile%22.%22Codcom%22%3D6206" u="1"/>
        <s v="https://analytics.zoho.com/open-view/2395394000008161223?ZOHO_CRITERIA=%22Localiza%20Chile%22.%22Codcom%22%3D6206" u="1"/>
        <s v="https://analytics.zoho.com/open-view/2395394000008161224?ZOHO_CRITERIA=%22Localiza%20Chile%22.%22Codcom%22%3D6206" u="1"/>
        <s v="https://analytics.zoho.com/open-view/2395394000008161225?ZOHO_CRITERIA=%22Localiza%20Chile%22.%22Codcom%22%3D6206" u="1"/>
        <s v="https://analytics.zoho.com/open-view/2395394000008161226?ZOHO_CRITERIA=%22Localiza%20Chile%22.%22Codcom%22%3D6206" u="1"/>
        <s v="https://analytics.zoho.com/open-view/2395394000008161227?ZOHO_CRITERIA=%22Localiza%20Chile%22.%22Codcom%22%3D6206" u="1"/>
        <s v="https://analytics.zoho.com/open-view/2395394000008161228?ZOHO_CRITERIA=%22Localiza%20Chile%22.%22Codcom%22%3D6206" u="1"/>
        <s v="https://analytics.zoho.com/open-view/2395394000008161229?ZOHO_CRITERIA=%22Localiza%20Chile%22.%22Codcom%22%3D6206" u="1"/>
        <s v="https://analytics.zoho.com/open-view/2395394000008161231?ZOHO_CRITERIA=%22Localiza%20Chile%22.%22Codcom%22%3D6206" u="1"/>
        <s v="https://analytics.zoho.com/open-view/2395394000008161220?ZOHO_CRITERIA=%22Localiza%20Chile%22.%22Codcom%22%3D16305" u="1"/>
        <s v="https://analytics.zoho.com/open-view/2395394000008161221?ZOHO_CRITERIA=%22Localiza%20Chile%22.%22Codcom%22%3D16305" u="1"/>
        <s v="https://analytics.zoho.com/open-view/2395394000008161222?ZOHO_CRITERIA=%22Localiza%20Chile%22.%22Codcom%22%3D16305" u="1"/>
        <s v="https://analytics.zoho.com/open-view/2395394000008161223?ZOHO_CRITERIA=%22Localiza%20Chile%22.%22Codcom%22%3D16305" u="1"/>
        <s v="https://analytics.zoho.com/open-view/2395394000008161224?ZOHO_CRITERIA=%22Localiza%20Chile%22.%22Codcom%22%3D16305" u="1"/>
        <s v="https://analytics.zoho.com/open-view/2395394000008161225?ZOHO_CRITERIA=%22Localiza%20Chile%22.%22Codcom%22%3D16305" u="1"/>
        <s v="https://analytics.zoho.com/open-view/2395394000008161226?ZOHO_CRITERIA=%22Localiza%20Chile%22.%22Codcom%22%3D16305" u="1"/>
        <s v="https://analytics.zoho.com/open-view/2395394000008161227?ZOHO_CRITERIA=%22Localiza%20Chile%22.%22Codcom%22%3D16305" u="1"/>
        <s v="https://analytics.zoho.com/open-view/2395394000008161228?ZOHO_CRITERIA=%22Localiza%20Chile%22.%22Codcom%22%3D16305" u="1"/>
        <s v="https://analytics.zoho.com/open-view/2395394000008161229?ZOHO_CRITERIA=%22Localiza%20Chile%22.%22Codcom%22%3D16305" u="1"/>
        <s v="https://analytics.zoho.com/open-view/2395394000008161231?ZOHO_CRITERIA=%22Localiza%20Chile%22.%22Codcom%22%3D16305" u="1"/>
        <s v="https://analytics.zoho.com/open-view/2395394000008161220?ZOHO_CRITERIA=%22Localiza%20Chile%22.%22Codcom%22%3D5601" u="1"/>
        <s v="https://analytics.zoho.com/open-view/2395394000008161221?ZOHO_CRITERIA=%22Localiza%20Chile%22.%22Codcom%22%3D5601" u="1"/>
        <s v="https://analytics.zoho.com/open-view/2395394000008161222?ZOHO_CRITERIA=%22Localiza%20Chile%22.%22Codcom%22%3D5601" u="1"/>
        <s v="https://analytics.zoho.com/open-view/2395394000008161223?ZOHO_CRITERIA=%22Localiza%20Chile%22.%22Codcom%22%3D5601" u="1"/>
        <s v="https://analytics.zoho.com/open-view/2395394000008161224?ZOHO_CRITERIA=%22Localiza%20Chile%22.%22Codcom%22%3D5601" u="1"/>
        <s v="https://analytics.zoho.com/open-view/2395394000008161225?ZOHO_CRITERIA=%22Localiza%20Chile%22.%22Codcom%22%3D5601" u="1"/>
        <s v="https://analytics.zoho.com/open-view/2395394000008161226?ZOHO_CRITERIA=%22Localiza%20Chile%22.%22Codcom%22%3D5601" u="1"/>
        <s v="https://analytics.zoho.com/open-view/2395394000008161227?ZOHO_CRITERIA=%22Localiza%20Chile%22.%22Codcom%22%3D5601" u="1"/>
        <s v="https://analytics.zoho.com/open-view/2395394000008161228?ZOHO_CRITERIA=%22Localiza%20Chile%22.%22Codcom%22%3D5601" u="1"/>
        <s v="https://analytics.zoho.com/open-view/2395394000008161229?ZOHO_CRITERIA=%22Localiza%20Chile%22.%22Codcom%22%3D5601" u="1"/>
        <s v="https://analytics.zoho.com/open-view/2395394000008161231?ZOHO_CRITERIA=%22Localiza%20Chile%22.%22Codcom%22%3D5601" u="1"/>
        <s v="https://analytics.zoho.com/open-view/2395394000008161220?ZOHO_CRITERIA=%22Localiza%20Chile%22.%22Codcom%22%3D5602" u="1"/>
        <s v="https://analytics.zoho.com/open-view/2395394000008161220?ZOHO_CRITERIA=%22Localiza%20Chile%22.%22Codcom%22%3D7201" u="1"/>
        <s v="https://analytics.zoho.com/open-view/2395394000008161221?ZOHO_CRITERIA=%22Localiza%20Chile%22.%22Codcom%22%3D5602" u="1"/>
        <s v="https://analytics.zoho.com/open-view/2395394000008161221?ZOHO_CRITERIA=%22Localiza%20Chile%22.%22Codcom%22%3D7201" u="1"/>
        <s v="https://analytics.zoho.com/open-view/2395394000008161222?ZOHO_CRITERIA=%22Localiza%20Chile%22.%22Codcom%22%3D5602" u="1"/>
        <s v="https://analytics.zoho.com/open-view/2395394000008161222?ZOHO_CRITERIA=%22Localiza%20Chile%22.%22Codcom%22%3D7201" u="1"/>
        <s v="https://analytics.zoho.com/open-view/2395394000008161223?ZOHO_CRITERIA=%22Localiza%20Chile%22.%22Codcom%22%3D5602" u="1"/>
        <s v="https://analytics.zoho.com/open-view/2395394000008161223?ZOHO_CRITERIA=%22Localiza%20Chile%22.%22Codcom%22%3D7201" u="1"/>
        <s v="https://analytics.zoho.com/open-view/2395394000008161224?ZOHO_CRITERIA=%22Localiza%20Chile%22.%22Codcom%22%3D5602" u="1"/>
        <s v="https://analytics.zoho.com/open-view/2395394000008161224?ZOHO_CRITERIA=%22Localiza%20Chile%22.%22Codcom%22%3D7201" u="1"/>
        <s v="https://analytics.zoho.com/open-view/2395394000008161225?ZOHO_CRITERIA=%22Localiza%20Chile%22.%22Codcom%22%3D5602" u="1"/>
        <s v="https://analytics.zoho.com/open-view/2395394000008161225?ZOHO_CRITERIA=%22Localiza%20Chile%22.%22Codcom%22%3D7201" u="1"/>
        <s v="https://analytics.zoho.com/open-view/2395394000008161226?ZOHO_CRITERIA=%22Localiza%20Chile%22.%22Codcom%22%3D5602" u="1"/>
        <s v="https://analytics.zoho.com/open-view/2395394000008161226?ZOHO_CRITERIA=%22Localiza%20Chile%22.%22Codcom%22%3D7201" u="1"/>
        <s v="https://analytics.zoho.com/open-view/2395394000008161227?ZOHO_CRITERIA=%22Localiza%20Chile%22.%22Codcom%22%3D5602" u="1"/>
        <s v="https://analytics.zoho.com/open-view/2395394000008161227?ZOHO_CRITERIA=%22Localiza%20Chile%22.%22Codcom%22%3D7201" u="1"/>
        <s v="https://analytics.zoho.com/open-view/2395394000008161228?ZOHO_CRITERIA=%22Localiza%20Chile%22.%22Codcom%22%3D5602" u="1"/>
        <s v="https://analytics.zoho.com/open-view/2395394000008161228?ZOHO_CRITERIA=%22Localiza%20Chile%22.%22Codcom%22%3D7201" u="1"/>
        <s v="https://analytics.zoho.com/open-view/2395394000008161229?ZOHO_CRITERIA=%22Localiza%20Chile%22.%22Codcom%22%3D5602" u="1"/>
        <s v="https://analytics.zoho.com/open-view/2395394000008161229?ZOHO_CRITERIA=%22Localiza%20Chile%22.%22Codcom%22%3D7201" u="1"/>
        <s v="https://analytics.zoho.com/open-view/2395394000008161231?ZOHO_CRITERIA=%22Localiza%20Chile%22.%22Codcom%22%3D5602" u="1"/>
        <s v="https://analytics.zoho.com/open-view/2395394000008161231?ZOHO_CRITERIA=%22Localiza%20Chile%22.%22Codcom%22%3D7201" u="1"/>
        <s v="https://analytics.zoho.com/open-view/2395394000008161220?ZOHO_CRITERIA=%22Localiza%20Chile%22.%22Codcom%22%3D5603" u="1"/>
        <s v="https://analytics.zoho.com/open-view/2395394000008161220?ZOHO_CRITERIA=%22Localiza%20Chile%22.%22Codcom%22%3D7202" u="1"/>
        <s v="https://analytics.zoho.com/open-view/2395394000008161221?ZOHO_CRITERIA=%22Localiza%20Chile%22.%22Codcom%22%3D5603" u="1"/>
        <s v="https://analytics.zoho.com/open-view/2395394000008161221?ZOHO_CRITERIA=%22Localiza%20Chile%22.%22Codcom%22%3D7202" u="1"/>
        <s v="https://analytics.zoho.com/open-view/2395394000008161222?ZOHO_CRITERIA=%22Localiza%20Chile%22.%22Codcom%22%3D5603" u="1"/>
        <s v="https://analytics.zoho.com/open-view/2395394000008161222?ZOHO_CRITERIA=%22Localiza%20Chile%22.%22Codcom%22%3D7202" u="1"/>
        <s v="https://analytics.zoho.com/open-view/2395394000008161223?ZOHO_CRITERIA=%22Localiza%20Chile%22.%22Codcom%22%3D5603" u="1"/>
        <s v="https://analytics.zoho.com/open-view/2395394000008161223?ZOHO_CRITERIA=%22Localiza%20Chile%22.%22Codcom%22%3D7202" u="1"/>
        <s v="https://analytics.zoho.com/open-view/2395394000008161224?ZOHO_CRITERIA=%22Localiza%20Chile%22.%22Codcom%22%3D5603" u="1"/>
        <s v="https://analytics.zoho.com/open-view/2395394000008161224?ZOHO_CRITERIA=%22Localiza%20Chile%22.%22Codcom%22%3D7202" u="1"/>
        <s v="https://analytics.zoho.com/open-view/2395394000008161225?ZOHO_CRITERIA=%22Localiza%20Chile%22.%22Codcom%22%3D5603" u="1"/>
        <s v="https://analytics.zoho.com/open-view/2395394000008161225?ZOHO_CRITERIA=%22Localiza%20Chile%22.%22Codcom%22%3D7202" u="1"/>
        <s v="https://analytics.zoho.com/open-view/2395394000008161226?ZOHO_CRITERIA=%22Localiza%20Chile%22.%22Codcom%22%3D5603" u="1"/>
        <s v="https://analytics.zoho.com/open-view/2395394000008161226?ZOHO_CRITERIA=%22Localiza%20Chile%22.%22Codcom%22%3D7202" u="1"/>
        <s v="https://analytics.zoho.com/open-view/2395394000008161227?ZOHO_CRITERIA=%22Localiza%20Chile%22.%22Codcom%22%3D5603" u="1"/>
        <s v="https://analytics.zoho.com/open-view/2395394000008161227?ZOHO_CRITERIA=%22Localiza%20Chile%22.%22Codcom%22%3D7202" u="1"/>
        <s v="https://analytics.zoho.com/open-view/2395394000008161228?ZOHO_CRITERIA=%22Localiza%20Chile%22.%22Codcom%22%3D5603" u="1"/>
        <s v="https://analytics.zoho.com/open-view/2395394000008161228?ZOHO_CRITERIA=%22Localiza%20Chile%22.%22Codcom%22%3D7202" u="1"/>
        <s v="https://analytics.zoho.com/open-view/2395394000008161229?ZOHO_CRITERIA=%22Localiza%20Chile%22.%22Codcom%22%3D5603" u="1"/>
        <s v="https://analytics.zoho.com/open-view/2395394000008161229?ZOHO_CRITERIA=%22Localiza%20Chile%22.%22Codcom%22%3D7202" u="1"/>
        <s v="https://analytics.zoho.com/open-view/2395394000008161231?ZOHO_CRITERIA=%22Localiza%20Chile%22.%22Codcom%22%3D5603" u="1"/>
        <s v="https://analytics.zoho.com/open-view/2395394000008161231?ZOHO_CRITERIA=%22Localiza%20Chile%22.%22Codcom%22%3D7202" u="1"/>
        <s v="https://analytics.zoho.com/open-view/2395394000008161220?ZOHO_CRITERIA=%22Localiza%20Chile%22.%22Codcom%22%3D5604" u="1"/>
        <s v="https://analytics.zoho.com/open-view/2395394000008161220?ZOHO_CRITERIA=%22Localiza%20Chile%22.%22Codcom%22%3D7203" u="1"/>
        <s v="https://analytics.zoho.com/open-view/2395394000008161221?ZOHO_CRITERIA=%22Localiza%20Chile%22.%22Codcom%22%3D5604" u="1"/>
        <s v="https://analytics.zoho.com/open-view/2395394000008161221?ZOHO_CRITERIA=%22Localiza%20Chile%22.%22Codcom%22%3D7203" u="1"/>
        <s v="https://analytics.zoho.com/open-view/2395394000008161222?ZOHO_CRITERIA=%22Localiza%20Chile%22.%22Codcom%22%3D5604" u="1"/>
        <s v="https://analytics.zoho.com/open-view/2395394000008161222?ZOHO_CRITERIA=%22Localiza%20Chile%22.%22Codcom%22%3D7203" u="1"/>
        <s v="https://analytics.zoho.com/open-view/2395394000008161223?ZOHO_CRITERIA=%22Localiza%20Chile%22.%22Codcom%22%3D5604" u="1"/>
        <s v="https://analytics.zoho.com/open-view/2395394000008161223?ZOHO_CRITERIA=%22Localiza%20Chile%22.%22Codcom%22%3D7203" u="1"/>
        <s v="https://analytics.zoho.com/open-view/2395394000008161224?ZOHO_CRITERIA=%22Localiza%20Chile%22.%22Codcom%22%3D5604" u="1"/>
        <s v="https://analytics.zoho.com/open-view/2395394000008161224?ZOHO_CRITERIA=%22Localiza%20Chile%22.%22Codcom%22%3D7203" u="1"/>
        <s v="https://analytics.zoho.com/open-view/2395394000008161225?ZOHO_CRITERIA=%22Localiza%20Chile%22.%22Codcom%22%3D5604" u="1"/>
        <s v="https://analytics.zoho.com/open-view/2395394000008161225?ZOHO_CRITERIA=%22Localiza%20Chile%22.%22Codcom%22%3D7203" u="1"/>
        <s v="https://analytics.zoho.com/open-view/2395394000008161226?ZOHO_CRITERIA=%22Localiza%20Chile%22.%22Codcom%22%3D5604" u="1"/>
        <s v="https://analytics.zoho.com/open-view/2395394000008161226?ZOHO_CRITERIA=%22Localiza%20Chile%22.%22Codcom%22%3D7203" u="1"/>
        <s v="https://analytics.zoho.com/open-view/2395394000008161227?ZOHO_CRITERIA=%22Localiza%20Chile%22.%22Codcom%22%3D5604" u="1"/>
        <s v="https://analytics.zoho.com/open-view/2395394000008161227?ZOHO_CRITERIA=%22Localiza%20Chile%22.%22Codcom%22%3D7203" u="1"/>
        <s v="https://analytics.zoho.com/open-view/2395394000008161228?ZOHO_CRITERIA=%22Localiza%20Chile%22.%22Codcom%22%3D5604" u="1"/>
        <s v="https://analytics.zoho.com/open-view/2395394000008161228?ZOHO_CRITERIA=%22Localiza%20Chile%22.%22Codcom%22%3D7203" u="1"/>
        <s v="https://analytics.zoho.com/open-view/2395394000008161229?ZOHO_CRITERIA=%22Localiza%20Chile%22.%22Codcom%22%3D5604" u="1"/>
        <s v="https://analytics.zoho.com/open-view/2395394000008161229?ZOHO_CRITERIA=%22Localiza%20Chile%22.%22Codcom%22%3D7203" u="1"/>
        <s v="https://analytics.zoho.com/open-view/2395394000008161231?ZOHO_CRITERIA=%22Localiza%20Chile%22.%22Codcom%22%3D5604" u="1"/>
        <s v="https://analytics.zoho.com/open-view/2395394000008161231?ZOHO_CRITERIA=%22Localiza%20Chile%22.%22Codcom%22%3D7203" u="1"/>
        <s v="https://analytics.zoho.com/open-view/2395394000008161220?ZOHO_CRITERIA=%22Localiza%20Chile%22.%22Codcom%22%3D5605" u="1"/>
        <s v="https://analytics.zoho.com/open-view/2395394000008161221?ZOHO_CRITERIA=%22Localiza%20Chile%22.%22Codcom%22%3D5605" u="1"/>
        <s v="https://analytics.zoho.com/open-view/2395394000008161222?ZOHO_CRITERIA=%22Localiza%20Chile%22.%22Codcom%22%3D5605" u="1"/>
        <s v="https://analytics.zoho.com/open-view/2395394000008161223?ZOHO_CRITERIA=%22Localiza%20Chile%22.%22Codcom%22%3D5605" u="1"/>
        <s v="https://analytics.zoho.com/open-view/2395394000008161224?ZOHO_CRITERIA=%22Localiza%20Chile%22.%22Codcom%22%3D5605" u="1"/>
        <s v="https://analytics.zoho.com/open-view/2395394000008161225?ZOHO_CRITERIA=%22Localiza%20Chile%22.%22Codcom%22%3D5605" u="1"/>
        <s v="https://analytics.zoho.com/open-view/2395394000008161226?ZOHO_CRITERIA=%22Localiza%20Chile%22.%22Codcom%22%3D5605" u="1"/>
        <s v="https://analytics.zoho.com/open-view/2395394000008161227?ZOHO_CRITERIA=%22Localiza%20Chile%22.%22Codcom%22%3D5605" u="1"/>
        <s v="https://analytics.zoho.com/open-view/2395394000008161228?ZOHO_CRITERIA=%22Localiza%20Chile%22.%22Codcom%22%3D5605" u="1"/>
        <s v="https://analytics.zoho.com/open-view/2395394000008161229?ZOHO_CRITERIA=%22Localiza%20Chile%22.%22Codcom%22%3D5605" u="1"/>
        <s v="https://analytics.zoho.com/open-view/2395394000008161231?ZOHO_CRITERIA=%22Localiza%20Chile%22.%22Codcom%22%3D5605" u="1"/>
        <s v="https://analytics.zoho.com/open-view/2395394000008161220?ZOHO_CRITERIA=%22Localiza%20Chile%22.%22Codcom%22%3D5606" u="1"/>
        <s v="https://analytics.zoho.com/open-view/2395394000008161221?ZOHO_CRITERIA=%22Localiza%20Chile%22.%22Codcom%22%3D5606" u="1"/>
        <s v="https://analytics.zoho.com/open-view/2395394000008161222?ZOHO_CRITERIA=%22Localiza%20Chile%22.%22Codcom%22%3D5606" u="1"/>
        <s v="https://analytics.zoho.com/open-view/2395394000008161223?ZOHO_CRITERIA=%22Localiza%20Chile%22.%22Codcom%22%3D5606" u="1"/>
        <s v="https://analytics.zoho.com/open-view/2395394000008161224?ZOHO_CRITERIA=%22Localiza%20Chile%22.%22Codcom%22%3D5606" u="1"/>
        <s v="https://analytics.zoho.com/open-view/2395394000008161225?ZOHO_CRITERIA=%22Localiza%20Chile%22.%22Codcom%22%3D5606" u="1"/>
        <s v="https://analytics.zoho.com/open-view/2395394000008161226?ZOHO_CRITERIA=%22Localiza%20Chile%22.%22Codcom%22%3D5606" u="1"/>
        <s v="https://analytics.zoho.com/open-view/2395394000008161227?ZOHO_CRITERIA=%22Localiza%20Chile%22.%22Codcom%22%3D5606" u="1"/>
        <s v="https://analytics.zoho.com/open-view/2395394000008161228?ZOHO_CRITERIA=%22Localiza%20Chile%22.%22Codcom%22%3D5606" u="1"/>
        <s v="https://analytics.zoho.com/open-view/2395394000008161229?ZOHO_CRITERIA=%22Localiza%20Chile%22.%22Codcom%22%3D5606" u="1"/>
        <s v="https://analytics.zoho.com/open-view/2395394000008161231?ZOHO_CRITERIA=%22Localiza%20Chile%22.%22Codcom%22%3D5606" u="1"/>
        <s v="https://analytics.zoho.com/open-view/2395394000008161220?ZOHO_CRITERIA=%22Localiza%20Chile%22.%22Codcom%22%3D13106" u="1"/>
        <s v="https://analytics.zoho.com/open-view/2395394000008161221?ZOHO_CRITERIA=%22Localiza%20Chile%22.%22Codcom%22%3D13106" u="1"/>
        <s v="https://analytics.zoho.com/open-view/2395394000008161222?ZOHO_CRITERIA=%22Localiza%20Chile%22.%22Codcom%22%3D13106" u="1"/>
        <s v="https://analytics.zoho.com/open-view/2395394000008161223?ZOHO_CRITERIA=%22Localiza%20Chile%22.%22Codcom%22%3D13106" u="1"/>
        <s v="https://analytics.zoho.com/open-view/2395394000008161224?ZOHO_CRITERIA=%22Localiza%20Chile%22.%22Codcom%22%3D13106" u="1"/>
        <s v="https://analytics.zoho.com/open-view/2395394000008161225?ZOHO_CRITERIA=%22Localiza%20Chile%22.%22Codcom%22%3D13106" u="1"/>
        <s v="https://analytics.zoho.com/open-view/2395394000008161226?ZOHO_CRITERIA=%22Localiza%20Chile%22.%22Codcom%22%3D13106" u="1"/>
        <s v="https://analytics.zoho.com/open-view/2395394000008161227?ZOHO_CRITERIA=%22Localiza%20Chile%22.%22Codcom%22%3D13106" u="1"/>
        <s v="https://analytics.zoho.com/open-view/2395394000008161228?ZOHO_CRITERIA=%22Localiza%20Chile%22.%22Codcom%22%3D13106" u="1"/>
        <s v="https://analytics.zoho.com/open-view/2395394000008161229?ZOHO_CRITERIA=%22Localiza%20Chile%22.%22Codcom%22%3D13106" u="1"/>
        <s v="https://analytics.zoho.com/open-view/2395394000008161231?ZOHO_CRITERIA=%22Localiza%20Chile%22.%22Codcom%22%3D13106" u="1"/>
        <s v="https://analytics.zoho.com/open-view/2395394000008161220?ZOHO_CRITERIA=%22Localiza%20Chile%22.%22Codcom%22%3D13116" u="1"/>
        <s v="https://analytics.zoho.com/open-view/2395394000008161221?ZOHO_CRITERIA=%22Localiza%20Chile%22.%22Codcom%22%3D13116" u="1"/>
        <s v="https://analytics.zoho.com/open-view/2395394000008161222?ZOHO_CRITERIA=%22Localiza%20Chile%22.%22Codcom%22%3D13116" u="1"/>
        <s v="https://analytics.zoho.com/open-view/2395394000008161223?ZOHO_CRITERIA=%22Localiza%20Chile%22.%22Codcom%22%3D13116" u="1"/>
        <s v="https://analytics.zoho.com/open-view/2395394000008161224?ZOHO_CRITERIA=%22Localiza%20Chile%22.%22Codcom%22%3D13116" u="1"/>
        <s v="https://analytics.zoho.com/open-view/2395394000008161225?ZOHO_CRITERIA=%22Localiza%20Chile%22.%22Codcom%22%3D13116" u="1"/>
        <s v="https://analytics.zoho.com/open-view/2395394000008161226?ZOHO_CRITERIA=%22Localiza%20Chile%22.%22Codcom%22%3D13116" u="1"/>
        <s v="https://analytics.zoho.com/open-view/2395394000008161227?ZOHO_CRITERIA=%22Localiza%20Chile%22.%22Codcom%22%3D13116" u="1"/>
        <s v="https://analytics.zoho.com/open-view/2395394000008161228?ZOHO_CRITERIA=%22Localiza%20Chile%22.%22Codcom%22%3D13116" u="1"/>
        <s v="https://analytics.zoho.com/open-view/2395394000008161229?ZOHO_CRITERIA=%22Localiza%20Chile%22.%22Codcom%22%3D13116" u="1"/>
        <s v="https://analytics.zoho.com/open-view/2395394000008161231?ZOHO_CRITERIA=%22Localiza%20Chile%22.%22Codcom%22%3D13116" u="1"/>
        <s v="https://analytics.zoho.com/open-view/2395394000008161220?ZOHO_CRITERIA=%22Localiza%20Chile%22.%22Codcom%22%3D13126" u="1"/>
        <s v="https://analytics.zoho.com/open-view/2395394000008161221?ZOHO_CRITERIA=%22Localiza%20Chile%22.%22Codcom%22%3D13126" u="1"/>
        <s v="https://analytics.zoho.com/open-view/2395394000008161222?ZOHO_CRITERIA=%22Localiza%20Chile%22.%22Codcom%22%3D13126" u="1"/>
        <s v="https://analytics.zoho.com/open-view/2395394000008161223?ZOHO_CRITERIA=%22Localiza%20Chile%22.%22Codcom%22%3D13126" u="1"/>
        <s v="https://analytics.zoho.com/open-view/2395394000008161224?ZOHO_CRITERIA=%22Localiza%20Chile%22.%22Codcom%22%3D13126" u="1"/>
        <s v="https://analytics.zoho.com/open-view/2395394000008161225?ZOHO_CRITERIA=%22Localiza%20Chile%22.%22Codcom%22%3D13126" u="1"/>
        <s v="https://analytics.zoho.com/open-view/2395394000008161226?ZOHO_CRITERIA=%22Localiza%20Chile%22.%22Codcom%22%3D13126" u="1"/>
        <s v="https://analytics.zoho.com/open-view/2395394000008161227?ZOHO_CRITERIA=%22Localiza%20Chile%22.%22Codcom%22%3D13126" u="1"/>
        <s v="https://analytics.zoho.com/open-view/2395394000008161228?ZOHO_CRITERIA=%22Localiza%20Chile%22.%22Codcom%22%3D13126" u="1"/>
        <s v="https://analytics.zoho.com/open-view/2395394000008161229?ZOHO_CRITERIA=%22Localiza%20Chile%22.%22Codcom%22%3D13126" u="1"/>
        <s v="https://analytics.zoho.com/open-view/2395394000008161231?ZOHO_CRITERIA=%22Localiza%20Chile%22.%22Codcom%22%3D13126" u="1"/>
        <s v="https://analytics.zoho.com/open-view/2395394000008161220?ZOHO_CRITERIA=%22Localiza%20Chile%22.%22Codcom%22%3D9120" u="1"/>
        <s v="https://analytics.zoho.com/open-view/2395394000008161221?ZOHO_CRITERIA=%22Localiza%20Chile%22.%22Codcom%22%3D9120" u="1"/>
        <s v="https://analytics.zoho.com/open-view/2395394000008161222?ZOHO_CRITERIA=%22Localiza%20Chile%22.%22Codcom%22%3D9120" u="1"/>
        <s v="https://analytics.zoho.com/open-view/2395394000008161223?ZOHO_CRITERIA=%22Localiza%20Chile%22.%22Codcom%22%3D9120" u="1"/>
        <s v="https://analytics.zoho.com/open-view/2395394000008161224?ZOHO_CRITERIA=%22Localiza%20Chile%22.%22Codcom%22%3D9120" u="1"/>
        <s v="https://analytics.zoho.com/open-view/2395394000008161225?ZOHO_CRITERIA=%22Localiza%20Chile%22.%22Codcom%22%3D9120" u="1"/>
        <s v="https://analytics.zoho.com/open-view/2395394000008161226?ZOHO_CRITERIA=%22Localiza%20Chile%22.%22Codcom%22%3D9120" u="1"/>
        <s v="https://analytics.zoho.com/open-view/2395394000008161227?ZOHO_CRITERIA=%22Localiza%20Chile%22.%22Codcom%22%3D9120" u="1"/>
        <s v="https://analytics.zoho.com/open-view/2395394000008161228?ZOHO_CRITERIA=%22Localiza%20Chile%22.%22Codcom%22%3D9120" u="1"/>
        <s v="https://analytics.zoho.com/open-view/2395394000008161229?ZOHO_CRITERIA=%22Localiza%20Chile%22.%22Codcom%22%3D9120" u="1"/>
        <s v="https://analytics.zoho.com/open-view/2395394000008161231?ZOHO_CRITERIA=%22Localiza%20Chile%22.%22Codcom%22%3D9120" u="1"/>
        <s v="https://analytics.zoho.com/open-view/2395394000008161220?ZOHO_CRITERIA=%22Localiza%20Chile%22.%22Codcom%22%3D8201" u="1"/>
        <s v="https://analytics.zoho.com/open-view/2395394000008161220?ZOHO_CRITERIA=%22Localiza%20Chile%22.%22Codcom%22%3D9121" u="1"/>
        <s v="https://analytics.zoho.com/open-view/2395394000008161221?ZOHO_CRITERIA=%22Localiza%20Chile%22.%22Codcom%22%3D8201" u="1"/>
        <s v="https://analytics.zoho.com/open-view/2395394000008161221?ZOHO_CRITERIA=%22Localiza%20Chile%22.%22Codcom%22%3D9121" u="1"/>
        <s v="https://analytics.zoho.com/open-view/2395394000008161222?ZOHO_CRITERIA=%22Localiza%20Chile%22.%22Codcom%22%3D8201" u="1"/>
        <s v="https://analytics.zoho.com/open-view/2395394000008161222?ZOHO_CRITERIA=%22Localiza%20Chile%22.%22Codcom%22%3D9121" u="1"/>
        <s v="https://analytics.zoho.com/open-view/2395394000008161223?ZOHO_CRITERIA=%22Localiza%20Chile%22.%22Codcom%22%3D8201" u="1"/>
        <s v="https://analytics.zoho.com/open-view/2395394000008161223?ZOHO_CRITERIA=%22Localiza%20Chile%22.%22Codcom%22%3D9121" u="1"/>
        <s v="https://analytics.zoho.com/open-view/2395394000008161224?ZOHO_CRITERIA=%22Localiza%20Chile%22.%22Codcom%22%3D8201" u="1"/>
        <s v="https://analytics.zoho.com/open-view/2395394000008161224?ZOHO_CRITERIA=%22Localiza%20Chile%22.%22Codcom%22%3D9121" u="1"/>
        <s v="https://analytics.zoho.com/open-view/2395394000008161225?ZOHO_CRITERIA=%22Localiza%20Chile%22.%22Codcom%22%3D8201" u="1"/>
        <s v="https://analytics.zoho.com/open-view/2395394000008161225?ZOHO_CRITERIA=%22Localiza%20Chile%22.%22Codcom%22%3D9121" u="1"/>
        <s v="https://analytics.zoho.com/open-view/2395394000008161226?ZOHO_CRITERIA=%22Localiza%20Chile%22.%22Codcom%22%3D8201" u="1"/>
        <s v="https://analytics.zoho.com/open-view/2395394000008161226?ZOHO_CRITERIA=%22Localiza%20Chile%22.%22Codcom%22%3D9121" u="1"/>
        <s v="https://analytics.zoho.com/open-view/2395394000008161227?ZOHO_CRITERIA=%22Localiza%20Chile%22.%22Codcom%22%3D8201" u="1"/>
        <s v="https://analytics.zoho.com/open-view/2395394000008161227?ZOHO_CRITERIA=%22Localiza%20Chile%22.%22Codcom%22%3D9121" u="1"/>
        <s v="https://analytics.zoho.com/open-view/2395394000008161228?ZOHO_CRITERIA=%22Localiza%20Chile%22.%22Codcom%22%3D8201" u="1"/>
        <s v="https://analytics.zoho.com/open-view/2395394000008161228?ZOHO_CRITERIA=%22Localiza%20Chile%22.%22Codcom%22%3D9121" u="1"/>
        <s v="https://analytics.zoho.com/open-view/2395394000008161229?ZOHO_CRITERIA=%22Localiza%20Chile%22.%22Codcom%22%3D8201" u="1"/>
        <s v="https://analytics.zoho.com/open-view/2395394000008161229?ZOHO_CRITERIA=%22Localiza%20Chile%22.%22Codcom%22%3D9121" u="1"/>
        <s v="https://analytics.zoho.com/open-view/2395394000008161231?ZOHO_CRITERIA=%22Localiza%20Chile%22.%22Codcom%22%3D8201" u="1"/>
        <s v="https://analytics.zoho.com/open-view/2395394000008161231?ZOHO_CRITERIA=%22Localiza%20Chile%22.%22Codcom%22%3D9121" u="1"/>
        <s v="https://analytics.zoho.com/open-view/2395394000008161220?ZOHO_CRITERIA=%22Localiza%20Chile%22.%22Codcom%22%3D8202" u="1"/>
        <s v="https://analytics.zoho.com/open-view/2395394000008161221?ZOHO_CRITERIA=%22Localiza%20Chile%22.%22Codcom%22%3D8202" u="1"/>
        <s v="https://analytics.zoho.com/open-view/2395394000008161222?ZOHO_CRITERIA=%22Localiza%20Chile%22.%22Codcom%22%3D8202" u="1"/>
        <s v="https://analytics.zoho.com/open-view/2395394000008161223?ZOHO_CRITERIA=%22Localiza%20Chile%22.%22Codcom%22%3D8202" u="1"/>
        <s v="https://analytics.zoho.com/open-view/2395394000008161224?ZOHO_CRITERIA=%22Localiza%20Chile%22.%22Codcom%22%3D8202" u="1"/>
        <s v="https://analytics.zoho.com/open-view/2395394000008161225?ZOHO_CRITERIA=%22Localiza%20Chile%22.%22Codcom%22%3D8202" u="1"/>
        <s v="https://analytics.zoho.com/open-view/2395394000008161226?ZOHO_CRITERIA=%22Localiza%20Chile%22.%22Codcom%22%3D8202" u="1"/>
        <s v="https://analytics.zoho.com/open-view/2395394000008161227?ZOHO_CRITERIA=%22Localiza%20Chile%22.%22Codcom%22%3D8202" u="1"/>
        <s v="https://analytics.zoho.com/open-view/2395394000008161228?ZOHO_CRITERIA=%22Localiza%20Chile%22.%22Codcom%22%3D8202" u="1"/>
        <s v="https://analytics.zoho.com/open-view/2395394000008161229?ZOHO_CRITERIA=%22Localiza%20Chile%22.%22Codcom%22%3D8202" u="1"/>
        <s v="https://analytics.zoho.com/open-view/2395394000008161231?ZOHO_CRITERIA=%22Localiza%20Chile%22.%22Codcom%22%3D8202" u="1"/>
        <s v="https://analytics.zoho.com/open-view/2395394000008161220?ZOHO_CRITERIA=%22Localiza%20Chile%22.%22Codcom%22%3D8203" u="1"/>
        <s v="https://analytics.zoho.com/open-view/2395394000008161221?ZOHO_CRITERIA=%22Localiza%20Chile%22.%22Codcom%22%3D8203" u="1"/>
        <s v="https://analytics.zoho.com/open-view/2395394000008161222?ZOHO_CRITERIA=%22Localiza%20Chile%22.%22Codcom%22%3D8203" u="1"/>
        <s v="https://analytics.zoho.com/open-view/2395394000008161223?ZOHO_CRITERIA=%22Localiza%20Chile%22.%22Codcom%22%3D8203" u="1"/>
        <s v="https://analytics.zoho.com/open-view/2395394000008161224?ZOHO_CRITERIA=%22Localiza%20Chile%22.%22Codcom%22%3D8203" u="1"/>
        <s v="https://analytics.zoho.com/open-view/2395394000008161225?ZOHO_CRITERIA=%22Localiza%20Chile%22.%22Codcom%22%3D8203" u="1"/>
        <s v="https://analytics.zoho.com/open-view/2395394000008161226?ZOHO_CRITERIA=%22Localiza%20Chile%22.%22Codcom%22%3D8203" u="1"/>
        <s v="https://analytics.zoho.com/open-view/2395394000008161227?ZOHO_CRITERIA=%22Localiza%20Chile%22.%22Codcom%22%3D8203" u="1"/>
        <s v="https://analytics.zoho.com/open-view/2395394000008161228?ZOHO_CRITERIA=%22Localiza%20Chile%22.%22Codcom%22%3D8203" u="1"/>
        <s v="https://analytics.zoho.com/open-view/2395394000008161229?ZOHO_CRITERIA=%22Localiza%20Chile%22.%22Codcom%22%3D8203" u="1"/>
        <s v="https://analytics.zoho.com/open-view/2395394000008161231?ZOHO_CRITERIA=%22Localiza%20Chile%22.%22Codcom%22%3D8203" u="1"/>
        <s v="https://analytics.zoho.com/open-view/2395394000008161220?ZOHO_CRITERIA=%22Localiza%20Chile%22.%22Codcom%22%3D8204" u="1"/>
        <s v="https://analytics.zoho.com/open-view/2395394000008161221?ZOHO_CRITERIA=%22Localiza%20Chile%22.%22Codcom%22%3D8204" u="1"/>
        <s v="https://analytics.zoho.com/open-view/2395394000008161222?ZOHO_CRITERIA=%22Localiza%20Chile%22.%22Codcom%22%3D8204" u="1"/>
        <s v="https://analytics.zoho.com/open-view/2395394000008161223?ZOHO_CRITERIA=%22Localiza%20Chile%22.%22Codcom%22%3D8204" u="1"/>
        <s v="https://analytics.zoho.com/open-view/2395394000008161224?ZOHO_CRITERIA=%22Localiza%20Chile%22.%22Codcom%22%3D8204" u="1"/>
        <s v="https://analytics.zoho.com/open-view/2395394000008161225?ZOHO_CRITERIA=%22Localiza%20Chile%22.%22Codcom%22%3D8204" u="1"/>
        <s v="https://analytics.zoho.com/open-view/2395394000008161226?ZOHO_CRITERIA=%22Localiza%20Chile%22.%22Codcom%22%3D8204" u="1"/>
        <s v="https://analytics.zoho.com/open-view/2395394000008161227?ZOHO_CRITERIA=%22Localiza%20Chile%22.%22Codcom%22%3D8204" u="1"/>
        <s v="https://analytics.zoho.com/open-view/2395394000008161228?ZOHO_CRITERIA=%22Localiza%20Chile%22.%22Codcom%22%3D8204" u="1"/>
        <s v="https://analytics.zoho.com/open-view/2395394000008161229?ZOHO_CRITERIA=%22Localiza%20Chile%22.%22Codcom%22%3D8204" u="1"/>
        <s v="https://analytics.zoho.com/open-view/2395394000008161231?ZOHO_CRITERIA=%22Localiza%20Chile%22.%22Codcom%22%3D8204" u="1"/>
        <s v="https://analytics.zoho.com/open-view/2395394000008161220?ZOHO_CRITERIA=%22Localiza%20Chile%22.%22Codcom%22%3D8205" u="1"/>
        <s v="https://analytics.zoho.com/open-view/2395394000008161221?ZOHO_CRITERIA=%22Localiza%20Chile%22.%22Codcom%22%3D8205" u="1"/>
        <s v="https://analytics.zoho.com/open-view/2395394000008161222?ZOHO_CRITERIA=%22Localiza%20Chile%22.%22Codcom%22%3D8205" u="1"/>
        <s v="https://analytics.zoho.com/open-view/2395394000008161223?ZOHO_CRITERIA=%22Localiza%20Chile%22.%22Codcom%22%3D8205" u="1"/>
        <s v="https://analytics.zoho.com/open-view/2395394000008161224?ZOHO_CRITERIA=%22Localiza%20Chile%22.%22Codcom%22%3D8205" u="1"/>
        <s v="https://analytics.zoho.com/open-view/2395394000008161225?ZOHO_CRITERIA=%22Localiza%20Chile%22.%22Codcom%22%3D8205" u="1"/>
        <s v="https://analytics.zoho.com/open-view/2395394000008161226?ZOHO_CRITERIA=%22Localiza%20Chile%22.%22Codcom%22%3D8205" u="1"/>
        <s v="https://analytics.zoho.com/open-view/2395394000008161227?ZOHO_CRITERIA=%22Localiza%20Chile%22.%22Codcom%22%3D8205" u="1"/>
        <s v="https://analytics.zoho.com/open-view/2395394000008161228?ZOHO_CRITERIA=%22Localiza%20Chile%22.%22Codcom%22%3D8205" u="1"/>
        <s v="https://analytics.zoho.com/open-view/2395394000008161229?ZOHO_CRITERIA=%22Localiza%20Chile%22.%22Codcom%22%3D8205" u="1"/>
        <s v="https://analytics.zoho.com/open-view/2395394000008161231?ZOHO_CRITERIA=%22Localiza%20Chile%22.%22Codcom%22%3D8205" u="1"/>
        <s v="https://analytics.zoho.com/open-view/2395394000008161220?ZOHO_CRITERIA=%22Localiza%20Chile%22.%22Codcom%22%3D8206" u="1"/>
        <s v="https://analytics.zoho.com/open-view/2395394000008161221?ZOHO_CRITERIA=%22Localiza%20Chile%22.%22Codcom%22%3D8206" u="1"/>
        <s v="https://analytics.zoho.com/open-view/2395394000008161222?ZOHO_CRITERIA=%22Localiza%20Chile%22.%22Codcom%22%3D8206" u="1"/>
        <s v="https://analytics.zoho.com/open-view/2395394000008161223?ZOHO_CRITERIA=%22Localiza%20Chile%22.%22Codcom%22%3D8206" u="1"/>
        <s v="https://analytics.zoho.com/open-view/2395394000008161224?ZOHO_CRITERIA=%22Localiza%20Chile%22.%22Codcom%22%3D8206" u="1"/>
        <s v="https://analytics.zoho.com/open-view/2395394000008161225?ZOHO_CRITERIA=%22Localiza%20Chile%22.%22Codcom%22%3D8206" u="1"/>
        <s v="https://analytics.zoho.com/open-view/2395394000008161226?ZOHO_CRITERIA=%22Localiza%20Chile%22.%22Codcom%22%3D8206" u="1"/>
        <s v="https://analytics.zoho.com/open-view/2395394000008161227?ZOHO_CRITERIA=%22Localiza%20Chile%22.%22Codcom%22%3D8206" u="1"/>
        <s v="https://analytics.zoho.com/open-view/2395394000008161228?ZOHO_CRITERIA=%22Localiza%20Chile%22.%22Codcom%22%3D8206" u="1"/>
        <s v="https://analytics.zoho.com/open-view/2395394000008161229?ZOHO_CRITERIA=%22Localiza%20Chile%22.%22Codcom%22%3D8206" u="1"/>
        <s v="https://analytics.zoho.com/open-view/2395394000008161231?ZOHO_CRITERIA=%22Localiza%20Chile%22.%22Codcom%22%3D8206" u="1"/>
        <s v="https://analytics.zoho.com/open-view/2395394000008161220?ZOHO_CRITERIA=%22Localiza%20Chile%22.%22Codcom%22%3D8207" u="1"/>
        <s v="https://analytics.zoho.com/open-view/2395394000008161221?ZOHO_CRITERIA=%22Localiza%20Chile%22.%22Codcom%22%3D8207" u="1"/>
        <s v="https://analytics.zoho.com/open-view/2395394000008161222?ZOHO_CRITERIA=%22Localiza%20Chile%22.%22Codcom%22%3D8207" u="1"/>
        <s v="https://analytics.zoho.com/open-view/2395394000008161223?ZOHO_CRITERIA=%22Localiza%20Chile%22.%22Codcom%22%3D8207" u="1"/>
        <s v="https://analytics.zoho.com/open-view/2395394000008161224?ZOHO_CRITERIA=%22Localiza%20Chile%22.%22Codcom%22%3D8207" u="1"/>
        <s v="https://analytics.zoho.com/open-view/2395394000008161225?ZOHO_CRITERIA=%22Localiza%20Chile%22.%22Codcom%22%3D8207" u="1"/>
        <s v="https://analytics.zoho.com/open-view/2395394000008161226?ZOHO_CRITERIA=%22Localiza%20Chile%22.%22Codcom%22%3D8207" u="1"/>
        <s v="https://analytics.zoho.com/open-view/2395394000008161227?ZOHO_CRITERIA=%22Localiza%20Chile%22.%22Codcom%22%3D8207" u="1"/>
        <s v="https://analytics.zoho.com/open-view/2395394000008161228?ZOHO_CRITERIA=%22Localiza%20Chile%22.%22Codcom%22%3D8207" u="1"/>
        <s v="https://analytics.zoho.com/open-view/2395394000008161229?ZOHO_CRITERIA=%22Localiza%20Chile%22.%22Codcom%22%3D8207" u="1"/>
        <s v="https://analytics.zoho.com/open-view/2395394000008161231?ZOHO_CRITERIA=%22Localiza%20Chile%22.%22Codcom%22%3D8207" u="1"/>
        <s v="https://analytics.zoho.com/open-view/2395394000008161220?ZOHO_CRITERIA=%22Localiza%20Chile%22.%22Codcom%22%3D9201" u="1"/>
        <s v="https://analytics.zoho.com/open-view/2395394000008161221?ZOHO_CRITERIA=%22Localiza%20Chile%22.%22Codcom%22%3D9201" u="1"/>
        <s v="https://analytics.zoho.com/open-view/2395394000008161222?ZOHO_CRITERIA=%22Localiza%20Chile%22.%22Codcom%22%3D9201" u="1"/>
        <s v="https://analytics.zoho.com/open-view/2395394000008161223?ZOHO_CRITERIA=%22Localiza%20Chile%22.%22Codcom%22%3D9201" u="1"/>
        <s v="https://analytics.zoho.com/open-view/2395394000008161224?ZOHO_CRITERIA=%22Localiza%20Chile%22.%22Codcom%22%3D9201" u="1"/>
        <s v="https://analytics.zoho.com/open-view/2395394000008161225?ZOHO_CRITERIA=%22Localiza%20Chile%22.%22Codcom%22%3D9201" u="1"/>
        <s v="https://analytics.zoho.com/open-view/2395394000008161226?ZOHO_CRITERIA=%22Localiza%20Chile%22.%22Codcom%22%3D9201" u="1"/>
        <s v="https://analytics.zoho.com/open-view/2395394000008161227?ZOHO_CRITERIA=%22Localiza%20Chile%22.%22Codcom%22%3D9201" u="1"/>
        <s v="https://analytics.zoho.com/open-view/2395394000008161228?ZOHO_CRITERIA=%22Localiza%20Chile%22.%22Codcom%22%3D9201" u="1"/>
        <s v="https://analytics.zoho.com/open-view/2395394000008161229?ZOHO_CRITERIA=%22Localiza%20Chile%22.%22Codcom%22%3D9201" u="1"/>
        <s v="https://analytics.zoho.com/open-view/2395394000008161231?ZOHO_CRITERIA=%22Localiza%20Chile%22.%22Codcom%22%3D9201" u="1"/>
        <s v="https://analytics.zoho.com/open-view/2395394000008161220?ZOHO_CRITERIA=%22Localiza%20Chile%22.%22Codcom%22%3D9202" u="1"/>
        <s v="https://analytics.zoho.com/open-view/2395394000008161221?ZOHO_CRITERIA=%22Localiza%20Chile%22.%22Codcom%22%3D9202" u="1"/>
        <s v="https://analytics.zoho.com/open-view/2395394000008161222?ZOHO_CRITERIA=%22Localiza%20Chile%22.%22Codcom%22%3D9202" u="1"/>
        <s v="https://analytics.zoho.com/open-view/2395394000008161223?ZOHO_CRITERIA=%22Localiza%20Chile%22.%22Codcom%22%3D9202" u="1"/>
        <s v="https://analytics.zoho.com/open-view/2395394000008161224?ZOHO_CRITERIA=%22Localiza%20Chile%22.%22Codcom%22%3D9202" u="1"/>
        <s v="https://analytics.zoho.com/open-view/2395394000008161225?ZOHO_CRITERIA=%22Localiza%20Chile%22.%22Codcom%22%3D9202" u="1"/>
        <s v="https://analytics.zoho.com/open-view/2395394000008161226?ZOHO_CRITERIA=%22Localiza%20Chile%22.%22Codcom%22%3D9202" u="1"/>
        <s v="https://analytics.zoho.com/open-view/2395394000008161227?ZOHO_CRITERIA=%22Localiza%20Chile%22.%22Codcom%22%3D9202" u="1"/>
        <s v="https://analytics.zoho.com/open-view/2395394000008161228?ZOHO_CRITERIA=%22Localiza%20Chile%22.%22Codcom%22%3D9202" u="1"/>
        <s v="https://analytics.zoho.com/open-view/2395394000008161229?ZOHO_CRITERIA=%22Localiza%20Chile%22.%22Codcom%22%3D9202" u="1"/>
        <s v="https://analytics.zoho.com/open-view/2395394000008161231?ZOHO_CRITERIA=%22Localiza%20Chile%22.%22Codcom%22%3D9202" u="1"/>
        <s v="https://analytics.zoho.com/open-view/2395394000008161220?ZOHO_CRITERIA=%22Localiza%20Chile%22.%22Codcom%22%3D9203" u="1"/>
        <s v="https://analytics.zoho.com/open-view/2395394000008161221?ZOHO_CRITERIA=%22Localiza%20Chile%22.%22Codcom%22%3D9203" u="1"/>
        <s v="https://analytics.zoho.com/open-view/2395394000008161222?ZOHO_CRITERIA=%22Localiza%20Chile%22.%22Codcom%22%3D9203" u="1"/>
        <s v="https://analytics.zoho.com/open-view/2395394000008161223?ZOHO_CRITERIA=%22Localiza%20Chile%22.%22Codcom%22%3D9203" u="1"/>
        <s v="https://analytics.zoho.com/open-view/2395394000008161224?ZOHO_CRITERIA=%22Localiza%20Chile%22.%22Codcom%22%3D9203" u="1"/>
        <s v="https://analytics.zoho.com/open-view/2395394000008161225?ZOHO_CRITERIA=%22Localiza%20Chile%22.%22Codcom%22%3D9203" u="1"/>
        <s v="https://analytics.zoho.com/open-view/2395394000008161226?ZOHO_CRITERIA=%22Localiza%20Chile%22.%22Codcom%22%3D9203" u="1"/>
        <s v="https://analytics.zoho.com/open-view/2395394000008161227?ZOHO_CRITERIA=%22Localiza%20Chile%22.%22Codcom%22%3D9203" u="1"/>
        <s v="https://analytics.zoho.com/open-view/2395394000008161228?ZOHO_CRITERIA=%22Localiza%20Chile%22.%22Codcom%22%3D9203" u="1"/>
        <s v="https://analytics.zoho.com/open-view/2395394000008161229?ZOHO_CRITERIA=%22Localiza%20Chile%22.%22Codcom%22%3D9203" u="1"/>
        <s v="https://analytics.zoho.com/open-view/2395394000008161231?ZOHO_CRITERIA=%22Localiza%20Chile%22.%22Codcom%22%3D9203" u="1"/>
        <s v="https://analytics.zoho.com/open-view/2395394000008161220?ZOHO_CRITERIA=%22Localiza%20Chile%22.%22Codcom%22%3D9204" u="1"/>
        <s v="https://analytics.zoho.com/open-view/2395394000008161221?ZOHO_CRITERIA=%22Localiza%20Chile%22.%22Codcom%22%3D9204" u="1"/>
        <s v="https://analytics.zoho.com/open-view/2395394000008161222?ZOHO_CRITERIA=%22Localiza%20Chile%22.%22Codcom%22%3D9204" u="1"/>
        <s v="https://analytics.zoho.com/open-view/2395394000008161223?ZOHO_CRITERIA=%22Localiza%20Chile%22.%22Codcom%22%3D9204" u="1"/>
        <s v="https://analytics.zoho.com/open-view/2395394000008161224?ZOHO_CRITERIA=%22Localiza%20Chile%22.%22Codcom%22%3D9204" u="1"/>
        <s v="https://analytics.zoho.com/open-view/2395394000008161225?ZOHO_CRITERIA=%22Localiza%20Chile%22.%22Codcom%22%3D9204" u="1"/>
        <s v="https://analytics.zoho.com/open-view/2395394000008161226?ZOHO_CRITERIA=%22Localiza%20Chile%22.%22Codcom%22%3D9204" u="1"/>
        <s v="https://analytics.zoho.com/open-view/2395394000008161227?ZOHO_CRITERIA=%22Localiza%20Chile%22.%22Codcom%22%3D9204" u="1"/>
        <s v="https://analytics.zoho.com/open-view/2395394000008161228?ZOHO_CRITERIA=%22Localiza%20Chile%22.%22Codcom%22%3D9204" u="1"/>
        <s v="https://analytics.zoho.com/open-view/2395394000008161229?ZOHO_CRITERIA=%22Localiza%20Chile%22.%22Codcom%22%3D9204" u="1"/>
        <s v="https://analytics.zoho.com/open-view/2395394000008161231?ZOHO_CRITERIA=%22Localiza%20Chile%22.%22Codcom%22%3D9204" u="1"/>
        <s v="https://analytics.zoho.com/open-view/2395394000008161220?ZOHO_CRITERIA=%22Localiza%20Chile%22.%22Codcom%22%3D9205" u="1"/>
        <s v="https://analytics.zoho.com/open-view/2395394000008161221?ZOHO_CRITERIA=%22Localiza%20Chile%22.%22Codcom%22%3D9205" u="1"/>
        <s v="https://analytics.zoho.com/open-view/2395394000008161222?ZOHO_CRITERIA=%22Localiza%20Chile%22.%22Codcom%22%3D9205" u="1"/>
        <s v="https://analytics.zoho.com/open-view/2395394000008161223?ZOHO_CRITERIA=%22Localiza%20Chile%22.%22Codcom%22%3D9205" u="1"/>
        <s v="https://analytics.zoho.com/open-view/2395394000008161224?ZOHO_CRITERIA=%22Localiza%20Chile%22.%22Codcom%22%3D9205" u="1"/>
        <s v="https://analytics.zoho.com/open-view/2395394000008161225?ZOHO_CRITERIA=%22Localiza%20Chile%22.%22Codcom%22%3D9205" u="1"/>
        <s v="https://analytics.zoho.com/open-view/2395394000008161226?ZOHO_CRITERIA=%22Localiza%20Chile%22.%22Codcom%22%3D9205" u="1"/>
        <s v="https://analytics.zoho.com/open-view/2395394000008161227?ZOHO_CRITERIA=%22Localiza%20Chile%22.%22Codcom%22%3D9205" u="1"/>
        <s v="https://analytics.zoho.com/open-view/2395394000008161228?ZOHO_CRITERIA=%22Localiza%20Chile%22.%22Codcom%22%3D9205" u="1"/>
        <s v="https://analytics.zoho.com/open-view/2395394000008161229?ZOHO_CRITERIA=%22Localiza%20Chile%22.%22Codcom%22%3D9205" u="1"/>
        <s v="https://analytics.zoho.com/open-view/2395394000008161231?ZOHO_CRITERIA=%22Localiza%20Chile%22.%22Codcom%22%3D9205" u="1"/>
        <s v="https://analytics.zoho.com/open-view/2395394000008161220?ZOHO_CRITERIA=%22Localiza%20Chile%22.%22Codcom%22%3D9206" u="1"/>
        <s v="https://analytics.zoho.com/open-view/2395394000008161221?ZOHO_CRITERIA=%22Localiza%20Chile%22.%22Codcom%22%3D9206" u="1"/>
        <s v="https://analytics.zoho.com/open-view/2395394000008161222?ZOHO_CRITERIA=%22Localiza%20Chile%22.%22Codcom%22%3D9206" u="1"/>
        <s v="https://analytics.zoho.com/open-view/2395394000008161223?ZOHO_CRITERIA=%22Localiza%20Chile%22.%22Codcom%22%3D9206" u="1"/>
        <s v="https://analytics.zoho.com/open-view/2395394000008161224?ZOHO_CRITERIA=%22Localiza%20Chile%22.%22Codcom%22%3D9206" u="1"/>
        <s v="https://analytics.zoho.com/open-view/2395394000008161225?ZOHO_CRITERIA=%22Localiza%20Chile%22.%22Codcom%22%3D9206" u="1"/>
        <s v="https://analytics.zoho.com/open-view/2395394000008161226?ZOHO_CRITERIA=%22Localiza%20Chile%22.%22Codcom%22%3D9206" u="1"/>
        <s v="https://analytics.zoho.com/open-view/2395394000008161227?ZOHO_CRITERIA=%22Localiza%20Chile%22.%22Codcom%22%3D9206" u="1"/>
        <s v="https://analytics.zoho.com/open-view/2395394000008161228?ZOHO_CRITERIA=%22Localiza%20Chile%22.%22Codcom%22%3D9206" u="1"/>
        <s v="https://analytics.zoho.com/open-view/2395394000008161229?ZOHO_CRITERIA=%22Localiza%20Chile%22.%22Codcom%22%3D9206" u="1"/>
        <s v="https://analytics.zoho.com/open-view/2395394000008161231?ZOHO_CRITERIA=%22Localiza%20Chile%22.%22Codcom%22%3D9206" u="1"/>
        <s v="https://analytics.zoho.com/open-view/2395394000008161220?ZOHO_CRITERIA=%22Localiza%20Chile%22.%22Codcom%22%3D9207" u="1"/>
        <s v="https://analytics.zoho.com/open-view/2395394000008161221?ZOHO_CRITERIA=%22Localiza%20Chile%22.%22Codcom%22%3D9207" u="1"/>
        <s v="https://analytics.zoho.com/open-view/2395394000008161222?ZOHO_CRITERIA=%22Localiza%20Chile%22.%22Codcom%22%3D9207" u="1"/>
        <s v="https://analytics.zoho.com/open-view/2395394000008161223?ZOHO_CRITERIA=%22Localiza%20Chile%22.%22Codcom%22%3D9207" u="1"/>
        <s v="https://analytics.zoho.com/open-view/2395394000008161224?ZOHO_CRITERIA=%22Localiza%20Chile%22.%22Codcom%22%3D9207" u="1"/>
        <s v="https://analytics.zoho.com/open-view/2395394000008161225?ZOHO_CRITERIA=%22Localiza%20Chile%22.%22Codcom%22%3D9207" u="1"/>
        <s v="https://analytics.zoho.com/open-view/2395394000008161226?ZOHO_CRITERIA=%22Localiza%20Chile%22.%22Codcom%22%3D9207" u="1"/>
        <s v="https://analytics.zoho.com/open-view/2395394000008161227?ZOHO_CRITERIA=%22Localiza%20Chile%22.%22Codcom%22%3D9207" u="1"/>
        <s v="https://analytics.zoho.com/open-view/2395394000008161228?ZOHO_CRITERIA=%22Localiza%20Chile%22.%22Codcom%22%3D9207" u="1"/>
        <s v="https://analytics.zoho.com/open-view/2395394000008161229?ZOHO_CRITERIA=%22Localiza%20Chile%22.%22Codcom%22%3D9207" u="1"/>
        <s v="https://analytics.zoho.com/open-view/2395394000008161231?ZOHO_CRITERIA=%22Localiza%20Chile%22.%22Codcom%22%3D9207" u="1"/>
        <s v="https://analytics.zoho.com/open-view/2395394000008161220?ZOHO_CRITERIA=%22Localiza%20Chile%22.%22Codcom%22%3D9208" u="1"/>
        <s v="https://analytics.zoho.com/open-view/2395394000008161221?ZOHO_CRITERIA=%22Localiza%20Chile%22.%22Codcom%22%3D9208" u="1"/>
        <s v="https://analytics.zoho.com/open-view/2395394000008161222?ZOHO_CRITERIA=%22Localiza%20Chile%22.%22Codcom%22%3D9208" u="1"/>
        <s v="https://analytics.zoho.com/open-view/2395394000008161223?ZOHO_CRITERIA=%22Localiza%20Chile%22.%22Codcom%22%3D9208" u="1"/>
        <s v="https://analytics.zoho.com/open-view/2395394000008161224?ZOHO_CRITERIA=%22Localiza%20Chile%22.%22Codcom%22%3D9208" u="1"/>
        <s v="https://analytics.zoho.com/open-view/2395394000008161225?ZOHO_CRITERIA=%22Localiza%20Chile%22.%22Codcom%22%3D9208" u="1"/>
        <s v="https://analytics.zoho.com/open-view/2395394000008161226?ZOHO_CRITERIA=%22Localiza%20Chile%22.%22Codcom%22%3D9208" u="1"/>
        <s v="https://analytics.zoho.com/open-view/2395394000008161227?ZOHO_CRITERIA=%22Localiza%20Chile%22.%22Codcom%22%3D9208" u="1"/>
        <s v="https://analytics.zoho.com/open-view/2395394000008161228?ZOHO_CRITERIA=%22Localiza%20Chile%22.%22Codcom%22%3D9208" u="1"/>
        <s v="https://analytics.zoho.com/open-view/2395394000008161229?ZOHO_CRITERIA=%22Localiza%20Chile%22.%22Codcom%22%3D9208" u="1"/>
        <s v="https://analytics.zoho.com/open-view/2395394000008161231?ZOHO_CRITERIA=%22Localiza%20Chile%22.%22Codcom%22%3D9208" u="1"/>
        <s v="https://analytics.zoho.com/open-view/2395394000008161220?ZOHO_CRITERIA=%22Localiza%20Chile%22.%22Codcom%22%3D9209" u="1"/>
        <s v="https://analytics.zoho.com/open-view/2395394000008161221?ZOHO_CRITERIA=%22Localiza%20Chile%22.%22Codcom%22%3D9209" u="1"/>
        <s v="https://analytics.zoho.com/open-view/2395394000008161222?ZOHO_CRITERIA=%22Localiza%20Chile%22.%22Codcom%22%3D9209" u="1"/>
        <s v="https://analytics.zoho.com/open-view/2395394000008161223?ZOHO_CRITERIA=%22Localiza%20Chile%22.%22Codcom%22%3D9209" u="1"/>
        <s v="https://analytics.zoho.com/open-view/2395394000008161224?ZOHO_CRITERIA=%22Localiza%20Chile%22.%22Codcom%22%3D9209" u="1"/>
        <s v="https://analytics.zoho.com/open-view/2395394000008161225?ZOHO_CRITERIA=%22Localiza%20Chile%22.%22Codcom%22%3D9209" u="1"/>
        <s v="https://analytics.zoho.com/open-view/2395394000008161226?ZOHO_CRITERIA=%22Localiza%20Chile%22.%22Codcom%22%3D9209" u="1"/>
        <s v="https://analytics.zoho.com/open-view/2395394000008161227?ZOHO_CRITERIA=%22Localiza%20Chile%22.%22Codcom%22%3D9209" u="1"/>
        <s v="https://analytics.zoho.com/open-view/2395394000008161228?ZOHO_CRITERIA=%22Localiza%20Chile%22.%22Codcom%22%3D9209" u="1"/>
        <s v="https://analytics.zoho.com/open-view/2395394000008161229?ZOHO_CRITERIA=%22Localiza%20Chile%22.%22Codcom%22%3D9209" u="1"/>
        <s v="https://analytics.zoho.com/open-view/2395394000008161231?ZOHO_CRITERIA=%22Localiza%20Chile%22.%22Codcom%22%3D9209" u="1"/>
        <s v="https://analytics.zoho.com/open-view/2395394000008161220?ZOHO_CRITERIA=%22Localiza%20Chile%22.%22Codcom%22%3D13107" u="1"/>
        <s v="https://analytics.zoho.com/open-view/2395394000008161221?ZOHO_CRITERIA=%22Localiza%20Chile%22.%22Codcom%22%3D13107" u="1"/>
        <s v="https://analytics.zoho.com/open-view/2395394000008161222?ZOHO_CRITERIA=%22Localiza%20Chile%22.%22Codcom%22%3D13107" u="1"/>
        <s v="https://analytics.zoho.com/open-view/2395394000008161223?ZOHO_CRITERIA=%22Localiza%20Chile%22.%22Codcom%22%3D13107" u="1"/>
        <s v="https://analytics.zoho.com/open-view/2395394000008161224?ZOHO_CRITERIA=%22Localiza%20Chile%22.%22Codcom%22%3D13107" u="1"/>
        <s v="https://analytics.zoho.com/open-view/2395394000008161225?ZOHO_CRITERIA=%22Localiza%20Chile%22.%22Codcom%22%3D13107" u="1"/>
        <s v="https://analytics.zoho.com/open-view/2395394000008161226?ZOHO_CRITERIA=%22Localiza%20Chile%22.%22Codcom%22%3D13107" u="1"/>
        <s v="https://analytics.zoho.com/open-view/2395394000008161227?ZOHO_CRITERIA=%22Localiza%20Chile%22.%22Codcom%22%3D13107" u="1"/>
        <s v="https://analytics.zoho.com/open-view/2395394000008161228?ZOHO_CRITERIA=%22Localiza%20Chile%22.%22Codcom%22%3D13107" u="1"/>
        <s v="https://analytics.zoho.com/open-view/2395394000008161229?ZOHO_CRITERIA=%22Localiza%20Chile%22.%22Codcom%22%3D13107" u="1"/>
        <s v="https://analytics.zoho.com/open-view/2395394000008161231?ZOHO_CRITERIA=%22Localiza%20Chile%22.%22Codcom%22%3D13107" u="1"/>
        <s v="https://analytics.zoho.com/open-view/2395394000008161220?ZOHO_CRITERIA=%22Localiza%20Chile%22.%22Codcom%22%3D13117" u="1"/>
        <s v="https://analytics.zoho.com/open-view/2395394000008161221?ZOHO_CRITERIA=%22Localiza%20Chile%22.%22Codcom%22%3D13117" u="1"/>
        <s v="https://analytics.zoho.com/open-view/2395394000008161222?ZOHO_CRITERIA=%22Localiza%20Chile%22.%22Codcom%22%3D13117" u="1"/>
        <s v="https://analytics.zoho.com/open-view/2395394000008161223?ZOHO_CRITERIA=%22Localiza%20Chile%22.%22Codcom%22%3D13117" u="1"/>
        <s v="https://analytics.zoho.com/open-view/2395394000008161224?ZOHO_CRITERIA=%22Localiza%20Chile%22.%22Codcom%22%3D13117" u="1"/>
        <s v="https://analytics.zoho.com/open-view/2395394000008161225?ZOHO_CRITERIA=%22Localiza%20Chile%22.%22Codcom%22%3D13117" u="1"/>
        <s v="https://analytics.zoho.com/open-view/2395394000008161226?ZOHO_CRITERIA=%22Localiza%20Chile%22.%22Codcom%22%3D13117" u="1"/>
        <s v="https://analytics.zoho.com/open-view/2395394000008161227?ZOHO_CRITERIA=%22Localiza%20Chile%22.%22Codcom%22%3D13117" u="1"/>
        <s v="https://analytics.zoho.com/open-view/2395394000008161228?ZOHO_CRITERIA=%22Localiza%20Chile%22.%22Codcom%22%3D13117" u="1"/>
        <s v="https://analytics.zoho.com/open-view/2395394000008161229?ZOHO_CRITERIA=%22Localiza%20Chile%22.%22Codcom%22%3D13117" u="1"/>
        <s v="https://analytics.zoho.com/open-view/2395394000008161231?ZOHO_CRITERIA=%22Localiza%20Chile%22.%22Codcom%22%3D13117" u="1"/>
        <s v="https://analytics.zoho.com/open-view/2395394000008161220?ZOHO_CRITERIA=%22Localiza%20Chile%22.%22Codcom%22%3D13127" u="1"/>
        <s v="https://analytics.zoho.com/open-view/2395394000008161221?ZOHO_CRITERIA=%22Localiza%20Chile%22.%22Codcom%22%3D13127" u="1"/>
        <s v="https://analytics.zoho.com/open-view/2395394000008161222?ZOHO_CRITERIA=%22Localiza%20Chile%22.%22Codcom%22%3D13127" u="1"/>
        <s v="https://analytics.zoho.com/open-view/2395394000008161223?ZOHO_CRITERIA=%22Localiza%20Chile%22.%22Codcom%22%3D13127" u="1"/>
        <s v="https://analytics.zoho.com/open-view/2395394000008161224?ZOHO_CRITERIA=%22Localiza%20Chile%22.%22Codcom%22%3D13127" u="1"/>
        <s v="https://analytics.zoho.com/open-view/2395394000008161225?ZOHO_CRITERIA=%22Localiza%20Chile%22.%22Codcom%22%3D13127" u="1"/>
        <s v="https://analytics.zoho.com/open-view/2395394000008161226?ZOHO_CRITERIA=%22Localiza%20Chile%22.%22Codcom%22%3D13127" u="1"/>
        <s v="https://analytics.zoho.com/open-view/2395394000008161227?ZOHO_CRITERIA=%22Localiza%20Chile%22.%22Codcom%22%3D13127" u="1"/>
        <s v="https://analytics.zoho.com/open-view/2395394000008161228?ZOHO_CRITERIA=%22Localiza%20Chile%22.%22Codcom%22%3D13127" u="1"/>
        <s v="https://analytics.zoho.com/open-view/2395394000008161229?ZOHO_CRITERIA=%22Localiza%20Chile%22.%22Codcom%22%3D13127" u="1"/>
        <s v="https://analytics.zoho.com/open-view/2395394000008161231?ZOHO_CRITERIA=%22Localiza%20Chile%22.%22Codcom%22%3D13127" u="1"/>
        <s v="https://analytics.zoho.com/open-view/2395394000008161220?ZOHO_CRITERIA=%22Localiza%20Chile%22.%22Codcom%22%3D13108" u="1"/>
        <s v="https://analytics.zoho.com/open-view/2395394000008161221?ZOHO_CRITERIA=%22Localiza%20Chile%22.%22Codcom%22%3D13108" u="1"/>
        <s v="https://analytics.zoho.com/open-view/2395394000008161222?ZOHO_CRITERIA=%22Localiza%20Chile%22.%22Codcom%22%3D13108" u="1"/>
        <s v="https://analytics.zoho.com/open-view/2395394000008161223?ZOHO_CRITERIA=%22Localiza%20Chile%22.%22Codcom%22%3D13108" u="1"/>
        <s v="https://analytics.zoho.com/open-view/2395394000008161224?ZOHO_CRITERIA=%22Localiza%20Chile%22.%22Codcom%22%3D13108" u="1"/>
        <s v="https://analytics.zoho.com/open-view/2395394000008161225?ZOHO_CRITERIA=%22Localiza%20Chile%22.%22Codcom%22%3D13108" u="1"/>
        <s v="https://analytics.zoho.com/open-view/2395394000008161226?ZOHO_CRITERIA=%22Localiza%20Chile%22.%22Codcom%22%3D13108" u="1"/>
        <s v="https://analytics.zoho.com/open-view/2395394000008161227?ZOHO_CRITERIA=%22Localiza%20Chile%22.%22Codcom%22%3D13108" u="1"/>
        <s v="https://analytics.zoho.com/open-view/2395394000008161228?ZOHO_CRITERIA=%22Localiza%20Chile%22.%22Codcom%22%3D13108" u="1"/>
        <s v="https://analytics.zoho.com/open-view/2395394000008161229?ZOHO_CRITERIA=%22Localiza%20Chile%22.%22Codcom%22%3D13108" u="1"/>
        <s v="https://analytics.zoho.com/open-view/2395394000008161231?ZOHO_CRITERIA=%22Localiza%20Chile%22.%22Codcom%22%3D13108" u="1"/>
        <s v="https://analytics.zoho.com/open-view/2395394000008161220?ZOHO_CRITERIA=%22Localiza%20Chile%22.%22Codcom%22%3D13118" u="1"/>
        <s v="https://analytics.zoho.com/open-view/2395394000008161221?ZOHO_CRITERIA=%22Localiza%20Chile%22.%22Codcom%22%3D13118" u="1"/>
        <s v="https://analytics.zoho.com/open-view/2395394000008161222?ZOHO_CRITERIA=%22Localiza%20Chile%22.%22Codcom%22%3D13118" u="1"/>
        <s v="https://analytics.zoho.com/open-view/2395394000008161223?ZOHO_CRITERIA=%22Localiza%20Chile%22.%22Codcom%22%3D13118" u="1"/>
        <s v="https://analytics.zoho.com/open-view/2395394000008161224?ZOHO_CRITERIA=%22Localiza%20Chile%22.%22Codcom%22%3D13118" u="1"/>
        <s v="https://analytics.zoho.com/open-view/2395394000008161225?ZOHO_CRITERIA=%22Localiza%20Chile%22.%22Codcom%22%3D13118" u="1"/>
        <s v="https://analytics.zoho.com/open-view/2395394000008161226?ZOHO_CRITERIA=%22Localiza%20Chile%22.%22Codcom%22%3D13118" u="1"/>
        <s v="https://analytics.zoho.com/open-view/2395394000008161227?ZOHO_CRITERIA=%22Localiza%20Chile%22.%22Codcom%22%3D13118" u="1"/>
        <s v="https://analytics.zoho.com/open-view/2395394000008161228?ZOHO_CRITERIA=%22Localiza%20Chile%22.%22Codcom%22%3D13118" u="1"/>
        <s v="https://analytics.zoho.com/open-view/2395394000008161229?ZOHO_CRITERIA=%22Localiza%20Chile%22.%22Codcom%22%3D13118" u="1"/>
        <s v="https://analytics.zoho.com/open-view/2395394000008161231?ZOHO_CRITERIA=%22Localiza%20Chile%22.%22Codcom%22%3D13118" u="1"/>
        <s v="https://analytics.zoho.com/open-view/2395394000008161220?ZOHO_CRITERIA=%22Localiza%20Chile%22.%22Codcom%22%3D13128" u="1"/>
        <s v="https://analytics.zoho.com/open-view/2395394000008161221?ZOHO_CRITERIA=%22Localiza%20Chile%22.%22Codcom%22%3D13128" u="1"/>
        <s v="https://analytics.zoho.com/open-view/2395394000008161222?ZOHO_CRITERIA=%22Localiza%20Chile%22.%22Codcom%22%3D13128" u="1"/>
        <s v="https://analytics.zoho.com/open-view/2395394000008161223?ZOHO_CRITERIA=%22Localiza%20Chile%22.%22Codcom%22%3D13128" u="1"/>
        <s v="https://analytics.zoho.com/open-view/2395394000008161224?ZOHO_CRITERIA=%22Localiza%20Chile%22.%22Codcom%22%3D13128" u="1"/>
        <s v="https://analytics.zoho.com/open-view/2395394000008161225?ZOHO_CRITERIA=%22Localiza%20Chile%22.%22Codcom%22%3D13128" u="1"/>
        <s v="https://analytics.zoho.com/open-view/2395394000008161226?ZOHO_CRITERIA=%22Localiza%20Chile%22.%22Codcom%22%3D13128" u="1"/>
        <s v="https://analytics.zoho.com/open-view/2395394000008161227?ZOHO_CRITERIA=%22Localiza%20Chile%22.%22Codcom%22%3D13128" u="1"/>
        <s v="https://analytics.zoho.com/open-view/2395394000008161228?ZOHO_CRITERIA=%22Localiza%20Chile%22.%22Codcom%22%3D13128" u="1"/>
        <s v="https://analytics.zoho.com/open-view/2395394000008161229?ZOHO_CRITERIA=%22Localiza%20Chile%22.%22Codcom%22%3D13128" u="1"/>
        <s v="https://analytics.zoho.com/open-view/2395394000008161231?ZOHO_CRITERIA=%22Localiza%20Chile%22.%22Codcom%22%3D13128" u="1"/>
        <s v="https://analytics.zoho.com/open-view/2395394000008161220?ZOHO_CRITERIA=%22Localiza%20Chile%22.%22Codcom%22%3D12401" u="1"/>
        <s v="https://analytics.zoho.com/open-view/2395394000008161221?ZOHO_CRITERIA=%22Localiza%20Chile%22.%22Codcom%22%3D12401" u="1"/>
        <s v="https://analytics.zoho.com/open-view/2395394000008161222?ZOHO_CRITERIA=%22Localiza%20Chile%22.%22Codcom%22%3D12401" u="1"/>
        <s v="https://analytics.zoho.com/open-view/2395394000008161223?ZOHO_CRITERIA=%22Localiza%20Chile%22.%22Codcom%22%3D12401" u="1"/>
        <s v="https://analytics.zoho.com/open-view/2395394000008161224?ZOHO_CRITERIA=%22Localiza%20Chile%22.%22Codcom%22%3D12401" u="1"/>
        <s v="https://analytics.zoho.com/open-view/2395394000008161225?ZOHO_CRITERIA=%22Localiza%20Chile%22.%22Codcom%22%3D12401" u="1"/>
        <s v="https://analytics.zoho.com/open-view/2395394000008161226?ZOHO_CRITERIA=%22Localiza%20Chile%22.%22Codcom%22%3D12401" u="1"/>
        <s v="https://analytics.zoho.com/open-view/2395394000008161227?ZOHO_CRITERIA=%22Localiza%20Chile%22.%22Codcom%22%3D12401" u="1"/>
        <s v="https://analytics.zoho.com/open-view/2395394000008161228?ZOHO_CRITERIA=%22Localiza%20Chile%22.%22Codcom%22%3D12401" u="1"/>
        <s v="https://analytics.zoho.com/open-view/2395394000008161229?ZOHO_CRITERIA=%22Localiza%20Chile%22.%22Codcom%22%3D12401" u="1"/>
        <s v="https://analytics.zoho.com/open-view/2395394000008161231?ZOHO_CRITERIA=%22Localiza%20Chile%22.%22Codcom%22%3D12401" u="1"/>
        <s v="https://analytics.zoho.com/open-view/2395394000008161220?ZOHO_CRITERIA=%22Localiza%20Chile%22.%22Codcom%22%3D13201" u="1"/>
        <s v="https://analytics.zoho.com/open-view/2395394000008161221?ZOHO_CRITERIA=%22Localiza%20Chile%22.%22Codcom%22%3D13201" u="1"/>
        <s v="https://analytics.zoho.com/open-view/2395394000008161222?ZOHO_CRITERIA=%22Localiza%20Chile%22.%22Codcom%22%3D13201" u="1"/>
        <s v="https://analytics.zoho.com/open-view/2395394000008161223?ZOHO_CRITERIA=%22Localiza%20Chile%22.%22Codcom%22%3D13201" u="1"/>
        <s v="https://analytics.zoho.com/open-view/2395394000008161224?ZOHO_CRITERIA=%22Localiza%20Chile%22.%22Codcom%22%3D13201" u="1"/>
        <s v="https://analytics.zoho.com/open-view/2395394000008161225?ZOHO_CRITERIA=%22Localiza%20Chile%22.%22Codcom%22%3D13201" u="1"/>
        <s v="https://analytics.zoho.com/open-view/2395394000008161226?ZOHO_CRITERIA=%22Localiza%20Chile%22.%22Codcom%22%3D13201" u="1"/>
        <s v="https://analytics.zoho.com/open-view/2395394000008161227?ZOHO_CRITERIA=%22Localiza%20Chile%22.%22Codcom%22%3D13201" u="1"/>
        <s v="https://analytics.zoho.com/open-view/2395394000008161228?ZOHO_CRITERIA=%22Localiza%20Chile%22.%22Codcom%22%3D13201" u="1"/>
        <s v="https://analytics.zoho.com/open-view/2395394000008161229?ZOHO_CRITERIA=%22Localiza%20Chile%22.%22Codcom%22%3D13201" u="1"/>
        <s v="https://analytics.zoho.com/open-view/2395394000008161231?ZOHO_CRITERIA=%22Localiza%20Chile%22.%22Codcom%22%3D13201" u="1"/>
        <s v="https://analytics.zoho.com/open-view/2395394000008161220?ZOHO_CRITERIA=%22Localiza%20Chile%22.%22Codcom%22%3D13109" u="1"/>
        <s v="https://analytics.zoho.com/open-view/2395394000008161221?ZOHO_CRITERIA=%22Localiza%20Chile%22.%22Codcom%22%3D13109" u="1"/>
        <s v="https://analytics.zoho.com/open-view/2395394000008161222?ZOHO_CRITERIA=%22Localiza%20Chile%22.%22Codcom%22%3D13109" u="1"/>
        <s v="https://analytics.zoho.com/open-view/2395394000008161223?ZOHO_CRITERIA=%22Localiza%20Chile%22.%22Codcom%22%3D13109" u="1"/>
        <s v="https://analytics.zoho.com/open-view/2395394000008161224?ZOHO_CRITERIA=%22Localiza%20Chile%22.%22Codcom%22%3D13109" u="1"/>
        <s v="https://analytics.zoho.com/open-view/2395394000008161225?ZOHO_CRITERIA=%22Localiza%20Chile%22.%22Codcom%22%3D13109" u="1"/>
        <s v="https://analytics.zoho.com/open-view/2395394000008161226?ZOHO_CRITERIA=%22Localiza%20Chile%22.%22Codcom%22%3D13109" u="1"/>
        <s v="https://analytics.zoho.com/open-view/2395394000008161227?ZOHO_CRITERIA=%22Localiza%20Chile%22.%22Codcom%22%3D13109" u="1"/>
        <s v="https://analytics.zoho.com/open-view/2395394000008161228?ZOHO_CRITERIA=%22Localiza%20Chile%22.%22Codcom%22%3D13109" u="1"/>
        <s v="https://analytics.zoho.com/open-view/2395394000008161229?ZOHO_CRITERIA=%22Localiza%20Chile%22.%22Codcom%22%3D13109" u="1"/>
        <s v="https://analytics.zoho.com/open-view/2395394000008161231?ZOHO_CRITERIA=%22Localiza%20Chile%22.%22Codcom%22%3D13109" u="1"/>
        <s v="https://analytics.zoho.com/open-view/2395394000008161220?ZOHO_CRITERIA=%22Localiza%20Chile%22.%22Codcom%22%3D13119" u="1"/>
        <s v="https://analytics.zoho.com/open-view/2395394000008161221?ZOHO_CRITERIA=%22Localiza%20Chile%22.%22Codcom%22%3D13119" u="1"/>
        <s v="https://analytics.zoho.com/open-view/2395394000008161222?ZOHO_CRITERIA=%22Localiza%20Chile%22.%22Codcom%22%3D13119" u="1"/>
        <s v="https://analytics.zoho.com/open-view/2395394000008161223?ZOHO_CRITERIA=%22Localiza%20Chile%22.%22Codcom%22%3D13119" u="1"/>
        <s v="https://analytics.zoho.com/open-view/2395394000008161224?ZOHO_CRITERIA=%22Localiza%20Chile%22.%22Codcom%22%3D13119" u="1"/>
        <s v="https://analytics.zoho.com/open-view/2395394000008161225?ZOHO_CRITERIA=%22Localiza%20Chile%22.%22Codcom%22%3D13119" u="1"/>
        <s v="https://analytics.zoho.com/open-view/2395394000008161226?ZOHO_CRITERIA=%22Localiza%20Chile%22.%22Codcom%22%3D13119" u="1"/>
        <s v="https://analytics.zoho.com/open-view/2395394000008161227?ZOHO_CRITERIA=%22Localiza%20Chile%22.%22Codcom%22%3D13119" u="1"/>
        <s v="https://analytics.zoho.com/open-view/2395394000008161228?ZOHO_CRITERIA=%22Localiza%20Chile%22.%22Codcom%22%3D13119" u="1"/>
        <s v="https://analytics.zoho.com/open-view/2395394000008161229?ZOHO_CRITERIA=%22Localiza%20Chile%22.%22Codcom%22%3D13119" u="1"/>
        <s v="https://analytics.zoho.com/open-view/2395394000008161231?ZOHO_CRITERIA=%22Localiza%20Chile%22.%22Codcom%22%3D13119" u="1"/>
        <s v="https://analytics.zoho.com/open-view/2395394000008161220?ZOHO_CRITERIA=%22Localiza%20Chile%22.%22Codcom%22%3D13129" u="1"/>
        <s v="https://analytics.zoho.com/open-view/2395394000008161221?ZOHO_CRITERIA=%22Localiza%20Chile%22.%22Codcom%22%3D13129" u="1"/>
        <s v="https://analytics.zoho.com/open-view/2395394000008161222?ZOHO_CRITERIA=%22Localiza%20Chile%22.%22Codcom%22%3D13129" u="1"/>
        <s v="https://analytics.zoho.com/open-view/2395394000008161223?ZOHO_CRITERIA=%22Localiza%20Chile%22.%22Codcom%22%3D13129" u="1"/>
        <s v="https://analytics.zoho.com/open-view/2395394000008161224?ZOHO_CRITERIA=%22Localiza%20Chile%22.%22Codcom%22%3D13129" u="1"/>
        <s v="https://analytics.zoho.com/open-view/2395394000008161225?ZOHO_CRITERIA=%22Localiza%20Chile%22.%22Codcom%22%3D13129" u="1"/>
        <s v="https://analytics.zoho.com/open-view/2395394000008161226?ZOHO_CRITERIA=%22Localiza%20Chile%22.%22Codcom%22%3D13129" u="1"/>
        <s v="https://analytics.zoho.com/open-view/2395394000008161227?ZOHO_CRITERIA=%22Localiza%20Chile%22.%22Codcom%22%3D13129" u="1"/>
        <s v="https://analytics.zoho.com/open-view/2395394000008161228?ZOHO_CRITERIA=%22Localiza%20Chile%22.%22Codcom%22%3D13129" u="1"/>
        <s v="https://analytics.zoho.com/open-view/2395394000008161229?ZOHO_CRITERIA=%22Localiza%20Chile%22.%22Codcom%22%3D13129" u="1"/>
        <s v="https://analytics.zoho.com/open-view/2395394000008161231?ZOHO_CRITERIA=%22Localiza%20Chile%22.%22Codcom%22%3D13129" u="1"/>
        <s v="https://analytics.zoho.com/open-view/2395394000008161220?ZOHO_CRITERIA=%22Localiza%20Chile%22.%22Codcom%22%3D12402" u="1"/>
        <s v="https://analytics.zoho.com/open-view/2395394000008161221?ZOHO_CRITERIA=%22Localiza%20Chile%22.%22Codcom%22%3D12402" u="1"/>
        <s v="https://analytics.zoho.com/open-view/2395394000008161222?ZOHO_CRITERIA=%22Localiza%20Chile%22.%22Codcom%22%3D12402" u="1"/>
        <s v="https://analytics.zoho.com/open-view/2395394000008161223?ZOHO_CRITERIA=%22Localiza%20Chile%22.%22Codcom%22%3D12402" u="1"/>
        <s v="https://analytics.zoho.com/open-view/2395394000008161224?ZOHO_CRITERIA=%22Localiza%20Chile%22.%22Codcom%22%3D12402" u="1"/>
        <s v="https://analytics.zoho.com/open-view/2395394000008161225?ZOHO_CRITERIA=%22Localiza%20Chile%22.%22Codcom%22%3D12402" u="1"/>
        <s v="https://analytics.zoho.com/open-view/2395394000008161226?ZOHO_CRITERIA=%22Localiza%20Chile%22.%22Codcom%22%3D12402" u="1"/>
        <s v="https://analytics.zoho.com/open-view/2395394000008161227?ZOHO_CRITERIA=%22Localiza%20Chile%22.%22Codcom%22%3D12402" u="1"/>
        <s v="https://analytics.zoho.com/open-view/2395394000008161228?ZOHO_CRITERIA=%22Localiza%20Chile%22.%22Codcom%22%3D12402" u="1"/>
        <s v="https://analytics.zoho.com/open-view/2395394000008161229?ZOHO_CRITERIA=%22Localiza%20Chile%22.%22Codcom%22%3D12402" u="1"/>
        <s v="https://analytics.zoho.com/open-view/2395394000008161231?ZOHO_CRITERIA=%22Localiza%20Chile%22.%22Codcom%22%3D12402" u="1"/>
        <s v="https://analytics.zoho.com/open-view/2395394000008161153" u="1"/>
        <s v="https://analytics.zoho.com/open-view/2395394000008161154" u="1"/>
        <s v="https://analytics.zoho.com/open-view/2395394000008161155" u="1"/>
        <s v="https://analytics.zoho.com/open-view/2395394000008161157" u="1"/>
        <s v="https://analytics.zoho.com/open-view/2395394000008161220?ZOHO_CRITERIA=%22Localiza%20Chile%22.%22Codcom%22%3D13202" u="1"/>
        <s v="https://analytics.zoho.com/open-view/2395394000008161221?ZOHO_CRITERIA=%22Localiza%20Chile%22.%22Codcom%22%3D13202" u="1"/>
        <s v="https://analytics.zoho.com/open-view/2395394000008161222?ZOHO_CRITERIA=%22Localiza%20Chile%22.%22Codcom%22%3D13202" u="1"/>
        <s v="https://analytics.zoho.com/open-view/2395394000008161223?ZOHO_CRITERIA=%22Localiza%20Chile%22.%22Codcom%22%3D13202" u="1"/>
        <s v="https://analytics.zoho.com/open-view/2395394000008161224?ZOHO_CRITERIA=%22Localiza%20Chile%22.%22Codcom%22%3D13202" u="1"/>
        <s v="https://analytics.zoho.com/open-view/2395394000008161225?ZOHO_CRITERIA=%22Localiza%20Chile%22.%22Codcom%22%3D13202" u="1"/>
        <s v="https://analytics.zoho.com/open-view/2395394000008161226?ZOHO_CRITERIA=%22Localiza%20Chile%22.%22Codcom%22%3D13202" u="1"/>
        <s v="https://analytics.zoho.com/open-view/2395394000008161227?ZOHO_CRITERIA=%22Localiza%20Chile%22.%22Codcom%22%3D13202" u="1"/>
        <s v="https://analytics.zoho.com/open-view/2395394000008161228?ZOHO_CRITERIA=%22Localiza%20Chile%22.%22Codcom%22%3D13202" u="1"/>
        <s v="https://analytics.zoho.com/open-view/2395394000008161229?ZOHO_CRITERIA=%22Localiza%20Chile%22.%22Codcom%22%3D13202" u="1"/>
        <s v="https://analytics.zoho.com/open-view/2395394000008161231?ZOHO_CRITERIA=%22Localiza%20Chile%22.%22Codcom%22%3D13202" u="1"/>
      </sharedItems>
    </cacheField>
    <cacheField name="Suscripcion" numFmtId="0">
      <sharedItems containsMixedTypes="1" containsNumber="1" containsInteger="1" minValue="0" maxValue="0"/>
    </cacheField>
    <cacheField name="Color" numFmtId="0">
      <sharedItems/>
    </cacheField>
    <cacheField name="id_grafico" numFmtId="0">
      <sharedItems/>
    </cacheField>
    <cacheField name="idterritorio" numFmtId="0">
      <sharedItems containsMixedTypes="1" containsNumber="1" containsInteger="1" minValue="40100000" maxValue="40200016"/>
    </cacheField>
    <cacheField name="id_tema" numFmtId="0">
      <sharedItems/>
    </cacheField>
    <cacheField name="id_contenido" numFmtId="0">
      <sharedItems/>
    </cacheField>
    <cacheField name="idfiltro" numFmtId="0">
      <sharedItems/>
    </cacheField>
    <cacheField name="id_muestra" numFmtId="0">
      <sharedItems/>
    </cacheField>
  </cacheFields>
  <extLst>
    <ext xmlns:x14="http://schemas.microsoft.com/office/spreadsheetml/2009/9/main" uri="{725AE2AE-9491-48be-B2B4-4EB974FC3084}">
      <x14:pivotCacheDefinition pivotCacheId="3836513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18.700751041666" createdVersion="7" refreshedVersion="7" minRefreshableVersion="3" recordCount="729" xr:uid="{8FBF8968-6F1D-4FB3-A103-E788B558106B}">
  <cacheSource type="worksheet">
    <worksheetSource ref="A10:U739" sheet="Violencia contra la mujer"/>
  </cacheSource>
  <cacheFields count="21">
    <cacheField name="id" numFmtId="0">
      <sharedItems containsBlank="1"/>
    </cacheField>
    <cacheField name="idcoleccion" numFmtId="0">
      <sharedItems containsSemiMixedTypes="0" containsString="0" containsNumber="1" containsInteger="1" minValue="300" maxValue="300"/>
    </cacheField>
    <cacheField name="coleccion" numFmtId="0">
      <sharedItems/>
    </cacheField>
    <cacheField name="sector" numFmtId="0">
      <sharedItems/>
    </cacheField>
    <cacheField name="Filtro URL" numFmtId="0">
      <sharedItems containsMixedTypes="1" containsNumber="1" containsInteger="1" minValue="0" maxValue="270110003"/>
    </cacheField>
    <cacheField name="tema" numFmtId="0">
      <sharedItems count="42">
        <s v="Centros de la Mujer"/>
        <s v="Centros de Atención y Reparación para Mujeres Víctimas/Sobrevivientes de Violencia Sexual"/>
        <s v="Centros de Reeducación de Hombres"/>
        <s v="Casas de Acogida"/>
        <s v="Atenciones por procedimiento"/>
        <s v="Sentencias por delito de abuso sexual"/>
        <s v="Delitos violentos"/>
        <s v="Delitos Contra el Estado Civil y la Familia"/>
        <s v="Delitos Contra la Vida, Integridad o Dignidad Personal"/>
        <s v="Delitos (todos)"/>
        <s v="Juzgados de Garantía"/>
        <s v="Atenciones de Salud"/>
        <s v="Servicio Nacional de Salud"/>
        <s v="Concepto de Atención"/>
        <s v="Encuesta Nacional sobre Acoso Callejero"/>
        <s v="Aprehensiones por Trimestres"/>
        <s v="Casos Policiales por Trimestres"/>
        <s v="Denuncias por Trimestres"/>
        <s v="Detenciones por Trimestres"/>
        <s v="Aprehensiones, Casos Policiales, Denuncias y Detenciones por Trimestres"/>
        <s v="Aprehensiones por Año"/>
        <s v="Casos Policiales por Año"/>
        <s v="Denuncias por Año"/>
        <s v="Detenciones por Año"/>
        <s v="Aprehensiones, Casos Policiales, Denuncias y Detenciones por Año"/>
        <s v="Casos Confirmados" u="1"/>
        <s v="Ingreso Promedio Regional" u="1"/>
        <s v="Vacunación" u="1"/>
        <s v="Paso a Paso y Vacunación" u="1"/>
        <s v="Ingreso Promedio Comunal" u="1"/>
        <s v="Exámenes PCR" u="1"/>
        <s v="Indicadores de Desarrollo Personal y Social" u="1"/>
        <s v="Activos" u="1"/>
        <s v="Ingreso Promedio Nacional" u="1"/>
        <s v="Etapas Paso a Paso" u="1"/>
        <s v="Ingreso por Sexo" u="1"/>
        <s v="Fallecidos" u="1"/>
        <s v="Residencias" u="1"/>
        <s v="otro" u="1"/>
        <s v="Sentencias por delitos contra la mujer" u="1"/>
        <s v="Positividad" u="1"/>
        <s v="Paso a Paso y Activos" u="1"/>
      </sharedItems>
    </cacheField>
    <cacheField name="contenido" numFmtId="0">
      <sharedItems count="42">
        <s v="Centros de Apoyo"/>
        <s v="Abuso Sexual"/>
        <s v="Sentencias por delitos vinculados a la mujer"/>
        <s v="Atenciones de Salud por Violencia de Género"/>
        <s v="Acoso Callejero"/>
        <s v="Violencia Intrafamiliar"/>
        <s v="Violación"/>
        <s v="Evolución COVID-19" u="1"/>
        <s v="Ingreso por Etnia" u="1"/>
        <s v="Ingresos Regionales" u="1"/>
        <s v="Hábitos de vida saludable" u="1"/>
        <s v="Delitos contra la mujer" u="1"/>
        <s v="Ingresos Nacionales" u="1"/>
        <s v="Indicadores de Desarrollo Personal y Social" u="1"/>
        <s v="Evolución COVID-30" u="1"/>
        <s v="Medidas Sanitarias" u="1"/>
        <s v="Ingreso por Sexo-Alfabetismo" u="1"/>
        <s v="Evolución COVID-31" u="1"/>
        <s v="Evolución COVID-32" u="1"/>
        <s v="Evolución COVID-33" u="1"/>
        <s v="Evolución COVID-34" u="1"/>
        <s v="Evolución COVID-35" u="1"/>
        <s v="Establacimientos de Apoyo" u="1"/>
        <s v="Evolución Vacunación" u="1"/>
        <s v="Ingreso por Sexo" u="1"/>
        <s v="Evolución COVID-20" u="1"/>
        <s v="Evolución COVID-21" u="1"/>
        <s v="Evolución COVID-22" u="1"/>
        <s v="Evolución COVID-23" u="1"/>
        <s v="Evolución COVID-24" u="1"/>
        <s v="Clima de Convivencia escolar" u="1"/>
        <s v="Evolución COVID-25" u="1"/>
        <s v="Evolución COVID-26" u="1"/>
        <s v="Ingresos Comunales" u="1"/>
        <s v="Otro" u="1"/>
        <s v="Evolución COVID-27" u="1"/>
        <s v="Participación y formación ciudadana" u="1"/>
        <s v="Evolución COVID-28" u="1"/>
        <s v="Ingreso por Alfabetismo" u="1"/>
        <s v="Evolución COVID-29" u="1"/>
        <s v="Autoestima y Motivación" u="1"/>
        <s v="Paso a Paso" u="1"/>
      </sharedItems>
    </cacheField>
    <cacheField name="escala" numFmtId="0">
      <sharedItems count="5">
        <s v="País"/>
        <s v="Región"/>
        <s v="Comuna"/>
        <s v="Regional" u="1"/>
        <s v="Comunal" u="1"/>
      </sharedItems>
    </cacheField>
    <cacheField name="territorio" numFmtId="0">
      <sharedItems containsBlank="1" count="385">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s v="Iquique"/>
        <s v="Antofagasta"/>
        <s v="Calama"/>
        <s v="Tocopilla"/>
        <s v="Copiapo"/>
        <s v="Diego de Almagro"/>
        <s v="Vallenar"/>
        <s v="Coquimbo"/>
        <s v="Illapel"/>
        <s v="La Serena"/>
        <s v="Ovalle"/>
        <s v="Vicuña"/>
        <s v="Calera"/>
        <s v="La Ligua"/>
        <s v="Limache"/>
        <s v="Los Andes"/>
        <s v="Quillota"/>
        <s v="Quilpue"/>
        <s v="San Felipe"/>
        <s v="Valparaiso"/>
        <s v="Villa Alemana"/>
        <s v="Viña Del Mar"/>
        <s v="Graneros"/>
        <s v="Rancagua"/>
        <s v="Rengo"/>
        <s v="San Fernando"/>
        <s v="San Vicente"/>
        <s v="Santa Cruz"/>
        <s v="Cauquenes"/>
        <s v="Constitucion"/>
        <s v="Curico"/>
        <s v="Linares"/>
        <s v="Molina"/>
        <s v="Parral"/>
        <s v="San Javier"/>
        <s v="Talca"/>
        <s v="Arauco"/>
        <s v="Cañete"/>
        <s v="Chiguayante"/>
        <s v="Concepcion"/>
        <s v="Coronel"/>
        <s v="Los Angeles"/>
        <s v="Talcahuano"/>
        <s v="Tome"/>
        <s v="Angol"/>
        <s v="Lautaro"/>
        <s v="Loncoche"/>
        <s v="Nueva Imperial"/>
        <s v="Pitrufquen"/>
        <s v="Temuco"/>
        <s v="Victoria"/>
        <s v="Villarrica"/>
        <s v="Ancud"/>
        <s v="Castro"/>
        <s v="Osorno"/>
        <s v="Puerto Montt"/>
        <s v="Puerto Varas"/>
        <s v="Rio Negro"/>
        <s v="Coyhaique"/>
        <s v="Punta Arenas"/>
        <s v="Santiago"/>
        <s v="Los Lagos"/>
        <s v="Mariquina"/>
        <s v="Valdivia"/>
        <s v="Arica"/>
        <s v="Chillan"/>
        <s v="San Carlos"/>
        <s v="Yungay"/>
        <s v="Tarapacá"/>
        <s v="Atacama"/>
        <s v="Valparaíso"/>
        <s v="O Higgins"/>
        <s v="Maule"/>
        <s v="Biobío"/>
        <s v="Araucanía"/>
        <s v="Aysén"/>
        <s v="Magallanes"/>
        <s v="Metropolitana"/>
        <s v="Los Ríos"/>
        <s v="Arica y Parinacota"/>
        <s v="Ñuble"/>
        <s v="Pirque" u="1"/>
        <s v="Ollagüe" u="1"/>
        <s v="Peñaflor" u="1"/>
        <s v="Coihaique" u="1"/>
        <s v="Padre las Casas" u="1"/>
        <m u="1"/>
        <s v="Aisén" u="1"/>
        <s v="Chanco" u="1"/>
        <s v="Doñihue" u="1"/>
        <s v="Llaillay" u="1"/>
        <s v="Torres del Paine" u="1"/>
        <s v="Cunco" u="1"/>
        <s v="Calbuco" u="1"/>
        <s v="Putaendo" u="1"/>
        <s v="Pichilemu" u="1"/>
        <s v="Calle Larga" u="1"/>
        <s v="San Gregorio" u="1"/>
        <s v="Olivar" u="1"/>
        <s v="Lago Ranco" u="1"/>
        <s v="Pudahuel" u="1"/>
        <s v="Treguaco" u="1"/>
        <s v="Río Ibáñez" u="1"/>
        <s v="Santa María" u="1"/>
        <s v="Tomé" u="1"/>
        <s v="Río Bueno" u="1"/>
        <s v="Marchihue" u="1"/>
        <s v="Hijuelas" u="1"/>
        <s v="Purranque" u="1"/>
        <s v="Río Verde" u="1"/>
        <s v="Las Cabras" u="1"/>
        <s v="Gorbea" u="1"/>
        <s v="Placilla" u="1"/>
        <s v="Tierra Amarilla" u="1"/>
        <s v="Freirina" u="1"/>
        <s v="La Unión" u="1"/>
        <s v="Constitución" u="1"/>
        <s v="Rauco" u="1"/>
        <s v="Antuco" u="1"/>
        <s v="El Carmen" u="1"/>
        <s v="Punitaqui" u="1"/>
        <s v="San Fabián" u="1"/>
        <s v="La Estrella" u="1"/>
        <s v="Pozo Almonte" u="1"/>
        <s v="Caldera" u="1"/>
        <s v="Licantén" u="1"/>
        <s v="San Clemente" u="1"/>
        <s v="Pucón" u="1"/>
        <s v="Colina" u="1"/>
        <s v="Yumbel" u="1"/>
        <s v="Pelarco" u="1"/>
        <s v="Tucapel" u="1"/>
        <s v="Coltauco" u="1"/>
        <s v="Pitrufquén" u="1"/>
        <s v="Los Muermos" u="1"/>
        <s v="Máfil" u="1"/>
        <s v="Penco" u="1"/>
        <s v="Melipeuco" u="1"/>
        <s v="Paredones" u="1"/>
        <s v="Cerro Navia" u="1"/>
        <s v="Alto Hospicio" u="1"/>
        <s v="Juan Fernández" u="1"/>
        <s v="Renca" u="1"/>
        <s v="Mulchén" u="1"/>
        <s v="Navidad" u="1"/>
        <s v="Guaitecas" u="1"/>
        <s v="Chillán Viejo" u="1"/>
        <s v="Macul" u="1"/>
        <s v="Lumaco" u="1"/>
        <s v="Cochrane" u="1"/>
        <s v="Hualaihué" u="1"/>
        <s v="Quilicura" u="1"/>
        <s v="Petorca" u="1"/>
        <s v="Puyehue" u="1"/>
        <s v="Chonchi" u="1"/>
        <s v="Hualañé" u="1"/>
        <s v="Chañaral" u="1"/>
        <s v="Paiguano" u="1"/>
        <s v="Providencia" u="1"/>
        <s v="Puerto Octay" u="1"/>
        <s v="Casablanca" u="1"/>
        <s v="Lampa" u="1"/>
        <s v="Chillán" u="1"/>
        <s v="Primavera" u="1"/>
        <s v="La Cisterna" u="1"/>
        <s v="Laguna Blanca" u="1"/>
        <s v="Cabrero" u="1"/>
        <s v="Mostazal" u="1"/>
        <s v="Lota" u="1"/>
        <s v="Tortel" u="1"/>
        <s v="Hualqui" u="1"/>
        <s v="Contulmo" u="1"/>
        <s v="Timaukel" u="1"/>
        <s v="Galvarino" u="1"/>
        <s v="Curacautín" u="1"/>
        <s v="San Rosendo" u="1"/>
        <s v="Curicó" u="1"/>
        <s v="La Cruz" u="1"/>
        <s v="Los Vilos" u="1"/>
        <s v="Cobquecura" u="1"/>
        <s v="Combarbalá" u="1"/>
        <s v="La Florida" u="1"/>
        <s v="San Rafael" u="1"/>
        <s v="Tirúa" u="1"/>
        <s v="Freire" u="1"/>
        <s v="El Monte" u="1"/>
        <s v="La Pintana" u="1"/>
        <s v="Pica" u="1"/>
        <s v="Tiltil" u="1"/>
        <s v="Coelemu" u="1"/>
        <s v="Pichidegua" u="1"/>
        <s v="María Elena" u="1"/>
        <s v="San Bernardo" u="1"/>
        <s v="Peumo" u="1"/>
        <s v="Quilaco" u="1"/>
        <s v="Saavedra" u="1"/>
        <s v="Quinta de Tilcoco" u="1"/>
        <s v="Lanco" u="1"/>
        <s v="Huasco" u="1"/>
        <s v="Curacaví" u="1"/>
        <s v="Dalcahue" u="1"/>
        <s v="Melipilla" u="1"/>
        <s v="Peñalolén" u="1"/>
        <s v="Paine" u="1"/>
        <s v="Talagante" u="1"/>
        <s v="San Antonio" u="1"/>
        <s v="Teodoro Schmidt" u="1"/>
        <s v="Papudo" u="1"/>
        <s v="Chaitén" u="1"/>
        <s v="Cochamó" u="1"/>
        <s v="Nancagua" u="1"/>
        <s v="Taltal" u="1"/>
        <s v="Llanquihue" u="1"/>
        <s v="San Nicolás" u="1"/>
        <s v="San Pedro de la Paz" u="1"/>
        <s v="Huara" u="1"/>
        <s v="Renaico" u="1"/>
        <s v="Porvenir" u="1"/>
        <s v="Vitacura" u="1"/>
        <s v="Sierra Gorda" u="1"/>
        <s v="Isla de Pascua" u="1"/>
        <s v="Queilén" u="1"/>
        <s v="Lonquimay" u="1"/>
        <s v="Huechuraba" u="1"/>
        <s v="San Joaquín" u="1"/>
        <s v="Santa Juana" u="1"/>
        <s v="Estación Central" u="1"/>
        <s v="San Juan de La Costa" u="1"/>
        <s v="Catemu" u="1"/>
        <s v="Retiro" u="1"/>
        <s v="Ñiquén" u="1"/>
        <s v="Cabildo" u="1"/>
        <s v="Coihueco" u="1"/>
        <s v="Pumanque" u="1"/>
        <s v="Concepción" u="1"/>
        <s v="Lago Verde" u="1"/>
        <s v="Lo Barnechea" u="1"/>
        <s v="Carahue" u="1"/>
        <s v="Colchane" u="1"/>
        <s v="Traiguén" u="1"/>
        <s v="Algarrobo" u="1"/>
        <s v="Cerrillos" u="1"/>
        <s v="Frutillar" u="1"/>
        <s v="Vilcún" u="1"/>
        <s v="Paillaco" u="1"/>
        <s v="Quirihue" u="1"/>
        <s v="Andacollo" u="1"/>
        <s v="Río Claro" u="1"/>
        <s v="Bulnes" u="1"/>
        <s v="Quilleco" u="1"/>
        <s v="Futaleufú" u="1"/>
        <s v="Vichuquén" u="1"/>
        <s v="Santo Domingo" u="1"/>
        <s v="Empedrado" u="1"/>
        <s v="Portezuelo" u="1"/>
        <s v="San Miguel" u="1"/>
        <s v="Purén" u="1"/>
        <s v="Pelluhue" u="1"/>
        <s v="Rinconada" u="1"/>
        <s v="Pinto" u="1"/>
        <s v="Fresia" u="1"/>
        <s v="Pemuco" u="1"/>
        <s v="Curarrehue" u="1"/>
        <s v="Buin" u="1"/>
        <s v="Lebu" u="1"/>
        <s v="Camiña" u="1"/>
        <s v="Quellón" u="1"/>
        <s v="Romeral" u="1"/>
        <s v="Pencahue" u="1"/>
        <s v="Quinta Normal" u="1"/>
        <s v="Canela" u="1"/>
        <s v="Nogales" u="1"/>
        <s v="Conchalí" u="1"/>
        <s v="Cartagena" u="1"/>
        <s v="Monte Patria" u="1"/>
        <s v="Alhué" u="1"/>
        <s v="Malloa" u="1"/>
        <s v="El Tabo" u="1"/>
        <s v="Florida" u="1"/>
        <s v="Hualpén" u="1"/>
        <s v="Perquenco" u="1"/>
        <s v="Salamanca" u="1"/>
        <s v="Mejillones" u="1"/>
        <s v="Curaco de Vélez" u="1"/>
        <s v="Negrete" u="1"/>
        <s v="O'Higgins" u="1"/>
        <s v="Panquehue" u="1"/>
        <s v="Longaví" u="1"/>
        <s v="Maullín" u="1"/>
        <s v="Olmué" u="1"/>
        <s v="Ñuñoa" u="1"/>
        <s v="Natales" u="1"/>
        <s v="Quilpué" u="1"/>
        <s v="Lo Prado" u="1"/>
        <s v="Palmilla" u="1"/>
        <s v="El Quisco" u="1"/>
        <s v="Puqueldón" u="1"/>
        <s v="Los Sauces" u="1"/>
        <s v="Río Hurtado" u="1"/>
        <s v="Pedro Aguirre Cerda" u="1"/>
        <s v="Laja" u="1"/>
        <s v="Colbún" u="1"/>
        <s v="Quillón" u="1"/>
        <s v="La Granja" u="1"/>
        <s v="San Pablo" u="1"/>
        <s v="San Ramón" u="1"/>
        <s v="San Ignacio" u="1"/>
        <s v="Ránquil" u="1"/>
        <s v="Chile Chico" u="1"/>
        <s v="Quemchi" u="1"/>
        <s v="Quinchao" u="1"/>
        <s v="Chimbarongo" u="1"/>
        <s v="Putre" u="1"/>
        <s v="Concón" u="1"/>
        <s v="Palena" u="1"/>
        <s v="Toltén" u="1"/>
        <s v="Futrono" u="1"/>
        <s v="Collipulli" u="1"/>
        <s v="Los Alamos" u="1"/>
        <s v="Ercilla" u="1"/>
        <s v="Camarones" u="1"/>
        <s v="Curanilahue" u="1"/>
        <s v="Requínoa" u="1"/>
        <s v="Zapallar" u="1"/>
        <s v="Puchuncaví" u="1"/>
        <s v="Panguipulli" u="1"/>
        <s v="Calera de Tango" u="1"/>
        <s v="Cholchol" u="1"/>
        <s v="Villa Alegre" u="1"/>
        <s v="Sagrada Familia" u="1"/>
        <s v="Curepto" u="1"/>
        <s v="San Pedro" u="1"/>
        <s v="Copiapó" u="1"/>
        <s v="Litueche" u="1"/>
        <s v="Lo Espejo" u="1"/>
        <s v="Puente Alto" u="1"/>
        <s v="Río Negro" u="1"/>
        <s v="Isla de Maipo" u="1"/>
        <s v="Santa Bárbara" u="1"/>
        <s v="Cabo de Hornos" u="1"/>
        <s v="Maipú" u="1"/>
        <s v="Recoleta" u="1"/>
        <s v="Coinco" u="1"/>
        <s v="Chépica" u="1"/>
        <s v="La Reina" u="1"/>
        <s v="La Higuera" u="1"/>
        <s v="Las Condes" u="1"/>
        <s v="María Pinto" u="1"/>
        <s v="Padre Hurtado" u="1"/>
        <s v="Cisnes" u="1"/>
        <s v="General Lagos" u="1"/>
        <s v="Teno" u="1"/>
        <s v="Peralillo" u="1"/>
        <s v="San Esteban" u="1"/>
        <s v="San José de Maipo" u="1"/>
        <s v="San Pedro de Atacama" u="1"/>
        <s v="Lolol" u="1"/>
        <s v="Corral" u="1"/>
        <s v="Ninhue" u="1"/>
        <s v="Alto del Carmen" u="1"/>
        <s v="Codegua" u="1"/>
        <s v="Quintero" u="1"/>
        <s v="Alto Biobío" u="1"/>
        <s v="El Bosque" u="1"/>
        <s v="Nacimiento" u="1"/>
        <s v="Machalí" u="1"/>
        <s v="Independencia" u="1"/>
        <s v="Yerbas Buenas" u="1"/>
      </sharedItems>
    </cacheField>
    <cacheField name="Filtro Integrado" numFmtId="0">
      <sharedItems count="12">
        <s v="Región"/>
        <s v="Comuna"/>
        <s v="Ninguno"/>
        <s v="Región-Comuna"/>
        <s v="Zona" u="1"/>
        <s v="Ruralidad" u="1"/>
        <s v="Comuna-Zona" u="1"/>
        <s v="Comuna-Dependencia-Curso-Año-Establecimiento" u="1"/>
        <s v="Región-Dependencia-Año" u="1"/>
        <s v="Región-Comuna-Zona" u="1"/>
        <s v="Dependencia-Curso-Año" u="1"/>
        <s v="Establecimiento" u="1"/>
      </sharedItems>
    </cacheField>
    <cacheField name="Muestra" numFmtId="0">
      <sharedItems count="60">
        <s v="Cantidad de Centros de la Mujer Nacional"/>
        <s v="Cantidad de Centros de la Mujer Regional"/>
        <s v="Cantidad de Mujeres Atendidas Regional"/>
        <s v="Cantidad de Mujeres Atendidas Nacional"/>
        <s v="Cantidad de Registros Nacional"/>
        <s v="Sentencias Dictadas por Delitos de Abuso Sexual"/>
        <s v="Variación Trimestral de Sentencias Dictadas (%) por Delitos de Abuso Sexual "/>
        <s v="Mapa de Sentencias Dictadas Acumuladas"/>
        <s v="Mapa de Sentencias Dictadas"/>
        <s v="Sentencias Dictadas por Delitos Vinculados a la Mujer"/>
        <s v="Variación Trimestral de Sentencias Dictadas (%)"/>
        <s v="Atenciones médicas por violencia de género"/>
        <s v="Proporción de respuesta de mujeres y hombres"/>
        <s v="Aprehensiones "/>
        <s v="Casos Policiales"/>
        <s v="Denuncias"/>
        <s v="Detenciones"/>
        <s v="Aprehensiones, Casos Policiales, Denuncias y Detenciones"/>
        <s v="Variación Trimestral de Aprehensiones"/>
        <s v="Variación Trimestral de Casos Policiales"/>
        <s v="Variación Trimestral de Denuncias"/>
        <s v="Variación Trimestral de Detenciones"/>
        <s v="Variación Trimestral de Aprehensiones, Casos policiales, Denuncias y Detenciones"/>
        <s v="Aprehensiones"/>
        <s v="Variación Anual de Aprehensiones"/>
        <s v="Variación Anual de Casos Policiales"/>
        <s v="Variación Anual de Denuncias"/>
        <s v="Variación Anual de Detenciones"/>
        <s v="Variación Anual de Aprehensiones, Casos Policiales, Denuncias y Detenciones"/>
        <s v="Comuna" u="1"/>
        <s v="Casos Confirmados" u="1"/>
        <s v="Ingreso por Etnia" u="1"/>
        <s v="Ingreso Hombres - Alfabetismo" u="1"/>
        <s v="Ingreso Mujeres - Alfabetismo" u="1"/>
        <s v="Fallecidos Diarios" u="1"/>
        <s v="Región" u="1"/>
        <s v="Casos Activos" u="1"/>
        <s v="Etapas Históricas - Vacunación" u="1"/>
        <s v="Cupos Disponibles" u="1"/>
        <s v="Etapas Históricas" u="1"/>
        <s v="Etapa Actual" u="1"/>
        <s v="Activos por 1 Millón Habitantes" u="1"/>
        <s v="Ingreso Nacional" u="1"/>
        <s v="Vacunación-Casos Activos" u="1"/>
        <s v="Cupos-Usuarios" u="1"/>
        <s v="Ingreso Comunal" u="1"/>
        <s v="Vacunación 1era y 2da dosis" u="1"/>
        <s v="Variación Ingreso Regional" u="1"/>
        <s v="Variación Ingreso por Sexo" u="1"/>
        <s v="Etapas Históricas -Casos Activos" u="1"/>
        <s v="Variación Ingreso por Etnia" u="1"/>
        <s v="Ingreso por Sexo" u="1"/>
        <s v="Fallecidos por 1 Millón Habitantes" u="1"/>
        <s v="Ingreso por Alfabetismo" u="1"/>
        <s v="Exámenes realizados" u="1"/>
        <s v="Variación Ingreso Comunal" u="1"/>
        <s v="Establecimiento" u="1"/>
        <s v="Positividad" u="1"/>
        <s v="Ingreso Regional" u="1"/>
        <s v="Variación Ingreso Nacional" u="1"/>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longText="1"/>
    </cacheField>
    <cacheField name="visualizacion" numFmtId="0">
      <sharedItems/>
    </cacheField>
    <cacheField name="tag" numFmtId="0">
      <sharedItems/>
    </cacheField>
    <cacheField name="url" numFmtId="0">
      <sharedItems/>
    </cacheField>
    <cacheField name="Suscripcion" numFmtId="0">
      <sharedItems containsMixedTypes="1" containsNumber="1" containsInteger="1" minValue="0" maxValue="100200302" count="55">
        <s v="300-R"/>
        <s v="100-C-1"/>
        <s v="100-C-2"/>
        <s v="100-C-3"/>
        <s v="100-C-4"/>
        <s v="100-C-5"/>
        <s v="100-C-6"/>
        <s v="100-C-7"/>
        <s v="100-C-8"/>
        <s v="100-C-9"/>
        <s v="100-C-10"/>
        <s v="100-C-11"/>
        <s v="100-C-12"/>
        <s v="200-C-13"/>
        <s v="100-C-14"/>
        <s v="100-C-15"/>
        <s v="100-C-16"/>
        <s v="100-R-1"/>
        <s v="100-R-2"/>
        <s v="100-R-3"/>
        <s v="100-R-4"/>
        <s v="100-R-5"/>
        <s v="100-R-6"/>
        <s v="100-R-7"/>
        <s v="100-R-8"/>
        <s v="100-R-9"/>
        <s v="100-R-10"/>
        <s v="100-R-11"/>
        <s v="100-R-12"/>
        <s v="200-R-13"/>
        <s v="100-R-14"/>
        <s v="100-R-15"/>
        <s v="100-R-16"/>
        <n v="0"/>
        <s v="300-C"/>
        <n v="104" u="1"/>
        <n v="108" u="1"/>
        <n v="112" u="1"/>
        <n v="116" u="1"/>
        <n v="103" u="1"/>
        <n v="107" u="1"/>
        <n v="300" u="1"/>
        <n v="100200300" u="1"/>
        <n v="111" u="1"/>
        <n v="200300" u="1"/>
        <n v="115" u="1"/>
        <n v="102" u="1"/>
        <n v="106" u="1"/>
        <n v="110" u="1"/>
        <n v="100200301" u="1"/>
        <n v="114" u="1"/>
        <n v="101" u="1"/>
        <n v="105" u="1"/>
        <n v="109" u="1"/>
        <n v="100200302" u="1"/>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
  <r>
    <x v="0"/>
    <n v="300"/>
    <x v="0"/>
    <s v="Mujeres"/>
    <n v="0"/>
    <x v="0"/>
    <x v="0"/>
    <x v="0"/>
    <x v="0"/>
    <s v="Región"/>
    <s v="Cantidad de Centros de la Mujer Nacional"/>
    <s v="Año 2021"/>
    <s v="Número de centros"/>
    <s v="Servicio Nacional de la Mujer y la Equidad de Género"/>
    <x v="0"/>
    <s v="Gráfico que muestra la cantidad de Centros de la Mujer por región, de acuerdo a los datos publicados por el Servicio Nacional de la Mujer y la Equidad de Género de Chile para el año 2021."/>
    <s v="Gráfico"/>
    <s v="mujer mujeres género violencia minmeg sernameg ministerio centro apoyo regional"/>
    <x v="0"/>
    <s v="300-R"/>
    <s v="#1774B9"/>
    <s v="300-0001"/>
    <e v="#N/A"/>
    <e v="#N/A"/>
    <e v="#N/A"/>
    <s v="FI-401"/>
    <e v="#N/A"/>
  </r>
  <r>
    <x v="1"/>
    <n v="300"/>
    <x v="0"/>
    <s v="Mujeres"/>
    <n v="1"/>
    <x v="0"/>
    <x v="0"/>
    <x v="1"/>
    <x v="1"/>
    <s v="Comuna"/>
    <s v="Cantidad de Centros de la Mujer Regional"/>
    <s v="Año 2021"/>
    <s v="Número de centros"/>
    <s v="Servicio Nacional de la Mujer y la Equidad de Género"/>
    <x v="1"/>
    <s v="Gráfico que muestra la cantidad de Centros de la Mujer por comuna en la  Región de Tarapacá, de acuerdo a los datos publicados por el Servicio Nacional de la Mujer y la Equidad de Género para el Año 2021."/>
    <s v="Gráfico"/>
    <s v="mujer mujeres género violencia minmeg sernameg ministerio centro apoyo tarapacá"/>
    <x v="1"/>
    <s v="100-C-1"/>
    <s v="#1774B10"/>
    <s v="300-0002"/>
    <e v="#N/A"/>
    <e v="#N/A"/>
    <e v="#N/A"/>
    <s v="FI-401"/>
    <e v="#N/A"/>
  </r>
  <r>
    <x v="2"/>
    <n v="300"/>
    <x v="0"/>
    <s v="Mujeres"/>
    <n v="2"/>
    <x v="0"/>
    <x v="0"/>
    <x v="1"/>
    <x v="2"/>
    <s v="Comuna"/>
    <s v="Cantidad de Centros de la Mujer Regional"/>
    <s v="Año 2021"/>
    <s v="Número de centros"/>
    <s v="Servicio Nacional de la Mujer y la Equidad de Género"/>
    <x v="2"/>
    <s v="Gráfico que muestra la cantidad de Centros de la Mujer por comuna en la  Región de Antofagasta, de acuerdo a los datos publicados por el Servicio Nacional de la Mujer y la Equidad de Género para el Año 2021."/>
    <s v="Gráfico"/>
    <s v="mujer mujeres género violencia minmeg sernameg ministerio centro apoyo antofagasta"/>
    <x v="2"/>
    <s v="100-C-2"/>
    <s v="#1774B11"/>
    <s v="300-0003"/>
    <e v="#N/A"/>
    <e v="#N/A"/>
    <e v="#N/A"/>
    <s v="FI-401"/>
    <e v="#N/A"/>
  </r>
  <r>
    <x v="3"/>
    <n v="300"/>
    <x v="0"/>
    <s v="Mujeres"/>
    <n v="3"/>
    <x v="0"/>
    <x v="0"/>
    <x v="1"/>
    <x v="3"/>
    <s v="Comuna"/>
    <s v="Cantidad de Centros de la Mujer Regional"/>
    <s v="Año 2021"/>
    <s v="Número de centros"/>
    <s v="Servicio Nacional de la Mujer y la Equidad de Género"/>
    <x v="3"/>
    <s v="Gráfico que muestra la cantidad de Centros de la Mujer por comuna en la  Región de Atacama, de acuerdo a los datos publicados por el Servicio Nacional de la Mujer y la Equidad de Género para el Año 2021."/>
    <s v="Gráfico"/>
    <s v="mujer mujeres género violencia minmeg sernameg ministerio centro apoyo atacama"/>
    <x v="3"/>
    <s v="100-C-3"/>
    <s v="#1774B12"/>
    <s v="300-0004"/>
    <n v="40200001"/>
    <e v="#N/A"/>
    <e v="#N/A"/>
    <s v="FI-401"/>
    <e v="#N/A"/>
  </r>
  <r>
    <x v="4"/>
    <n v="300"/>
    <x v="0"/>
    <s v="Mujeres"/>
    <n v="4"/>
    <x v="0"/>
    <x v="0"/>
    <x v="1"/>
    <x v="4"/>
    <s v="Comuna"/>
    <s v="Cantidad de Centros de la Mujer Regional"/>
    <s v="Año 2021"/>
    <s v="Número de centros"/>
    <s v="Servicio Nacional de la Mujer y la Equidad de Género"/>
    <x v="4"/>
    <s v="Gráfico que muestra la cantidad de Centros de la Mujer por comuna en la  Región de Coquimbo, de acuerdo a los datos publicados por el Servicio Nacional de la Mujer y la Equidad de Género para el Año 2021."/>
    <s v="Gráfico"/>
    <s v="mujer mujeres género violencia minmeg sernameg ministerio centro apoyo coquimbo"/>
    <x v="4"/>
    <s v="100-C-4"/>
    <s v="#1774B13"/>
    <s v="300-0005"/>
    <n v="40200002"/>
    <e v="#N/A"/>
    <e v="#N/A"/>
    <s v="FI-401"/>
    <e v="#N/A"/>
  </r>
  <r>
    <x v="5"/>
    <n v="300"/>
    <x v="0"/>
    <s v="Mujeres"/>
    <n v="5"/>
    <x v="0"/>
    <x v="0"/>
    <x v="1"/>
    <x v="5"/>
    <s v="Comuna"/>
    <s v="Cantidad de Centros de la Mujer Regional"/>
    <s v="Año 2021"/>
    <s v="Número de centros"/>
    <s v="Servicio Nacional de la Mujer y la Equidad de Género"/>
    <x v="5"/>
    <s v="Gráfico que muestra la cantidad de Centros de la Mujer por comuna en la  Región de Valparaíso, de acuerdo a los datos publicados por el Servicio Nacional de la Mujer y la Equidad de Género para el Año 2021."/>
    <s v="Gráfico"/>
    <s v="mujer mujeres género violencia minmeg sernameg ministerio centro apoyo valparaíso"/>
    <x v="5"/>
    <s v="100-C-5"/>
    <s v="#1774B14"/>
    <s v="300-0006"/>
    <n v="40200003"/>
    <e v="#N/A"/>
    <e v="#N/A"/>
    <s v="FI-401"/>
    <e v="#N/A"/>
  </r>
  <r>
    <x v="6"/>
    <n v="300"/>
    <x v="0"/>
    <s v="Mujeres"/>
    <n v="6"/>
    <x v="0"/>
    <x v="0"/>
    <x v="1"/>
    <x v="6"/>
    <s v="Comuna"/>
    <s v="Cantidad de Centros de la Mujer Regional"/>
    <s v="Año 2021"/>
    <s v="Número de centros"/>
    <s v="Servicio Nacional de la Mujer y la Equidad de Género"/>
    <x v="6"/>
    <s v="Gráfico que muestra la cantidad de Centros de la Mujer por comuna en la  Región de O'Higgins, de acuerdo a los datos publicados por el Servicio Nacional de la Mujer y la Equidad de Género para el Año 2021."/>
    <s v="Gráfico"/>
    <s v="mujer mujeres género violencia minmeg sernameg ministerio centro apoyo ohiggins"/>
    <x v="6"/>
    <s v="100-C-6"/>
    <s v="#1774B15"/>
    <s v="300-0007"/>
    <n v="40200004"/>
    <e v="#N/A"/>
    <e v="#N/A"/>
    <s v="FI-401"/>
    <e v="#N/A"/>
  </r>
  <r>
    <x v="7"/>
    <n v="300"/>
    <x v="0"/>
    <s v="Mujeres"/>
    <n v="7"/>
    <x v="0"/>
    <x v="0"/>
    <x v="1"/>
    <x v="7"/>
    <s v="Comuna"/>
    <s v="Cantidad de Centros de la Mujer Regional"/>
    <s v="Año 2021"/>
    <s v="Número de centros"/>
    <s v="Servicio Nacional de la Mujer y la Equidad de Género"/>
    <x v="7"/>
    <s v="Gráfico que muestra la cantidad de Centros de la Mujer por comuna en la  Región de Maule, de acuerdo a los datos publicados por el Servicio Nacional de la Mujer y la Equidad de Género para el Año 2021."/>
    <s v="Gráfico"/>
    <s v="mujer mujeres género violencia minmeg sernameg ministerio centro apoyo maule"/>
    <x v="7"/>
    <s v="100-C-7"/>
    <s v="#1774B16"/>
    <s v="300-0008"/>
    <n v="40200005"/>
    <e v="#N/A"/>
    <e v="#N/A"/>
    <s v="FI-401"/>
    <e v="#N/A"/>
  </r>
  <r>
    <x v="8"/>
    <n v="300"/>
    <x v="0"/>
    <s v="Mujeres"/>
    <n v="8"/>
    <x v="0"/>
    <x v="0"/>
    <x v="1"/>
    <x v="8"/>
    <s v="Comuna"/>
    <s v="Cantidad de Centros de la Mujer Regional"/>
    <s v="Año 2021"/>
    <s v="Número de centros"/>
    <s v="Servicio Nacional de la Mujer y la Equidad de Género"/>
    <x v="8"/>
    <s v="Gráfico que muestra la cantidad de Centros de la Mujer por comuna en la  Región del Biobío, de acuerdo a los datos publicados por el Servicio Nacional de la Mujer y la Equidad de Género para el Año 2021."/>
    <s v="Gráfico"/>
    <s v="mujer mujeres género violencia minmeg sernameg ministerio centro apoyo biobío"/>
    <x v="8"/>
    <s v="100-C-8"/>
    <s v="#1774B17"/>
    <s v="300-0009"/>
    <n v="40200006"/>
    <e v="#N/A"/>
    <e v="#N/A"/>
    <s v="FI-401"/>
    <e v="#N/A"/>
  </r>
  <r>
    <x v="9"/>
    <n v="300"/>
    <x v="0"/>
    <s v="Mujeres"/>
    <n v="9"/>
    <x v="0"/>
    <x v="0"/>
    <x v="1"/>
    <x v="9"/>
    <s v="Comuna"/>
    <s v="Cantidad de Centros de la Mujer Regional"/>
    <s v="Año 2021"/>
    <s v="Número de centros"/>
    <s v="Servicio Nacional de la Mujer y la Equidad de Género"/>
    <x v="9"/>
    <s v="Gráfico que muestra la cantidad de Centros de la Mujer por comuna en la  Región de La Araucanía, de acuerdo a los datos publicados por el Servicio Nacional de la Mujer y la Equidad de Género para el Año 2021."/>
    <s v="Gráfico"/>
    <s v="mujer mujeres género violencia minmeg sernameg ministerio centro apoyo araucanía"/>
    <x v="9"/>
    <s v="100-C-9"/>
    <s v="#1774B18"/>
    <s v="300-0010"/>
    <n v="40200007"/>
    <e v="#N/A"/>
    <e v="#N/A"/>
    <s v="FI-401"/>
    <e v="#N/A"/>
  </r>
  <r>
    <x v="10"/>
    <n v="300"/>
    <x v="0"/>
    <s v="Mujeres"/>
    <n v="10"/>
    <x v="0"/>
    <x v="0"/>
    <x v="1"/>
    <x v="10"/>
    <s v="Comuna"/>
    <s v="Cantidad de Centros de la Mujer Regional"/>
    <s v="Año 2021"/>
    <s v="Número de centros"/>
    <s v="Servicio Nacional de la Mujer y la Equidad de Género"/>
    <x v="10"/>
    <s v="Gráfico que muestra la cantidad de Centros de la Mujer por comuna en la  Región de Los Lagos, de acuerdo a los datos publicados por el Servicio Nacional de la Mujer y la Equidad de Género para el Año 2021."/>
    <s v="Gráfico"/>
    <s v="mujer mujeres género violencia minmeg sernameg ministerio centro apoyo lagos"/>
    <x v="10"/>
    <s v="100-C-10"/>
    <s v="#1774B19"/>
    <s v="300-0011"/>
    <n v="40200008"/>
    <e v="#N/A"/>
    <e v="#N/A"/>
    <s v="FI-401"/>
    <e v="#N/A"/>
  </r>
  <r>
    <x v="11"/>
    <n v="300"/>
    <x v="0"/>
    <s v="Mujeres"/>
    <n v="11"/>
    <x v="0"/>
    <x v="0"/>
    <x v="1"/>
    <x v="11"/>
    <s v="Comuna"/>
    <s v="Cantidad de Centros de la Mujer Regional"/>
    <s v="Año 2021"/>
    <s v="Número de centros"/>
    <s v="Servicio Nacional de la Mujer y la Equidad de Género"/>
    <x v="11"/>
    <s v="Gráfico que muestra la cantidad de Centros de la Mujer por comuna en la  Región de Aysén, de acuerdo a los datos publicados por el Servicio Nacional de la Mujer y la Equidad de Género para el Año 2021."/>
    <s v="Gráfico"/>
    <s v="mujer mujeres género violencia minmeg sernameg ministerio centro apoyo aysén"/>
    <x v="11"/>
    <s v="100-C-11"/>
    <s v="#1774B20"/>
    <s v="300-0012"/>
    <n v="40200009"/>
    <e v="#N/A"/>
    <e v="#N/A"/>
    <s v="FI-401"/>
    <e v="#N/A"/>
  </r>
  <r>
    <x v="12"/>
    <n v="300"/>
    <x v="0"/>
    <s v="Mujeres"/>
    <n v="12"/>
    <x v="0"/>
    <x v="0"/>
    <x v="1"/>
    <x v="12"/>
    <s v="Comuna"/>
    <s v="Cantidad de Centros de la Mujer Regional"/>
    <s v="Año 2021"/>
    <s v="Número de centros"/>
    <s v="Servicio Nacional de la Mujer y la Equidad de Género"/>
    <x v="12"/>
    <s v="Gráfico que muestra la cantidad de Centros de la Mujer por comuna en la  Región de Magallanes, de acuerdo a los datos publicados por el Servicio Nacional de la Mujer y la Equidad de Género para el Año 2021."/>
    <s v="Gráfico"/>
    <s v="mujer mujeres género violencia minmeg sernameg ministerio centro apoyo magallanes"/>
    <x v="12"/>
    <s v="100-C-12"/>
    <s v="#1774B21"/>
    <s v="300-0013"/>
    <n v="40200010"/>
    <e v="#N/A"/>
    <e v="#N/A"/>
    <s v="FI-401"/>
    <e v="#N/A"/>
  </r>
  <r>
    <x v="13"/>
    <n v="300"/>
    <x v="0"/>
    <s v="Mujeres"/>
    <n v="13"/>
    <x v="0"/>
    <x v="0"/>
    <x v="1"/>
    <x v="13"/>
    <s v="Comuna"/>
    <s v="Cantidad de Centros de la Mujer Regional"/>
    <s v="Año 2021"/>
    <s v="Número de centros"/>
    <s v="Servicio Nacional de la Mujer y la Equidad de Género"/>
    <x v="13"/>
    <s v="Gráfico que muestra la cantidad de Centros de la Mujer por comuna en la  Región Metropolitana, de acuerdo a los datos publicados por el Servicio Nacional de la Mujer y la Equidad de Género para el Año 2021."/>
    <s v="Gráfico"/>
    <s v="mujer mujeres género violencia minmeg sernameg ministerio centro apoyo metropolitana"/>
    <x v="13"/>
    <s v="200-C-13"/>
    <s v="#1774B22"/>
    <s v="300-0014"/>
    <n v="40200011"/>
    <e v="#N/A"/>
    <e v="#N/A"/>
    <s v="FI-401"/>
    <e v="#N/A"/>
  </r>
  <r>
    <x v="14"/>
    <n v="300"/>
    <x v="0"/>
    <s v="Mujeres"/>
    <n v="14"/>
    <x v="0"/>
    <x v="0"/>
    <x v="1"/>
    <x v="14"/>
    <s v="Comuna"/>
    <s v="Cantidad de Centros de la Mujer Regional"/>
    <s v="Año 2021"/>
    <s v="Número de centros"/>
    <s v="Servicio Nacional de la Mujer y la Equidad de Género"/>
    <x v="14"/>
    <s v="Gráfico que muestra la cantidad de Centros de la Mujer por comuna en la  Región de Los Ríos, de acuerdo a los datos publicados por el Servicio Nacional de la Mujer y la Equidad de Género para el Año 2021."/>
    <s v="Gráfico"/>
    <s v="mujer mujeres género violencia minmeg sernameg ministerio centro apoyo ríos"/>
    <x v="14"/>
    <s v="100-C-14"/>
    <s v="#1774B23"/>
    <s v="300-0015"/>
    <n v="40200012"/>
    <e v="#N/A"/>
    <e v="#N/A"/>
    <s v="FI-401"/>
    <e v="#N/A"/>
  </r>
  <r>
    <x v="15"/>
    <n v="300"/>
    <x v="0"/>
    <s v="Mujeres"/>
    <n v="15"/>
    <x v="0"/>
    <x v="0"/>
    <x v="1"/>
    <x v="15"/>
    <s v="Comuna"/>
    <s v="Cantidad de Centros de la Mujer Regional"/>
    <s v="Año 2021"/>
    <s v="Número de centros"/>
    <s v="Servicio Nacional de la Mujer y la Equidad de Género"/>
    <x v="15"/>
    <s v="Gráfico que muestra la cantidad de Centros de la Mujer por comuna en la  Región de Arica y Parinacota, de acuerdo a los datos publicados por el Servicio Nacional de la Mujer y la Equidad de Género para el Año 2021."/>
    <s v="Gráfico"/>
    <s v="mujer mujeres género violencia minmeg sernameg ministerio centro apoyo arica parinacota"/>
    <x v="15"/>
    <s v="100-C-15"/>
    <s v="#1774B24"/>
    <s v="300-0016"/>
    <n v="40200013"/>
    <e v="#N/A"/>
    <e v="#N/A"/>
    <s v="FI-401"/>
    <e v="#N/A"/>
  </r>
  <r>
    <x v="16"/>
    <n v="300"/>
    <x v="0"/>
    <s v="Mujeres"/>
    <n v="16"/>
    <x v="0"/>
    <x v="0"/>
    <x v="1"/>
    <x v="16"/>
    <s v="Comuna"/>
    <s v="Cantidad de Centros de la Mujer Regional"/>
    <s v="Año 2021"/>
    <s v="Número de centros"/>
    <s v="Servicio Nacional de la Mujer y la Equidad de Género"/>
    <x v="16"/>
    <s v="Gráfico que muestra la cantidad de Centros de la Mujer por comuna en la  Región de Ñuble, de acuerdo a los datos publicados por el Servicio Nacional de la Mujer y la Equidad de Género para el Año 2021."/>
    <s v="Gráfico"/>
    <s v="mujer mujeres género violencia minmeg sernameg ministerio centro apoyo ñuble"/>
    <x v="16"/>
    <s v="100-C-16"/>
    <s v="#1774B25"/>
    <s v="300-0017"/>
    <n v="40200014"/>
    <e v="#N/A"/>
    <e v="#N/A"/>
    <s v="FI-401"/>
    <e v="#N/A"/>
  </r>
  <r>
    <x v="17"/>
    <n v="300"/>
    <x v="0"/>
    <s v="Mujeres"/>
    <n v="1"/>
    <x v="0"/>
    <x v="0"/>
    <x v="1"/>
    <x v="1"/>
    <s v="Ninguno"/>
    <s v="Cantidad de Centros de la Mujer Regional"/>
    <s v="Año 2021"/>
    <s v="Número de centros"/>
    <s v="Servicio Nacional de la Mujer y la Equidad de Género"/>
    <x v="17"/>
    <s v="Gráfico que muestra la cantidad de Centros de la Mujer por tipo de atención en la  Región de Tarapacá, de acuerdo a los datos publicados por el Servicio Nacional de la Mujer y la Equidad de Género para el Año 2021."/>
    <s v="Gráfico"/>
    <s v="mujer mujeres género violencia minmeg sernameg ministerio centro apoyo tarapacá atención"/>
    <x v="17"/>
    <s v="100-R-1"/>
    <s v="#1774B77"/>
    <s v="300-0018"/>
    <n v="40200015"/>
    <e v="#N/A"/>
    <e v="#N/A"/>
    <s v="FI-401"/>
    <e v="#N/A"/>
  </r>
  <r>
    <x v="18"/>
    <n v="300"/>
    <x v="0"/>
    <s v="Mujeres"/>
    <n v="2"/>
    <x v="0"/>
    <x v="0"/>
    <x v="1"/>
    <x v="2"/>
    <s v="Ninguno"/>
    <s v="Cantidad de Centros de la Mujer Regional"/>
    <s v="Año 2021"/>
    <s v="Número de centros"/>
    <s v="Servicio Nacional de la Mujer y la Equidad de Género"/>
    <x v="18"/>
    <s v="Gráfico que muestra la cantidad de Centros de la Mujer por tipo de atención en la  Región de Antofagasta, de acuerdo a los datos publicados por el Servicio Nacional de la Mujer y la Equidad de Género para el Año 2021."/>
    <s v="Gráfico"/>
    <s v="mujer mujeres género violencia minmeg sernameg ministerio centro apoyo antofagasta atención"/>
    <x v="18"/>
    <s v="100-R-2"/>
    <s v="#1774B78"/>
    <s v="300-0019"/>
    <n v="40200016"/>
    <e v="#N/A"/>
    <e v="#N/A"/>
    <s v="FI-401"/>
    <e v="#N/A"/>
  </r>
  <r>
    <x v="19"/>
    <n v="300"/>
    <x v="0"/>
    <s v="Mujeres"/>
    <n v="3"/>
    <x v="0"/>
    <x v="0"/>
    <x v="1"/>
    <x v="3"/>
    <s v="Ninguno"/>
    <s v="Cantidad de Centros de la Mujer Regional"/>
    <s v="Año 2021"/>
    <s v="Número de centros"/>
    <s v="Servicio Nacional de la Mujer y la Equidad de Género"/>
    <x v="19"/>
    <s v="Gráfico que muestra la cantidad de Centros de la Mujer por tipo de atención en la  Región de Atacama, de acuerdo a los datos publicados por el Servicio Nacional de la Mujer y la Equidad de Género para el Año 2021."/>
    <s v="Gráfico"/>
    <s v="mujer mujeres género violencia minmeg sernameg ministerio centro apoyo atacama atención"/>
    <x v="19"/>
    <s v="100-R-3"/>
    <s v="#1774B79"/>
    <s v="300-0020"/>
    <n v="40200001"/>
    <e v="#N/A"/>
    <e v="#N/A"/>
    <s v="FI-401"/>
    <e v="#N/A"/>
  </r>
  <r>
    <x v="20"/>
    <n v="300"/>
    <x v="0"/>
    <s v="Mujeres"/>
    <n v="4"/>
    <x v="0"/>
    <x v="0"/>
    <x v="1"/>
    <x v="4"/>
    <s v="Ninguno"/>
    <s v="Cantidad de Centros de la Mujer Regional"/>
    <s v="Año 2021"/>
    <s v="Número de centros"/>
    <s v="Servicio Nacional de la Mujer y la Equidad de Género"/>
    <x v="20"/>
    <s v="Gráfico que muestra la cantidad de Centros de la Mujer por tipo de atención en la  Región de Coquimbo, de acuerdo a los datos publicados por el Servicio Nacional de la Mujer y la Equidad de Género para el Año 2021."/>
    <s v="Gráfico"/>
    <s v="mujer mujeres género violencia minmeg sernameg ministerio centro apoyo coquimbo atención"/>
    <x v="20"/>
    <s v="100-R-4"/>
    <s v="#1774B80"/>
    <s v="300-0021"/>
    <n v="40200002"/>
    <e v="#N/A"/>
    <e v="#N/A"/>
    <s v="FI-401"/>
    <e v="#N/A"/>
  </r>
  <r>
    <x v="21"/>
    <n v="300"/>
    <x v="0"/>
    <s v="Mujeres"/>
    <n v="5"/>
    <x v="0"/>
    <x v="0"/>
    <x v="1"/>
    <x v="5"/>
    <s v="Ninguno"/>
    <s v="Cantidad de Centros de la Mujer Regional"/>
    <s v="Año 2021"/>
    <s v="Número de centros"/>
    <s v="Servicio Nacional de la Mujer y la Equidad de Género"/>
    <x v="21"/>
    <s v="Gráfico que muestra la cantidad de Centros de la Mujer por tipo de atención en la  Región de Valparaíso, de acuerdo a los datos publicados por el Servicio Nacional de la Mujer y la Equidad de Género para el Año 2021."/>
    <s v="Gráfico"/>
    <s v="mujer mujeres género violencia minmeg sernameg ministerio centro apoyo valparaíso atención"/>
    <x v="21"/>
    <s v="100-R-5"/>
    <s v="#1774B81"/>
    <s v="300-0022"/>
    <n v="40200003"/>
    <e v="#N/A"/>
    <e v="#N/A"/>
    <s v="FI-401"/>
    <e v="#N/A"/>
  </r>
  <r>
    <x v="22"/>
    <n v="300"/>
    <x v="0"/>
    <s v="Mujeres"/>
    <n v="6"/>
    <x v="0"/>
    <x v="0"/>
    <x v="1"/>
    <x v="6"/>
    <s v="Ninguno"/>
    <s v="Cantidad de Centros de la Mujer Regional"/>
    <s v="Año 2021"/>
    <s v="Número de centros"/>
    <s v="Servicio Nacional de la Mujer y la Equidad de Género"/>
    <x v="22"/>
    <s v="Gráfico que muestra la cantidad de Centros de la Mujer por tipo de atención en la  Región de O'Higgins, de acuerdo a los datos publicados por el Servicio Nacional de la Mujer y la Equidad de Género para el Año 2021."/>
    <s v="Gráfico"/>
    <s v="mujer mujeres género violencia minmeg sernameg ministerio centro apoyo ohiggins atención"/>
    <x v="22"/>
    <s v="100-R-6"/>
    <s v="#1774B82"/>
    <s v="300-0023"/>
    <n v="40200004"/>
    <e v="#N/A"/>
    <e v="#N/A"/>
    <s v="FI-401"/>
    <e v="#N/A"/>
  </r>
  <r>
    <x v="23"/>
    <n v="300"/>
    <x v="0"/>
    <s v="Mujeres"/>
    <n v="7"/>
    <x v="0"/>
    <x v="0"/>
    <x v="1"/>
    <x v="7"/>
    <s v="Ninguno"/>
    <s v="Cantidad de Centros de la Mujer Regional"/>
    <s v="Año 2021"/>
    <s v="Número de centros"/>
    <s v="Servicio Nacional de la Mujer y la Equidad de Género"/>
    <x v="23"/>
    <s v="Gráfico que muestra la cantidad de Centros de la Mujer por tipo de atención en la  Región de Maule, de acuerdo a los datos publicados por el Servicio Nacional de la Mujer y la Equidad de Género para el Año 2021."/>
    <s v="Gráfico"/>
    <s v="mujer mujeres género violencia minmeg sernameg ministerio centro apoyo maule atención"/>
    <x v="23"/>
    <s v="100-R-7"/>
    <s v="#1774B83"/>
    <s v="300-0024"/>
    <n v="40200005"/>
    <e v="#N/A"/>
    <e v="#N/A"/>
    <s v="FI-401"/>
    <e v="#N/A"/>
  </r>
  <r>
    <x v="24"/>
    <n v="300"/>
    <x v="0"/>
    <s v="Mujeres"/>
    <n v="8"/>
    <x v="0"/>
    <x v="0"/>
    <x v="1"/>
    <x v="8"/>
    <s v="Ninguno"/>
    <s v="Cantidad de Centros de la Mujer Regional"/>
    <s v="Año 2021"/>
    <s v="Número de centros"/>
    <s v="Servicio Nacional de la Mujer y la Equidad de Género"/>
    <x v="24"/>
    <s v="Gráfico que muestra la cantidad de Centros de la Mujer por tipo de atención en la  Región del Biobío, de acuerdo a los datos publicados por el Servicio Nacional de la Mujer y la Equidad de Género para el Año 2021."/>
    <s v="Gráfico"/>
    <s v="mujer mujeres género violencia minmeg sernameg ministerio centro apoyo biobío atención"/>
    <x v="24"/>
    <s v="100-R-8"/>
    <s v="#1774B84"/>
    <s v="300-0025"/>
    <n v="40200006"/>
    <e v="#N/A"/>
    <e v="#N/A"/>
    <s v="FI-401"/>
    <e v="#N/A"/>
  </r>
  <r>
    <x v="25"/>
    <n v="300"/>
    <x v="0"/>
    <s v="Mujeres"/>
    <n v="9"/>
    <x v="0"/>
    <x v="0"/>
    <x v="1"/>
    <x v="9"/>
    <s v="Ninguno"/>
    <s v="Cantidad de Centros de la Mujer Regional"/>
    <s v="Año 2021"/>
    <s v="Número de centros"/>
    <s v="Servicio Nacional de la Mujer y la Equidad de Género"/>
    <x v="25"/>
    <s v="Gráfico que muestra la cantidad de Centros de la Mujer por tipo de atención en la  Región de La Araucanía, de acuerdo a los datos publicados por el Servicio Nacional de la Mujer y la Equidad de Género para el Año 2021."/>
    <s v="Gráfico"/>
    <s v="mujer mujeres género violencia minmeg sernameg ministerio centro apoyo araucanía atención"/>
    <x v="25"/>
    <s v="100-R-9"/>
    <s v="#1774B85"/>
    <s v="300-0026"/>
    <n v="40200007"/>
    <e v="#N/A"/>
    <e v="#N/A"/>
    <s v="FI-401"/>
    <e v="#N/A"/>
  </r>
  <r>
    <x v="26"/>
    <n v="300"/>
    <x v="0"/>
    <s v="Mujeres"/>
    <n v="10"/>
    <x v="0"/>
    <x v="0"/>
    <x v="1"/>
    <x v="10"/>
    <s v="Ninguno"/>
    <s v="Cantidad de Centros de la Mujer Regional"/>
    <s v="Año 2021"/>
    <s v="Número de centros"/>
    <s v="Servicio Nacional de la Mujer y la Equidad de Género"/>
    <x v="26"/>
    <s v="Gráfico que muestra la cantidad de Centros de la Mujer por tipo de atención en la  Región de Los Lagos, de acuerdo a los datos publicados por el Servicio Nacional de la Mujer y la Equidad de Género para el Año 2021."/>
    <s v="Gráfico"/>
    <s v="mujer mujeres género violencia minmeg sernameg ministerio centro apoyo lagos atención"/>
    <x v="26"/>
    <s v="100-R-10"/>
    <s v="#1774B86"/>
    <s v="300-0027"/>
    <n v="40200008"/>
    <e v="#N/A"/>
    <e v="#N/A"/>
    <s v="FI-401"/>
    <e v="#N/A"/>
  </r>
  <r>
    <x v="27"/>
    <n v="300"/>
    <x v="0"/>
    <s v="Mujeres"/>
    <n v="11"/>
    <x v="0"/>
    <x v="0"/>
    <x v="1"/>
    <x v="11"/>
    <s v="Ninguno"/>
    <s v="Cantidad de Centros de la Mujer Regional"/>
    <s v="Año 2021"/>
    <s v="Número de centros"/>
    <s v="Servicio Nacional de la Mujer y la Equidad de Género"/>
    <x v="27"/>
    <s v="Gráfico que muestra la cantidad de Centros de la Mujer por tipo de atención en la  Región de Aysén, de acuerdo a los datos publicados por el Servicio Nacional de la Mujer y la Equidad de Género para el Año 2021."/>
    <s v="Gráfico"/>
    <s v="mujer mujeres género violencia minmeg sernameg ministerio centro apoyo aysén atención"/>
    <x v="27"/>
    <s v="100-R-11"/>
    <s v="#1774B87"/>
    <s v="300-0028"/>
    <n v="40200009"/>
    <e v="#N/A"/>
    <e v="#N/A"/>
    <s v="FI-401"/>
    <e v="#N/A"/>
  </r>
  <r>
    <x v="28"/>
    <n v="300"/>
    <x v="0"/>
    <s v="Mujeres"/>
    <n v="12"/>
    <x v="0"/>
    <x v="0"/>
    <x v="1"/>
    <x v="12"/>
    <s v="Ninguno"/>
    <s v="Cantidad de Centros de la Mujer Regional"/>
    <s v="Año 2021"/>
    <s v="Número de centros"/>
    <s v="Servicio Nacional de la Mujer y la Equidad de Género"/>
    <x v="28"/>
    <s v="Gráfico que muestra la cantidad de Centros de la Mujer por tipo de atención en la  Región de Magallanes, de acuerdo a los datos publicados por el Servicio Nacional de la Mujer y la Equidad de Género para el Año 2021."/>
    <s v="Gráfico"/>
    <s v="mujer mujeres género violencia minmeg sernameg ministerio centro apoyo magallanes atención"/>
    <x v="28"/>
    <s v="100-R-12"/>
    <s v="#1774B88"/>
    <s v="300-0029"/>
    <n v="40200010"/>
    <e v="#N/A"/>
    <e v="#N/A"/>
    <s v="FI-401"/>
    <e v="#N/A"/>
  </r>
  <r>
    <x v="29"/>
    <n v="300"/>
    <x v="0"/>
    <s v="Mujeres"/>
    <n v="13"/>
    <x v="0"/>
    <x v="0"/>
    <x v="1"/>
    <x v="13"/>
    <s v="Ninguno"/>
    <s v="Cantidad de Centros de la Mujer Regional"/>
    <s v="Año 2021"/>
    <s v="Número de centros"/>
    <s v="Servicio Nacional de la Mujer y la Equidad de Género"/>
    <x v="29"/>
    <s v="Gráfico que muestra la cantidad de Centros de la Mujer por tipo de atención en la  Región Metropolitana, de acuerdo a los datos publicados por el Servicio Nacional de la Mujer y la Equidad de Género para el Año 2021."/>
    <s v="Gráfico"/>
    <s v="mujer mujeres género violencia minmeg sernameg ministerio centro apoyo metropolitana atención"/>
    <x v="29"/>
    <s v="200-R-13"/>
    <s v="#1774B89"/>
    <s v="300-0030"/>
    <n v="40200011"/>
    <e v="#N/A"/>
    <e v="#N/A"/>
    <s v="FI-401"/>
    <e v="#N/A"/>
  </r>
  <r>
    <x v="30"/>
    <n v="300"/>
    <x v="0"/>
    <s v="Mujeres"/>
    <n v="14"/>
    <x v="0"/>
    <x v="0"/>
    <x v="1"/>
    <x v="14"/>
    <s v="Ninguno"/>
    <s v="Cantidad de Centros de la Mujer Regional"/>
    <s v="Año 2021"/>
    <s v="Número de centros"/>
    <s v="Servicio Nacional de la Mujer y la Equidad de Género"/>
    <x v="30"/>
    <s v="Gráfico que muestra la cantidad de Centros de la Mujer por tipo de atención en la  Región de Los Ríos, de acuerdo a los datos publicados por el Servicio Nacional de la Mujer y la Equidad de Género para el Año 2021."/>
    <s v="Gráfico"/>
    <s v="mujer mujeres género violencia minmeg sernameg ministerio centro apoyo ríos atención"/>
    <x v="30"/>
    <s v="100-R-14"/>
    <s v="#1774B90"/>
    <s v="300-0031"/>
    <n v="40200012"/>
    <e v="#N/A"/>
    <e v="#N/A"/>
    <s v="FI-401"/>
    <e v="#N/A"/>
  </r>
  <r>
    <x v="31"/>
    <n v="300"/>
    <x v="0"/>
    <s v="Mujeres"/>
    <n v="15"/>
    <x v="0"/>
    <x v="0"/>
    <x v="1"/>
    <x v="15"/>
    <s v="Ninguno"/>
    <s v="Cantidad de Centros de la Mujer Regional"/>
    <s v="Año 2021"/>
    <s v="Número de centros"/>
    <s v="Servicio Nacional de la Mujer y la Equidad de Género"/>
    <x v="31"/>
    <s v="Gráfico que muestra la cantidad de Centros de la Mujer por tipo de atención en la  Región de Arica y Parinacota, de acuerdo a los datos publicados por el Servicio Nacional de la Mujer y la Equidad de Género para el Año 2021."/>
    <s v="Gráfico"/>
    <s v="mujer mujeres género violencia minmeg sernameg ministerio centro apoyo arica parinacota atención"/>
    <x v="31"/>
    <s v="100-R-15"/>
    <s v="#1774B91"/>
    <s v="300-0032"/>
    <n v="40200013"/>
    <e v="#N/A"/>
    <e v="#N/A"/>
    <s v="FI-401"/>
    <e v="#N/A"/>
  </r>
  <r>
    <x v="32"/>
    <n v="300"/>
    <x v="0"/>
    <s v="Mujeres"/>
    <n v="16"/>
    <x v="0"/>
    <x v="0"/>
    <x v="1"/>
    <x v="16"/>
    <s v="Ninguno"/>
    <s v="Cantidad de Centros de la Mujer Regional"/>
    <s v="Año 2021"/>
    <s v="Número de centros"/>
    <s v="Servicio Nacional de la Mujer y la Equidad de Género"/>
    <x v="32"/>
    <s v="Gráfico que muestra la cantidad de Centros de la Mujer por tipo de atención en la  Región de Ñuble, de acuerdo a los datos publicados por el Servicio Nacional de la Mujer y la Equidad de Género para el Año 2021."/>
    <s v="Gráfico"/>
    <s v="mujer mujeres género violencia minmeg sernameg ministerio centro apoyo ñuble atención"/>
    <x v="32"/>
    <s v="100-R-16"/>
    <s v="#1774B92"/>
    <s v="300-0033"/>
    <n v="40200014"/>
    <e v="#N/A"/>
    <e v="#N/A"/>
    <s v="FI-401"/>
    <e v="#N/A"/>
  </r>
  <r>
    <x v="33"/>
    <n v="300"/>
    <x v="0"/>
    <s v="Mujeres"/>
    <n v="5"/>
    <x v="1"/>
    <x v="0"/>
    <x v="1"/>
    <x v="5"/>
    <s v="Ninguno"/>
    <s v="Cantidad de Mujeres Atendidas Regional"/>
    <s v="Periodo 2017-2019"/>
    <s v="Número de atenciones"/>
    <s v="Servicio Nacional de la Mujer y la Equidad de Género"/>
    <x v="33"/>
    <s v="Gráfico que muestra la cantidad de mujeres atendidas en Centros de Atención y Reparación para Mujeres Víctimas/Sobrevivientes de Violencia Sexual por tipo de atención en la Región de Valparaíso, de acuerdo a los datos publicados por el Servicio Nacional de la Mujer y la Equidad de Género de Chile para el Periodo 2017-2019."/>
    <s v="Gráfico"/>
    <s v="mujer mujeres género violencia minmeg sernameg ministerio de la mujer centro sexual víctimas sobrevivientes valparaíso"/>
    <x v="33"/>
    <s v="100-R-5"/>
    <s v="#1774B93"/>
    <s v="300-0034"/>
    <n v="40200015"/>
    <e v="#N/A"/>
    <e v="#N/A"/>
    <s v="FI-401"/>
    <e v="#N/A"/>
  </r>
  <r>
    <x v="34"/>
    <n v="300"/>
    <x v="0"/>
    <s v="Mujeres"/>
    <n v="13"/>
    <x v="1"/>
    <x v="0"/>
    <x v="1"/>
    <x v="13"/>
    <s v="Ninguno"/>
    <s v="Cantidad de Mujeres Atendidas Regional"/>
    <s v="Periodo 2017-2019"/>
    <s v="Número de atenciones"/>
    <s v="Servicio Nacional de la Mujer y la Equidad de Género"/>
    <x v="34"/>
    <s v="Gráfico que muestra la cantidad de mujeres atendidas en Centros de Atención y Reparación para Mujeres Víctimas/Sobrevivientes de Violencia Sexual por tipo de atención en la Región Metropolitana, de acuerdo a los datos publicados por el Servicio Nacional de la Mujer y la Equidad de Género de Chile para el Periodo 2017-2019."/>
    <s v="Gráfico"/>
    <s v="mujer mujeres género violencia minmeg sernameg ministerio de la mujer centro sexual víctimas sobrevivientes metropolitana"/>
    <x v="34"/>
    <s v="200-R-13"/>
    <s v="#1774B94"/>
    <s v="300-0035"/>
    <n v="40200016"/>
    <e v="#N/A"/>
    <e v="#N/A"/>
    <s v="FI-401"/>
    <e v="#N/A"/>
  </r>
  <r>
    <x v="35"/>
    <n v="300"/>
    <x v="0"/>
    <s v="Mujeres"/>
    <n v="8"/>
    <x v="1"/>
    <x v="0"/>
    <x v="1"/>
    <x v="8"/>
    <s v="Ninguno"/>
    <s v="Cantidad de Mujeres Atendidas Regional"/>
    <s v="Periodo 2017-2019"/>
    <s v="Número de atenciones"/>
    <s v="Servicio Nacional de la Mujer y la Equidad de Género"/>
    <x v="35"/>
    <s v="Gráfico que muestra la cantidad de mujeres atendidas en Centros de Atención y Reparación para Mujeres Víctimas/Sobrevivientes de Violencia Sexual por tipo de atención en la Región del Biobío, de acuerdo a los datos publicados por el Servicio Nacional de la Mujer y la Equidad de Género de Chile para el Periodo 2017-2019."/>
    <s v="Gráfico"/>
    <s v="mujer mujeres género violencia minmeg sernameg ministerio de la mujer centro sexual víctimas sobrevivientes biobío"/>
    <x v="35"/>
    <s v="100-R-8"/>
    <s v="#1774B95"/>
    <s v="300-0036"/>
    <n v="40200001"/>
    <e v="#N/A"/>
    <e v="#N/A"/>
    <s v="FI-401"/>
    <e v="#N/A"/>
  </r>
  <r>
    <x v="36"/>
    <n v="300"/>
    <x v="0"/>
    <s v="Mujeres"/>
    <n v="270110001"/>
    <x v="1"/>
    <x v="0"/>
    <x v="0"/>
    <x v="0"/>
    <s v="Región"/>
    <s v="Cantidad de Mujeres Atendidas Nacional"/>
    <s v="Periodo 2017-2019"/>
    <s v="Número de atenciones"/>
    <s v="Servicio Nacional de la Mujer y la Equidad de Género"/>
    <x v="36"/>
    <s v="Gráfico que muestra la cantidad de mujeres atendidas en Centros de Atención y Reparación para Mujeres Víctimas/Sobrevivientes de Violencia Sexual por región en la fase de Orientación e Información (OI), de acuerdo a los datos publicados por el Servicio Nacional de la Mujer y la Equidad de Género de Chile para el Periodo 2017-2019."/>
    <s v="Gráfico"/>
    <s v="mujer mujeres género violencia minmeg sernameg ministerio de la mujer centro sexual víctimas sobrevivientes atención"/>
    <x v="36"/>
    <s v="300-R"/>
    <s v="#1774B96"/>
    <s v="300-0037"/>
    <n v="40200002"/>
    <e v="#N/A"/>
    <e v="#N/A"/>
    <s v="FI-401"/>
    <e v="#N/A"/>
  </r>
  <r>
    <x v="37"/>
    <n v="300"/>
    <x v="0"/>
    <s v="Mujeres"/>
    <n v="270110002"/>
    <x v="1"/>
    <x v="0"/>
    <x v="0"/>
    <x v="0"/>
    <s v="Región"/>
    <s v="Cantidad de Mujeres Atendidas Nacional"/>
    <s v="Periodo 2017-2019"/>
    <s v="Número de atenciones"/>
    <s v="Servicio Nacional de la Mujer y la Equidad de Género"/>
    <x v="37"/>
    <s v="Gráfico que muestra la cantidad de mujeres atendidas en Centros de Atención y Reparación para Mujeres Víctimas/Sobrevivientes de Violencia Sexual por región en la fase de Atención Reparatoria (AR), de acuerdo a los datos publicados por el Servicio Nacional de la Mujer y la Equidad de Género de Chile para el Periodo 2017-2019."/>
    <s v="Gráfico"/>
    <s v="mujer mujeres género violencia minmeg sernameg ministerio de la mujer centro sexual víctimas sobrevivientes atención"/>
    <x v="37"/>
    <s v="300-R"/>
    <s v="#1774B97"/>
    <s v="300-0038"/>
    <n v="40200003"/>
    <e v="#N/A"/>
    <e v="#N/A"/>
    <s v="FI-401"/>
    <e v="#N/A"/>
  </r>
  <r>
    <x v="38"/>
    <n v="300"/>
    <x v="0"/>
    <s v="Mujeres"/>
    <n v="270110003"/>
    <x v="1"/>
    <x v="0"/>
    <x v="0"/>
    <x v="0"/>
    <s v="Región"/>
    <s v="Cantidad de Mujeres Atendidas Nacional"/>
    <s v="Periodo 2017-2019"/>
    <s v="Número de atenciones"/>
    <s v="Servicio Nacional de la Mujer y la Equidad de Género"/>
    <x v="38"/>
    <s v="Gráfico que muestra la cantidad de mujeres atendidas en Centros de Atención y Reparación para Mujeres Víctimas/Sobrevivientes de Violencia Sexual que continúan del año anterior por región, de acuerdo a los datos publicados por el Servicio Nacional de la Mujer y la Equidad de Género de Chile para el Periodo 2017-2019. Las mujeres que continúan del año anterior aún tienen su proceso de intervención vigente."/>
    <s v="Gráfico"/>
    <s v="mujer mujeres género violencia minmeg sernameg ministerio de la mujer centro sexual víctimas sobrevivientes atención"/>
    <x v="38"/>
    <s v="300-R"/>
    <s v="#1774B98"/>
    <s v="300-0039"/>
    <n v="40200004"/>
    <e v="#N/A"/>
    <e v="#N/A"/>
    <s v="FI-401"/>
    <e v="#N/A"/>
  </r>
  <r>
    <x v="39"/>
    <n v="300"/>
    <x v="0"/>
    <s v="Mujeres"/>
    <n v="0"/>
    <x v="2"/>
    <x v="0"/>
    <x v="0"/>
    <x v="0"/>
    <s v="Ninguno"/>
    <s v="Cantidad de Registros Nacional"/>
    <s v="Periodo 2015-2019"/>
    <s v="Número de atenciones"/>
    <s v="Servicio Nacional de la Mujer y la Equidad de Género"/>
    <x v="39"/>
    <s v="Gráfico que muestra la cantidad de registros existentes en Centros de Reeducación de Hombres por tipo de procedimiento, de acuerdo a los datos publicados por el Servicio Nacional de la Mujer y la Equidad de Género de Chile para el Periodo 2015-2019."/>
    <s v="Gráfico"/>
    <s v="hombre hombres violencia minmeg sernameg centro reeducación"/>
    <x v="39"/>
    <n v="0"/>
    <s v="#1774B99"/>
    <s v="300-0040"/>
    <n v="40200005"/>
    <e v="#N/A"/>
    <e v="#N/A"/>
    <s v="FI-401"/>
    <e v="#N/A"/>
  </r>
  <r>
    <x v="40"/>
    <n v="300"/>
    <x v="0"/>
    <s v="Mujeres"/>
    <n v="270108"/>
    <x v="0"/>
    <x v="0"/>
    <x v="0"/>
    <x v="0"/>
    <s v="Ninguno"/>
    <s v="Cantidad de Mujeres Atendidas Nacional"/>
    <s v="Periodo 2014-2019"/>
    <s v="Número de atenciones"/>
    <s v="Servicio Nacional de la Mujer y la Equidad de Género"/>
    <x v="40"/>
    <s v="Gráfico que muestra la cantidad de mujeres atendidas por procedimiento en Centros de la Mujer, de acuerdo a los datos publicados por el Servicio Nacional de la Mujer y la Equidad de Género de Chile para el Periodo 2014-2019."/>
    <s v="Gráfico"/>
    <s v="mujer mujeres género violencia minmeg sernameg ministerio de la mujer centro de la mujer delitos atenciones"/>
    <x v="40"/>
    <n v="0"/>
    <s v="#1774B100"/>
    <s v="300-0041"/>
    <n v="40200006"/>
    <e v="#N/A"/>
    <e v="#N/A"/>
    <s v="FI-401"/>
    <e v="#N/A"/>
  </r>
  <r>
    <x v="41"/>
    <n v="300"/>
    <x v="0"/>
    <s v="Mujeres"/>
    <n v="270109"/>
    <x v="3"/>
    <x v="0"/>
    <x v="0"/>
    <x v="0"/>
    <s v="Ninguno"/>
    <s v="Cantidad de Mujeres Atendidas Nacional"/>
    <s v="Periodo 2014-2019"/>
    <s v="Número de atenciones"/>
    <s v="Servicio Nacional de la Mujer y la Equidad de Género"/>
    <x v="41"/>
    <s v="Gráfico que muestra la cantidad de mujeres atendidas por procedimiento en Casas de Acogida, de acuerdo a los datos publicados por el Servicio Nacional de la Mujer y la Equidad de Género de Chile para el Periodo 2014-2019."/>
    <s v="Gráfico"/>
    <s v="mujer mujeres género violencia minmeg sernameg ministerio de la mujer casa de la mujer delitos atenciones"/>
    <x v="41"/>
    <n v="0"/>
    <s v="#1774B101"/>
    <s v="300-0042"/>
    <n v="40200007"/>
    <e v="#N/A"/>
    <e v="#N/A"/>
    <s v="FI-401"/>
    <e v="#N/A"/>
  </r>
  <r>
    <x v="42"/>
    <n v="300"/>
    <x v="0"/>
    <s v="Mujeres"/>
    <n v="270108"/>
    <x v="0"/>
    <x v="0"/>
    <x v="0"/>
    <x v="0"/>
    <s v="Ninguno"/>
    <s v="Cantidad de Mujeres Atendidas Nacional"/>
    <s v="Periodo 2014-2019"/>
    <s v="Número de atenciones"/>
    <s v="Servicio Nacional de la Mujer y la Equidad de Género"/>
    <x v="42"/>
    <s v="Gráfico que muestra la cantidad de mujeres atendidas por procedimiento en Centros de la Mujer, de acuerdo a los datos publicados por el Servicio Nacional de la Mujer y la Equidad de Género de Chile para el Periodo 2014-2019."/>
    <s v="Gráfico"/>
    <s v="mujer mujeres género violencia minmeg sernameg ministerio de la mujer centro de la mujer delitos atenciones"/>
    <x v="42"/>
    <n v="0"/>
    <s v="#1774B102"/>
    <s v="300-0043"/>
    <n v="40200008"/>
    <e v="#N/A"/>
    <e v="#N/A"/>
    <s v="FI-401"/>
    <e v="#N/A"/>
  </r>
  <r>
    <x v="43"/>
    <n v="300"/>
    <x v="0"/>
    <s v="Mujeres"/>
    <n v="270109"/>
    <x v="3"/>
    <x v="0"/>
    <x v="0"/>
    <x v="0"/>
    <s v="Ninguno"/>
    <s v="Cantidad de Mujeres Atendidas Nacional"/>
    <s v="Periodo 2014-2019"/>
    <s v="Número de atenciones"/>
    <s v="Servicio Nacional de la Mujer y la Equidad de Género"/>
    <x v="43"/>
    <s v="Gráfico que muestra la cantidad de mujeres atendidas por procedimiento en Casas de Acogida, de acuerdo a los datos publicados por el Servicio Nacional de la Mujer y la Equidad de Género de Chile para el Periodo 2014-2019."/>
    <s v="Gráfico"/>
    <s v="mujer mujeres género violencia minmeg sernameg ministerio de la mujer casa de la mujer delitos atenciones"/>
    <x v="43"/>
    <n v="0"/>
    <s v="#1774B103"/>
    <s v="300-0044"/>
    <n v="40200009"/>
    <e v="#N/A"/>
    <e v="#N/A"/>
    <s v="FI-401"/>
    <e v="#N/A"/>
  </r>
  <r>
    <x v="44"/>
    <n v="300"/>
    <x v="0"/>
    <s v="Mujeres"/>
    <n v="1"/>
    <x v="4"/>
    <x v="0"/>
    <x v="0"/>
    <x v="0"/>
    <s v="Ninguno"/>
    <s v="Cantidad de Mujeres Atendidas Nacional"/>
    <s v="Periodo 2014-2019"/>
    <s v="Número de atenciones"/>
    <s v="Servicio Nacional de la Mujer y la Equidad de Género"/>
    <x v="44"/>
    <s v="Gráfico que muestra la cantidad de mujeres atendidas por procedimiento en la fase de Atención, de acuerdo a los datos publicados por el Servicio Nacional de la Mujer y la Equidad de Género de Chile para el Periodo 2014-2019."/>
    <s v="Gráfico"/>
    <s v="mujer mujeres género violencia minmeg sernameg ministerio de la mujer delitos atenciones"/>
    <x v="44"/>
    <n v="0"/>
    <s v="#1774B104"/>
    <s v="300-0045"/>
    <n v="40200010"/>
    <e v="#N/A"/>
    <e v="#N/A"/>
    <s v="FI-401"/>
    <e v="#N/A"/>
  </r>
  <r>
    <x v="45"/>
    <n v="300"/>
    <x v="0"/>
    <s v="Mujeres"/>
    <n v="2"/>
    <x v="4"/>
    <x v="0"/>
    <x v="0"/>
    <x v="0"/>
    <s v="Ninguno"/>
    <s v="Cantidad de Mujeres Atendidas Nacional"/>
    <s v="Periodo 2014-2019"/>
    <s v="Número de atenciones"/>
    <s v="Servicio Nacional de la Mujer y la Equidad de Género"/>
    <x v="45"/>
    <s v="Gráfico que muestra la cantidad de mujeres atendidas por procedimiento en la fase de Ingreso, de acuerdo a los datos publicados por el Servicio Nacional de la Mujer y la Equidad de Género de Chile para el Periodo 2014-2019."/>
    <s v="Gráfico"/>
    <s v="mujer mujeres género violencia minmeg sernameg ministerio de la mujer delitos atenciones"/>
    <x v="45"/>
    <n v="0"/>
    <s v="#1774B105"/>
    <s v="300-0046"/>
    <n v="40200011"/>
    <e v="#N/A"/>
    <e v="#N/A"/>
    <s v="FI-401"/>
    <e v="#N/A"/>
  </r>
  <r>
    <x v="46"/>
    <n v="300"/>
    <x v="0"/>
    <s v="Mujeres"/>
    <n v="3"/>
    <x v="4"/>
    <x v="0"/>
    <x v="0"/>
    <x v="0"/>
    <s v="Ninguno"/>
    <s v="Cantidad de Mujeres Atendidas Nacional"/>
    <s v="Periodo 2014-2019"/>
    <s v="Número de atenciones"/>
    <s v="Servicio Nacional de la Mujer y la Equidad de Género"/>
    <x v="46"/>
    <s v="Gráfico que muestra la cantidad de mujeres atendidas por procedimiento en la fase de Pre Ingreso, de acuerdo a los datos publicados por el Servicio Nacional de la Mujer y la Equidad de Género de Chile para el Periodo 2014-2019."/>
    <s v="Gráfico"/>
    <s v="mujer mujeres género violencia minmeg sernameg ministerio de la mujer delitos atenciones"/>
    <x v="46"/>
    <n v="0"/>
    <s v="#1774B106"/>
    <s v="300-0047"/>
    <n v="40200012"/>
    <e v="#N/A"/>
    <e v="#N/A"/>
    <s v="FI-401"/>
    <e v="#N/A"/>
  </r>
  <r>
    <x v="47"/>
    <n v="300"/>
    <x v="0"/>
    <s v="Mujeres"/>
    <n v="4"/>
    <x v="4"/>
    <x v="0"/>
    <x v="0"/>
    <x v="0"/>
    <s v="Ninguno"/>
    <s v="Cantidad de Mujeres Atendidas Nacional"/>
    <s v="Periodo 2014-2019"/>
    <s v="Número de atenciones"/>
    <s v="Servicio Nacional de la Mujer y la Equidad de Género"/>
    <x v="47"/>
    <s v="Gráfico que muestra la cantidad de mujeres atendidas por procedimiento en la fase de Salida, de acuerdo a los datos publicados por el Servicio Nacional de la Mujer y la Equidad de Género de Chile para el Periodo 2014-2019."/>
    <s v="Gráfico"/>
    <s v="mujer mujeres género violencia minmeg sernameg ministerio de la mujer delitos atenciones"/>
    <x v="47"/>
    <n v="0"/>
    <s v="#1774B107"/>
    <s v="300-0048"/>
    <n v="40200013"/>
    <e v="#N/A"/>
    <e v="#N/A"/>
    <s v="FI-401"/>
    <e v="#N/A"/>
  </r>
  <r>
    <x v="48"/>
    <n v="300"/>
    <x v="0"/>
    <s v="Mujeres"/>
    <n v="0"/>
    <x v="0"/>
    <x v="0"/>
    <x v="0"/>
    <x v="0"/>
    <s v="Comuna"/>
    <s v="Cantidad de Centros de la Mujer Nacional"/>
    <s v="Año 2021"/>
    <s v="Número de centros"/>
    <s v="Servicio Nacional de la Mujer y la Equidad de Género"/>
    <x v="48"/>
    <s v="Mapa que muestra los Centros de la Mujer por comuna, de acuerdo a los datos publicados por el Servicio Nacional de la Mujer y la Equidad de Género de Chile para el año 2021."/>
    <s v="Gráfico"/>
    <s v="mujer mujeres género violencia minmeg sernameg ministerio centro apoyo comunal"/>
    <x v="48"/>
    <s v="300-C"/>
    <s v="#1774B107"/>
    <s v="300-0049"/>
    <n v="40200014"/>
    <e v="#N/A"/>
    <e v="#N/A"/>
    <s v="FI-401"/>
    <e v="#N/A"/>
  </r>
  <r>
    <x v="49"/>
    <n v="300"/>
    <x v="0"/>
    <s v="Mujeres"/>
    <n v="0"/>
    <x v="0"/>
    <x v="0"/>
    <x v="0"/>
    <x v="0"/>
    <s v="Región"/>
    <s v="Cantidad de Centros de la Mujer Nacional"/>
    <s v="Año 2021"/>
    <s v="Número de centros"/>
    <s v="Servicio Nacional de la Mujer y la Equidad de Género"/>
    <x v="49"/>
    <s v="Gráfico que muestra la cantidad de Centros de la Mujer por tipo de atención en  Chile, de acuerdo a los datos publicados por el Servicio Nacional de la Mujer y la Equidad de Género para el Periodo 2015-2019."/>
    <s v="Gráfico"/>
    <s v="mujer mujeres género violencia minmeg sernameg ministerio centro apoyo chile atención"/>
    <x v="49"/>
    <s v="300-R"/>
    <s v="#1774B107"/>
    <s v="300-0050"/>
    <n v="40200015"/>
    <e v="#N/A"/>
    <e v="#N/A"/>
    <s v="FI-401"/>
    <e v="#N/A"/>
  </r>
  <r>
    <x v="50"/>
    <n v="300"/>
    <x v="0"/>
    <s v="Mujeres"/>
    <n v="0"/>
    <x v="5"/>
    <x v="1"/>
    <x v="0"/>
    <x v="0"/>
    <s v="Región"/>
    <s v="Sentencias Dictadas por Delitos de Abuso Sexual"/>
    <s v="Periodo 2013-2019"/>
    <s v="Número de sentencias"/>
    <s v="Poder Judicial"/>
    <x v="50"/>
    <s v="El gráfico muestra la evolución anual de la frecuencia de Sentencias Dictadas por Delitos de Abuso Sexual por región en la tipología de  Delitos sexuales, para el Periodo 2013-2019 de acuerdo a datos provenientes del Poder Judicial de Chile."/>
    <s v="Gráfico de Evolución"/>
    <s v="abuso sexual delitos género violencia mujer mujeres casos víctimas detenciones sentencias regional"/>
    <x v="50"/>
    <s v="300-R"/>
    <s v="#1774B9"/>
    <s v="300-0051"/>
    <n v="40200016"/>
    <e v="#N/A"/>
    <e v="#N/A"/>
    <s v="FI-401"/>
    <e v="#N/A"/>
  </r>
  <r>
    <x v="51"/>
    <n v="300"/>
    <x v="0"/>
    <s v="Mujeres"/>
    <n v="0"/>
    <x v="5"/>
    <x v="1"/>
    <x v="0"/>
    <x v="0"/>
    <s v="Ninguno"/>
    <s v="Sentencias Dictadas por Delitos de Abuso Sexual"/>
    <s v="Periodo 2013-2019"/>
    <s v="Número de sentencias"/>
    <s v="Poder Judicial"/>
    <x v="51"/>
    <s v="El gráfico muestra la evolución anual de la frecuencia de Sentencias Dictadas por Delitos de Abuso Sexual por Juzgado de Garantía en la tipología de  Delitos sexuales, para el Periodo 2013-2019 de acuerdo a datos provenientes del Poder Judicial de Chile."/>
    <s v="Gráfico de Evolución"/>
    <s v="abuso sexual delitos género violencia mujer mujeres casos víctimas detenciones sentencias juzgado garantía"/>
    <x v="51"/>
    <s v="300-C"/>
    <s v="#1774B10"/>
    <s v="300-0052"/>
    <n v="40200001"/>
    <e v="#N/A"/>
    <e v="#N/A"/>
    <s v="FI-401"/>
    <e v="#N/A"/>
  </r>
  <r>
    <x v="52"/>
    <n v="300"/>
    <x v="0"/>
    <s v="Mujeres"/>
    <n v="0"/>
    <x v="5"/>
    <x v="1"/>
    <x v="0"/>
    <x v="0"/>
    <s v="Ninguno"/>
    <s v="Sentencias Dictadas por Delitos de Abuso Sexual"/>
    <s v="Periodo 2013-2019"/>
    <s v="Número de sentencias"/>
    <s v="Poder Judicial"/>
    <x v="52"/>
    <s v="El gráfico muestra la evolución anual de la frecuencia de Sentencias Dictadas por Delitos de Abuso Sexual por Delito en la tipología de  Delitos sexuales, para el Periodo 2013-2019 de acuerdo a datos provenientes del Poder Judicial de Chile."/>
    <s v="Gráfico de Evolución"/>
    <s v="abuso sexual delitos género violencia mujer mujeres casos víctimas detenciones sentencias"/>
    <x v="52"/>
    <s v="300-R"/>
    <s v="#1774B11"/>
    <s v="300-0053"/>
    <n v="40200002"/>
    <e v="#N/A"/>
    <e v="#N/A"/>
    <s v="FI-401"/>
    <e v="#N/A"/>
  </r>
  <r>
    <x v="53"/>
    <n v="300"/>
    <x v="0"/>
    <s v="Mujeres"/>
    <n v="1"/>
    <x v="5"/>
    <x v="1"/>
    <x v="1"/>
    <x v="1"/>
    <s v="Ninguno"/>
    <s v="Sentencias Dictadas por Delitos de Abuso Sexual"/>
    <s v="Periodo 2013-2019"/>
    <s v="Número de sentencias"/>
    <s v="Poder Judicial"/>
    <x v="53"/>
    <s v="Gráfico que muestra la frecuencia mensual de Sentencias Dictadas por Delitos de Abuso Sexual en la Calama durante el Periodo 2013-2019 de acuerdo a datos provenientes del Poder Judicial de Chile."/>
    <s v="Gráfico de Evolución"/>
    <s v="abuso sexual delitos género violencia mujer mujeres casos víctimas detenciones sentencias tarapacá"/>
    <x v="53"/>
    <s v="100-R-1"/>
    <s v="#1774B12"/>
    <s v="300-0054"/>
    <n v="40200003"/>
    <e v="#N/A"/>
    <e v="#N/A"/>
    <s v="FI-401"/>
    <e v="#N/A"/>
  </r>
  <r>
    <x v="54"/>
    <n v="300"/>
    <x v="0"/>
    <s v="Mujeres"/>
    <n v="2"/>
    <x v="5"/>
    <x v="1"/>
    <x v="1"/>
    <x v="2"/>
    <s v="Ninguno"/>
    <s v="Sentencias Dictadas por Delitos de Abuso Sexual"/>
    <s v="Periodo 2013-2019"/>
    <s v="Número de sentencias"/>
    <s v="Poder Judicial"/>
    <x v="54"/>
    <s v="Gráfico que muestra la frecuencia mensual de Sentencias Dictadas por Delitos de Abuso Sexual en la Tocopilla durante el Periodo 2013-2019 de acuerdo a datos provenientes del Poder Judicial de Chile."/>
    <s v="Gráfico de Evolución"/>
    <s v="abuso sexual delitos género violencia mujer mujeres casos víctimas detenciones sentencias antofagasta"/>
    <x v="54"/>
    <s v="100-R-2"/>
    <s v="#1774B13"/>
    <s v="300-0055"/>
    <n v="40200004"/>
    <e v="#N/A"/>
    <e v="#N/A"/>
    <s v="FI-401"/>
    <e v="#N/A"/>
  </r>
  <r>
    <x v="55"/>
    <n v="300"/>
    <x v="0"/>
    <s v="Mujeres"/>
    <n v="3"/>
    <x v="5"/>
    <x v="1"/>
    <x v="1"/>
    <x v="3"/>
    <s v="Ninguno"/>
    <s v="Sentencias Dictadas por Delitos de Abuso Sexual"/>
    <s v="Periodo 2013-2019"/>
    <s v="Número de sentencias"/>
    <s v="Poder Judicial"/>
    <x v="55"/>
    <s v="Gráfico que muestra la frecuencia mensual de Sentencias Dictadas por Delitos de Abuso Sexual en la Copiapo durante el Periodo 2013-2019 de acuerdo a datos provenientes del Poder Judicial de Chile."/>
    <s v="Gráfico de Evolución"/>
    <s v="abuso sexual delitos género violencia mujer mujeres casos víctimas detenciones sentencias atacama"/>
    <x v="55"/>
    <s v="100-R-3"/>
    <s v="#1774B14"/>
    <s v="300-0056"/>
    <n v="40200005"/>
    <e v="#N/A"/>
    <e v="#N/A"/>
    <s v="FI-401"/>
    <e v="#N/A"/>
  </r>
  <r>
    <x v="56"/>
    <n v="300"/>
    <x v="0"/>
    <s v="Mujeres"/>
    <n v="4"/>
    <x v="5"/>
    <x v="1"/>
    <x v="1"/>
    <x v="4"/>
    <s v="Ninguno"/>
    <s v="Sentencias Dictadas por Delitos de Abuso Sexual"/>
    <s v="Periodo 2013-2019"/>
    <s v="Número de sentencias"/>
    <s v="Poder Judicial"/>
    <x v="56"/>
    <s v="Gráfico que muestra la frecuencia mensual de Sentencias Dictadas por Delitos de Abuso Sexual en la Diego de Almagro durante el Periodo 2013-2019 de acuerdo a datos provenientes del Poder Judicial de Chile."/>
    <s v="Gráfico de Evolución"/>
    <s v="abuso sexual delitos género violencia mujer mujeres casos víctimas detenciones sentencias coquimbo"/>
    <x v="56"/>
    <s v="100-R-4"/>
    <s v="#1774B15"/>
    <s v="300-0057"/>
    <n v="40200006"/>
    <e v="#N/A"/>
    <e v="#N/A"/>
    <s v="FI-401"/>
    <e v="#N/A"/>
  </r>
  <r>
    <x v="57"/>
    <n v="300"/>
    <x v="0"/>
    <s v="Mujeres"/>
    <n v="5"/>
    <x v="5"/>
    <x v="1"/>
    <x v="1"/>
    <x v="5"/>
    <s v="Ninguno"/>
    <s v="Sentencias Dictadas por Delitos de Abuso Sexual"/>
    <s v="Periodo 2013-2019"/>
    <s v="Número de sentencias"/>
    <s v="Poder Judicial"/>
    <x v="57"/>
    <s v="Gráfico que muestra la frecuencia mensual de Sentencias Dictadas por Delitos de Abuso Sexual en la Vallenar durante el Periodo 2013-2019 de acuerdo a datos provenientes del Poder Judicial de Chile."/>
    <s v="Gráfico de Evolución"/>
    <s v="abuso sexual delitos género violencia mujer mujeres casos víctimas detenciones sentencias valparaíso"/>
    <x v="57"/>
    <s v="100-R-5"/>
    <s v="#1774B16"/>
    <s v="300-0058"/>
    <n v="40200007"/>
    <e v="#N/A"/>
    <e v="#N/A"/>
    <s v="FI-401"/>
    <e v="#N/A"/>
  </r>
  <r>
    <x v="58"/>
    <n v="300"/>
    <x v="0"/>
    <s v="Mujeres"/>
    <n v="6"/>
    <x v="5"/>
    <x v="1"/>
    <x v="1"/>
    <x v="6"/>
    <s v="Ninguno"/>
    <s v="Sentencias Dictadas por Delitos de Abuso Sexual"/>
    <s v="Periodo 2013-2019"/>
    <s v="Número de sentencias"/>
    <s v="Poder Judicial"/>
    <x v="58"/>
    <s v="Gráfico que muestra la frecuencia mensual de Sentencias Dictadas por Delitos de Abuso Sexual en la Coquimbo durante el Periodo 2013-2019 de acuerdo a datos provenientes del Poder Judicial de Chile."/>
    <s v="Gráfico de Evolución"/>
    <s v="abuso sexual delitos género violencia mujer mujeres casos víctimas detenciones sentencias ohiggins"/>
    <x v="58"/>
    <s v="100-R-6"/>
    <s v="#1774B17"/>
    <s v="300-0059"/>
    <n v="40200008"/>
    <e v="#N/A"/>
    <e v="#N/A"/>
    <s v="FI-401"/>
    <e v="#N/A"/>
  </r>
  <r>
    <x v="59"/>
    <n v="300"/>
    <x v="0"/>
    <s v="Mujeres"/>
    <n v="7"/>
    <x v="5"/>
    <x v="1"/>
    <x v="1"/>
    <x v="7"/>
    <s v="Ninguno"/>
    <s v="Sentencias Dictadas por Delitos de Abuso Sexual"/>
    <s v="Periodo 2013-2019"/>
    <s v="Número de sentencias"/>
    <s v="Poder Judicial"/>
    <x v="59"/>
    <s v="Gráfico que muestra la frecuencia mensual de Sentencias Dictadas por Delitos de Abuso Sexual en la Illapel durante el Periodo 2013-2019 de acuerdo a datos provenientes del Poder Judicial de Chile."/>
    <s v="Gráfico de Evolución"/>
    <s v="abuso sexual delitos género violencia mujer mujeres casos víctimas detenciones sentencias maule"/>
    <x v="59"/>
    <s v="100-R-7"/>
    <s v="#1774B18"/>
    <s v="300-0060"/>
    <n v="40200009"/>
    <e v="#N/A"/>
    <e v="#N/A"/>
    <s v="FI-401"/>
    <e v="#N/A"/>
  </r>
  <r>
    <x v="60"/>
    <n v="300"/>
    <x v="0"/>
    <s v="Mujeres"/>
    <n v="8"/>
    <x v="5"/>
    <x v="1"/>
    <x v="1"/>
    <x v="8"/>
    <s v="Ninguno"/>
    <s v="Sentencias Dictadas por Delitos de Abuso Sexual"/>
    <s v="Periodo 2013-2019"/>
    <s v="Número de sentencias"/>
    <s v="Poder Judicial"/>
    <x v="60"/>
    <s v="Gráfico que muestra la frecuencia mensual de Sentencias Dictadas por Delitos de Abuso Sexual en la La Serena durante el Periodo 2013-2019 de acuerdo a datos provenientes del Poder Judicial de Chile."/>
    <s v="Gráfico de Evolución"/>
    <s v="abuso sexual delitos género violencia mujer mujeres casos víctimas detenciones sentencias biobío"/>
    <x v="60"/>
    <s v="100-R-8"/>
    <s v="#1774B19"/>
    <s v="300-0061"/>
    <n v="40200010"/>
    <e v="#N/A"/>
    <e v="#N/A"/>
    <s v="FI-401"/>
    <e v="#N/A"/>
  </r>
  <r>
    <x v="61"/>
    <n v="300"/>
    <x v="0"/>
    <s v="Mujeres"/>
    <n v="9"/>
    <x v="5"/>
    <x v="1"/>
    <x v="1"/>
    <x v="9"/>
    <s v="Ninguno"/>
    <s v="Sentencias Dictadas por Delitos de Abuso Sexual"/>
    <s v="Periodo 2013-2019"/>
    <s v="Número de sentencias"/>
    <s v="Poder Judicial"/>
    <x v="61"/>
    <s v="Gráfico que muestra la frecuencia mensual de Sentencias Dictadas por Delitos de Abuso Sexual en la Ovalle durante el Periodo 2013-2019 de acuerdo a datos provenientes del Poder Judicial de Chile."/>
    <s v="Gráfico de Evolución"/>
    <s v="abuso sexual delitos género violencia mujer mujeres casos víctimas detenciones sentencias araucanía"/>
    <x v="61"/>
    <s v="100-R-9"/>
    <s v="#1774B20"/>
    <s v="300-0062"/>
    <n v="40200011"/>
    <e v="#N/A"/>
    <e v="#N/A"/>
    <s v="FI-401"/>
    <e v="#N/A"/>
  </r>
  <r>
    <x v="62"/>
    <n v="300"/>
    <x v="0"/>
    <s v="Mujeres"/>
    <n v="10"/>
    <x v="5"/>
    <x v="1"/>
    <x v="1"/>
    <x v="10"/>
    <s v="Ninguno"/>
    <s v="Sentencias Dictadas por Delitos de Abuso Sexual"/>
    <s v="Periodo 2013-2019"/>
    <s v="Número de sentencias"/>
    <s v="Poder Judicial"/>
    <x v="62"/>
    <s v="Gráfico que muestra la frecuencia mensual de Sentencias Dictadas por Delitos de Abuso Sexual en la Vicuña durante el Periodo 2013-2019 de acuerdo a datos provenientes del Poder Judicial de Chile."/>
    <s v="Gráfico de Evolución"/>
    <s v="abuso sexual delitos género violencia mujer mujeres casos víctimas detenciones sentencias lagos"/>
    <x v="62"/>
    <s v="100-R-10"/>
    <s v="#1774B21"/>
    <s v="300-0063"/>
    <n v="40200012"/>
    <e v="#N/A"/>
    <e v="#N/A"/>
    <s v="FI-401"/>
    <e v="#N/A"/>
  </r>
  <r>
    <x v="63"/>
    <n v="300"/>
    <x v="0"/>
    <s v="Mujeres"/>
    <n v="11"/>
    <x v="5"/>
    <x v="1"/>
    <x v="1"/>
    <x v="11"/>
    <s v="Ninguno"/>
    <s v="Sentencias Dictadas por Delitos de Abuso Sexual"/>
    <s v="Periodo 2013-2019"/>
    <s v="Número de sentencias"/>
    <s v="Poder Judicial"/>
    <x v="63"/>
    <s v="Gráfico que muestra la frecuencia mensual de Sentencias Dictadas por Delitos de Abuso Sexual en la Calera durante el Periodo 2013-2019 de acuerdo a datos provenientes del Poder Judicial de Chile."/>
    <s v="Gráfico de Evolución"/>
    <s v="abuso sexual delitos género violencia mujer mujeres casos víctimas detenciones sentencias aysén"/>
    <x v="63"/>
    <s v="100-R-11"/>
    <s v="#1774B22"/>
    <s v="300-0064"/>
    <n v="40200013"/>
    <e v="#N/A"/>
    <e v="#N/A"/>
    <s v="FI-401"/>
    <e v="#N/A"/>
  </r>
  <r>
    <x v="64"/>
    <n v="300"/>
    <x v="0"/>
    <s v="Mujeres"/>
    <n v="12"/>
    <x v="5"/>
    <x v="1"/>
    <x v="1"/>
    <x v="12"/>
    <s v="Ninguno"/>
    <s v="Sentencias Dictadas por Delitos de Abuso Sexual"/>
    <s v="Periodo 2013-2019"/>
    <s v="Número de sentencias"/>
    <s v="Poder Judicial"/>
    <x v="64"/>
    <s v="Gráfico que muestra la frecuencia mensual de Sentencias Dictadas por Delitos de Abuso Sexual en la La Ligua durante el Periodo 2013-2019 de acuerdo a datos provenientes del Poder Judicial de Chile."/>
    <s v="Gráfico de Evolución"/>
    <s v="abuso sexual delitos género violencia mujer mujeres casos víctimas detenciones sentencias magallanes"/>
    <x v="64"/>
    <s v="100-R-12"/>
    <s v="#1774B23"/>
    <s v="300-0065"/>
    <n v="40200014"/>
    <e v="#N/A"/>
    <e v="#N/A"/>
    <s v="FI-401"/>
    <e v="#N/A"/>
  </r>
  <r>
    <x v="65"/>
    <n v="300"/>
    <x v="0"/>
    <s v="Mujeres"/>
    <n v="13"/>
    <x v="5"/>
    <x v="1"/>
    <x v="1"/>
    <x v="13"/>
    <s v="Ninguno"/>
    <s v="Sentencias Dictadas por Delitos de Abuso Sexual"/>
    <s v="Periodo 2013-2019"/>
    <s v="Número de sentencias"/>
    <s v="Poder Judicial"/>
    <x v="65"/>
    <s v="Gráfico que muestra la frecuencia mensual de Sentencias Dictadas por Delitos de Abuso Sexual en la Limache durante el Periodo 2013-2019 de acuerdo a datos provenientes del Poder Judicial de Chile."/>
    <s v="Gráfico de Evolución"/>
    <s v="abuso sexual delitos género violencia mujer mujeres casos víctimas detenciones sentencias metropolitana"/>
    <x v="65"/>
    <s v="200-R-13"/>
    <s v="#1774B24"/>
    <s v="300-0066"/>
    <n v="40200015"/>
    <e v="#N/A"/>
    <e v="#N/A"/>
    <s v="FI-401"/>
    <e v="#N/A"/>
  </r>
  <r>
    <x v="66"/>
    <n v="300"/>
    <x v="0"/>
    <s v="Mujeres"/>
    <n v="14"/>
    <x v="5"/>
    <x v="1"/>
    <x v="1"/>
    <x v="14"/>
    <s v="Ninguno"/>
    <s v="Sentencias Dictadas por Delitos de Abuso Sexual"/>
    <s v="Periodo 2013-2019"/>
    <s v="Número de sentencias"/>
    <s v="Poder Judicial"/>
    <x v="66"/>
    <s v="Gráfico que muestra la frecuencia mensual de Sentencias Dictadas por Delitos de Abuso Sexual en la Los Andes durante el Periodo 2013-2019 de acuerdo a datos provenientes del Poder Judicial de Chile."/>
    <s v="Gráfico de Evolución"/>
    <s v="abuso sexual delitos género violencia mujer mujeres casos víctimas detenciones sentencias ríos"/>
    <x v="66"/>
    <s v="100-R-14"/>
    <s v="#1774B25"/>
    <s v="300-0067"/>
    <n v="40200016"/>
    <e v="#N/A"/>
    <e v="#N/A"/>
    <s v="FI-401"/>
    <e v="#N/A"/>
  </r>
  <r>
    <x v="67"/>
    <n v="300"/>
    <x v="0"/>
    <s v="Mujeres"/>
    <n v="15"/>
    <x v="5"/>
    <x v="1"/>
    <x v="1"/>
    <x v="15"/>
    <s v="Ninguno"/>
    <s v="Sentencias Dictadas por Delitos de Abuso Sexual"/>
    <s v="Periodo 2013-2019"/>
    <s v="Número de sentencias"/>
    <s v="Poder Judicial"/>
    <x v="67"/>
    <s v="Gráfico que muestra la frecuencia mensual de Sentencias Dictadas por Delitos de Abuso Sexual en la Quillota durante el Periodo 2013-2019 de acuerdo a datos provenientes del Poder Judicial de Chile."/>
    <s v="Gráfico de Evolución"/>
    <s v="abuso sexual delitos género violencia mujer mujeres casos víctimas detenciones sentencias arica parinacota"/>
    <x v="67"/>
    <s v="100-R-15"/>
    <s v="#1774B77"/>
    <s v="300-0068"/>
    <e v="#N/A"/>
    <e v="#N/A"/>
    <e v="#N/A"/>
    <s v="FI-401"/>
    <e v="#N/A"/>
  </r>
  <r>
    <x v="68"/>
    <n v="300"/>
    <x v="0"/>
    <s v="Mujeres"/>
    <n v="16"/>
    <x v="5"/>
    <x v="1"/>
    <x v="1"/>
    <x v="16"/>
    <s v="Ninguno"/>
    <s v="Sentencias Dictadas por Delitos de Abuso Sexual"/>
    <s v="Periodo 2013-2019"/>
    <s v="Número de sentencias"/>
    <s v="Poder Judicial"/>
    <x v="68"/>
    <s v="Gráfico que muestra la frecuencia mensual de Sentencias Dictadas por Delitos de Abuso Sexual en la Quilpue durante el Periodo 2013-2019 de acuerdo a datos provenientes del Poder Judicial de Chile."/>
    <s v="Gráfico de Evolución"/>
    <s v="abuso sexual delitos género violencia mujer mujeres casos víctimas detenciones sentencias ñuble"/>
    <x v="68"/>
    <s v="100-R-16"/>
    <s v="#1774B78"/>
    <s v="300-0069"/>
    <e v="#N/A"/>
    <e v="#N/A"/>
    <e v="#N/A"/>
    <s v="FI-401"/>
    <e v="#N/A"/>
  </r>
  <r>
    <x v="69"/>
    <n v="300"/>
    <x v="0"/>
    <s v="Mujeres"/>
    <n v="1"/>
    <x v="5"/>
    <x v="1"/>
    <x v="1"/>
    <x v="1"/>
    <s v="Ninguno"/>
    <s v="Sentencias Dictadas por Delitos de Abuso Sexual"/>
    <s v="Periodo 2013-2019"/>
    <s v="Número de sentencias"/>
    <s v="Poder Judicial"/>
    <x v="69"/>
    <s v="El gráfico muestra la evolución anual de la frecuencia de Sentencias Dictadas por Delitos de Abuso Sexual por Juzgado de Garantía en la San Felipe durante el Periodo 2013-2019 de acuerdo a datos provenientes del Poder Judicial de Chile."/>
    <s v="Gráfico de Evolución"/>
    <s v="abuso sexual delitos género violencia mujer mujeres casos víctimas detenciones sentencias tarapacá juzgado garantía"/>
    <x v="69"/>
    <s v="100-C-1"/>
    <s v="#1774B79"/>
    <s v="300-0070"/>
    <e v="#N/A"/>
    <e v="#N/A"/>
    <e v="#N/A"/>
    <s v="FI-401"/>
    <e v="#N/A"/>
  </r>
  <r>
    <x v="70"/>
    <n v="300"/>
    <x v="0"/>
    <s v="Mujeres"/>
    <n v="2"/>
    <x v="5"/>
    <x v="1"/>
    <x v="1"/>
    <x v="2"/>
    <s v="Ninguno"/>
    <s v="Sentencias Dictadas por Delitos de Abuso Sexual"/>
    <s v="Periodo 2013-2019"/>
    <s v="Número de sentencias"/>
    <s v="Poder Judicial"/>
    <x v="70"/>
    <s v="El gráfico muestra la evolución anual de la frecuencia de Sentencias Dictadas por Delitos de Abuso Sexual por Juzgado de Garantía en la Valparaiso durante el Periodo 2013-2019 de acuerdo a datos provenientes del Poder Judicial de Chile."/>
    <s v="Gráfico de Evolución"/>
    <s v="abuso sexual delitos género violencia mujer mujeres casos víctimas detenciones sentencias juzgado garantía antofagasta"/>
    <x v="70"/>
    <s v="100-C-2"/>
    <s v="#1774B80"/>
    <s v="300-0071"/>
    <e v="#N/A"/>
    <e v="#N/A"/>
    <e v="#N/A"/>
    <s v="FI-401"/>
    <e v="#N/A"/>
  </r>
  <r>
    <x v="71"/>
    <n v="300"/>
    <x v="0"/>
    <s v="Mujeres"/>
    <n v="3"/>
    <x v="5"/>
    <x v="1"/>
    <x v="1"/>
    <x v="3"/>
    <s v="Ninguno"/>
    <s v="Sentencias Dictadas por Delitos de Abuso Sexual"/>
    <s v="Periodo 2013-2019"/>
    <s v="Número de sentencias"/>
    <s v="Poder Judicial"/>
    <x v="71"/>
    <s v="El gráfico muestra la evolución anual de la frecuencia de Sentencias Dictadas por Delitos de Abuso Sexual por Juzgado de Garantía en la Villa Alemana durante el Periodo 2013-2019 de acuerdo a datos provenientes del Poder Judicial de Chile."/>
    <s v="Gráfico de Evolución"/>
    <s v="abuso sexual delitos género violencia mujer mujeres casos víctimas detenciones sentencias juzgado garantía atacama"/>
    <x v="71"/>
    <s v="100-C-3"/>
    <s v="#1774B81"/>
    <s v="300-0072"/>
    <e v="#N/A"/>
    <e v="#N/A"/>
    <e v="#N/A"/>
    <s v="FI-401"/>
    <e v="#N/A"/>
  </r>
  <r>
    <x v="72"/>
    <n v="300"/>
    <x v="0"/>
    <s v="Mujeres"/>
    <n v="4"/>
    <x v="5"/>
    <x v="1"/>
    <x v="1"/>
    <x v="4"/>
    <s v="Ninguno"/>
    <s v="Sentencias Dictadas por Delitos de Abuso Sexual"/>
    <s v="Periodo 2013-2019"/>
    <s v="Número de sentencias"/>
    <s v="Poder Judicial"/>
    <x v="72"/>
    <s v="El gráfico muestra la evolución anual de la frecuencia de Sentencias Dictadas por Delitos de Abuso Sexual por Juzgado de Garantía en la Viña Del Mar durante el Periodo 2013-2019 de acuerdo a datos provenientes del Poder Judicial de Chile."/>
    <s v="Gráfico de Evolución"/>
    <s v="abuso sexual delitos género violencia mujer mujeres casos víctimas detenciones sentencias coquimbo juzgado garantía"/>
    <x v="72"/>
    <s v="100-C-4"/>
    <s v="#1774B82"/>
    <s v="300-0073"/>
    <e v="#N/A"/>
    <e v="#N/A"/>
    <e v="#N/A"/>
    <s v="FI-401"/>
    <e v="#N/A"/>
  </r>
  <r>
    <x v="73"/>
    <n v="300"/>
    <x v="0"/>
    <s v="Mujeres"/>
    <n v="5"/>
    <x v="5"/>
    <x v="1"/>
    <x v="1"/>
    <x v="5"/>
    <s v="Ninguno"/>
    <s v="Sentencias Dictadas por Delitos de Abuso Sexual"/>
    <s v="Periodo 2013-2019"/>
    <s v="Número de sentencias"/>
    <s v="Poder Judicial"/>
    <x v="73"/>
    <s v="El gráfico muestra la evolución anual de la frecuencia de Sentencias Dictadas por Delitos de Abuso Sexual por Juzgado de Garantía en la Graneros durante el Periodo 2013-2019 de acuerdo a datos provenientes del Poder Judicial de Chile."/>
    <s v="Gráfico de Evolución"/>
    <s v="abuso sexual delitos género violencia mujer mujeres casos víctimas detenciones sentencias valparaíso juzgado garantía"/>
    <x v="73"/>
    <s v="100-C-5"/>
    <s v="#1774B83"/>
    <s v="300-0074"/>
    <e v="#N/A"/>
    <e v="#N/A"/>
    <e v="#N/A"/>
    <s v="FI-401"/>
    <e v="#N/A"/>
  </r>
  <r>
    <x v="74"/>
    <n v="300"/>
    <x v="0"/>
    <s v="Mujeres"/>
    <n v="6"/>
    <x v="5"/>
    <x v="1"/>
    <x v="1"/>
    <x v="6"/>
    <s v="Ninguno"/>
    <s v="Sentencias Dictadas por Delitos de Abuso Sexual"/>
    <s v="Periodo 2013-2019"/>
    <s v="Número de sentencias"/>
    <s v="Poder Judicial"/>
    <x v="74"/>
    <s v="El gráfico muestra la evolución anual de la frecuencia de Sentencias Dictadas por Delitos de Abuso Sexual por Juzgado de Garantía en la Rancagua durante el Periodo 2013-2019 de acuerdo a datos provenientes del Poder Judicial de Chile."/>
    <s v="Gráfico de Evolución"/>
    <s v="abuso sexual delitos género violencia mujer mujeres casos víctimas detenciones sentencias ohiggins juzgado garantía"/>
    <x v="74"/>
    <s v="100-C-6"/>
    <s v="#1774B84"/>
    <s v="300-0075"/>
    <e v="#N/A"/>
    <e v="#N/A"/>
    <e v="#N/A"/>
    <s v="FI-401"/>
    <e v="#N/A"/>
  </r>
  <r>
    <x v="75"/>
    <n v="300"/>
    <x v="0"/>
    <s v="Mujeres"/>
    <n v="7"/>
    <x v="5"/>
    <x v="1"/>
    <x v="1"/>
    <x v="7"/>
    <s v="Ninguno"/>
    <s v="Sentencias Dictadas por Delitos de Abuso Sexual"/>
    <s v="Periodo 2013-2019"/>
    <s v="Número de sentencias"/>
    <s v="Poder Judicial"/>
    <x v="75"/>
    <s v="El gráfico muestra la evolución anual de la frecuencia de Sentencias Dictadas por Delitos de Abuso Sexual por Juzgado de Garantía en la Rengo durante el Periodo 2013-2019 de acuerdo a datos provenientes del Poder Judicial de Chile."/>
    <s v="Gráfico de Evolución"/>
    <s v="abuso sexual delitos género violencia mujer mujeres casos víctimas detenciones sentencias maule juzgado garantía"/>
    <x v="75"/>
    <s v="100-C-7"/>
    <s v="#1774B85"/>
    <s v="300-0076"/>
    <e v="#N/A"/>
    <e v="#N/A"/>
    <e v="#N/A"/>
    <s v="FI-401"/>
    <e v="#N/A"/>
  </r>
  <r>
    <x v="76"/>
    <n v="300"/>
    <x v="0"/>
    <s v="Mujeres"/>
    <n v="8"/>
    <x v="5"/>
    <x v="1"/>
    <x v="1"/>
    <x v="8"/>
    <s v="Ninguno"/>
    <s v="Sentencias Dictadas por Delitos de Abuso Sexual"/>
    <s v="Periodo 2013-2019"/>
    <s v="Número de sentencias"/>
    <s v="Poder Judicial"/>
    <x v="76"/>
    <s v="El gráfico muestra la evolución anual de la frecuencia de Sentencias Dictadas por Delitos de Abuso Sexual por Juzgado de Garantía en la San Fernando durante el Periodo 2013-2019 de acuerdo a datos provenientes del Poder Judicial de Chile."/>
    <s v="Gráfico de Evolución"/>
    <s v="abuso sexual delitos género violencia mujer mujeres casos víctimas detenciones sentencias biobío juzgado garantía"/>
    <x v="76"/>
    <s v="100-C-8"/>
    <s v="#1774B86"/>
    <s v="300-0077"/>
    <e v="#N/A"/>
    <e v="#N/A"/>
    <e v="#N/A"/>
    <s v="FI-401"/>
    <e v="#N/A"/>
  </r>
  <r>
    <x v="77"/>
    <n v="300"/>
    <x v="0"/>
    <s v="Mujeres"/>
    <n v="9"/>
    <x v="5"/>
    <x v="1"/>
    <x v="1"/>
    <x v="9"/>
    <s v="Ninguno"/>
    <s v="Sentencias Dictadas por Delitos de Abuso Sexual"/>
    <s v="Periodo 2013-2019"/>
    <s v="Número de sentencias"/>
    <s v="Poder Judicial"/>
    <x v="77"/>
    <s v="El gráfico muestra la evolución anual de la frecuencia de Sentencias Dictadas por Delitos de Abuso Sexual por Juzgado de Garantía en la San Vicente durante el Periodo 2013-2019 de acuerdo a datos provenientes del Poder Judicial de Chile."/>
    <s v="Gráfico de Evolución"/>
    <s v="abuso sexual delitos género violencia mujer mujeres casos víctimas detenciones sentencias araucanía juzgado garantía"/>
    <x v="77"/>
    <s v="100-C-9"/>
    <s v="#1774B87"/>
    <s v="300-0078"/>
    <e v="#N/A"/>
    <e v="#N/A"/>
    <e v="#N/A"/>
    <s v="FI-401"/>
    <e v="#N/A"/>
  </r>
  <r>
    <x v="78"/>
    <n v="300"/>
    <x v="0"/>
    <s v="Mujeres"/>
    <n v="10"/>
    <x v="5"/>
    <x v="1"/>
    <x v="1"/>
    <x v="10"/>
    <s v="Ninguno"/>
    <s v="Sentencias Dictadas por Delitos de Abuso Sexual"/>
    <s v="Periodo 2013-2019"/>
    <s v="Número de sentencias"/>
    <s v="Poder Judicial"/>
    <x v="78"/>
    <s v="El gráfico muestra la evolución anual de la frecuencia de Sentencias Dictadas por Delitos de Abuso Sexual por Juzgado de Garantía en la Santa Cruz durante el Periodo 2013-2019 de acuerdo a datos provenientes del Poder Judicial de Chile."/>
    <s v="Gráfico de Evolución"/>
    <s v="abuso sexual delitos género violencia mujer mujeres casos víctimas detenciones sentencias lagos juzgado garantía"/>
    <x v="78"/>
    <s v="100-C-10"/>
    <s v="#1774B88"/>
    <s v="300-0079"/>
    <e v="#N/A"/>
    <e v="#N/A"/>
    <e v="#N/A"/>
    <s v="FI-401"/>
    <e v="#N/A"/>
  </r>
  <r>
    <x v="79"/>
    <n v="300"/>
    <x v="0"/>
    <s v="Mujeres"/>
    <n v="11"/>
    <x v="5"/>
    <x v="1"/>
    <x v="1"/>
    <x v="11"/>
    <s v="Ninguno"/>
    <s v="Sentencias Dictadas por Delitos de Abuso Sexual"/>
    <s v="Periodo 2013-2019"/>
    <s v="Número de sentencias"/>
    <s v="Poder Judicial"/>
    <x v="79"/>
    <s v="El gráfico muestra la evolución anual de la frecuencia de Sentencias Dictadas por Delitos de Abuso Sexual por Juzgado de Garantía en la Cauquenes durante el Periodo 2013-2019 de acuerdo a datos provenientes del Poder Judicial de Chile."/>
    <s v="Gráfico de Evolución"/>
    <s v="abuso sexual delitos género violencia mujer mujeres casos víctimas detenciones sentencias aysén juzgado garantía"/>
    <x v="79"/>
    <s v="100-C-11"/>
    <s v="#1774B89"/>
    <s v="300-0080"/>
    <e v="#N/A"/>
    <e v="#N/A"/>
    <e v="#N/A"/>
    <s v="FI-401"/>
    <e v="#N/A"/>
  </r>
  <r>
    <x v="80"/>
    <n v="300"/>
    <x v="0"/>
    <s v="Mujeres"/>
    <n v="12"/>
    <x v="5"/>
    <x v="1"/>
    <x v="1"/>
    <x v="12"/>
    <s v="Ninguno"/>
    <s v="Sentencias Dictadas por Delitos de Abuso Sexual"/>
    <s v="Periodo 2013-2019"/>
    <s v="Número de sentencias"/>
    <s v="Poder Judicial"/>
    <x v="80"/>
    <s v="El gráfico muestra la evolución anual de la frecuencia de Sentencias Dictadas por Delitos de Abuso Sexual por Juzgado de Garantía en la Constitucion durante el Periodo 2013-2019 de acuerdo a datos provenientes del Poder Judicial de Chile."/>
    <s v="Gráfico de Evolución"/>
    <s v="abuso sexual delitos género violencia mujer mujeres casos víctimas detenciones sentencias magallanes juzgado garantía"/>
    <x v="80"/>
    <s v="100-C-12"/>
    <s v="#1774B90"/>
    <s v="300-0081"/>
    <e v="#N/A"/>
    <e v="#N/A"/>
    <e v="#N/A"/>
    <s v="FI-401"/>
    <e v="#N/A"/>
  </r>
  <r>
    <x v="81"/>
    <n v="300"/>
    <x v="0"/>
    <s v="Mujeres"/>
    <n v="13"/>
    <x v="5"/>
    <x v="1"/>
    <x v="1"/>
    <x v="13"/>
    <s v="Ninguno"/>
    <s v="Sentencias Dictadas por Delitos de Abuso Sexual"/>
    <s v="Periodo 2013-2019"/>
    <s v="Número de sentencias"/>
    <s v="Poder Judicial"/>
    <x v="81"/>
    <s v="El gráfico muestra la evolución anual de la frecuencia de Sentencias Dictadas por Delitos de Abuso Sexual por Juzgado de Garantía en la Curico durante el Periodo 2013-2019 de acuerdo a datos provenientes del Poder Judicial de Chile."/>
    <s v="Gráfico de Evolución"/>
    <s v="abuso sexual delitos género violencia mujer mujeres casos víctimas detenciones sentencias metropolitana juzgado garantía"/>
    <x v="81"/>
    <s v="200-C-13"/>
    <s v="#1774B91"/>
    <s v="300-0082"/>
    <e v="#N/A"/>
    <e v="#N/A"/>
    <e v="#N/A"/>
    <s v="FI-401"/>
    <e v="#N/A"/>
  </r>
  <r>
    <x v="82"/>
    <n v="300"/>
    <x v="0"/>
    <s v="Mujeres"/>
    <n v="14"/>
    <x v="5"/>
    <x v="1"/>
    <x v="1"/>
    <x v="14"/>
    <s v="Ninguno"/>
    <s v="Sentencias Dictadas por Delitos de Abuso Sexual"/>
    <s v="Periodo 2013-2019"/>
    <s v="Número de sentencias"/>
    <s v="Poder Judicial"/>
    <x v="82"/>
    <s v="El gráfico muestra la evolución anual de la frecuencia de Sentencias Dictadas por Delitos de Abuso Sexual por Juzgado de Garantía en la Linares durante el Periodo 2013-2019 de acuerdo a datos provenientes del Poder Judicial de Chile."/>
    <s v="Gráfico de Evolución"/>
    <s v="abuso sexual delitos género violencia mujer mujeres casos víctimas detenciones sentencias ríos juzgado garantía"/>
    <x v="82"/>
    <s v="100-C-14"/>
    <s v="#1774B92"/>
    <s v="300-0083"/>
    <e v="#N/A"/>
    <e v="#N/A"/>
    <e v="#N/A"/>
    <s v="FI-401"/>
    <e v="#N/A"/>
  </r>
  <r>
    <x v="83"/>
    <n v="300"/>
    <x v="0"/>
    <s v="Mujeres"/>
    <n v="15"/>
    <x v="5"/>
    <x v="1"/>
    <x v="1"/>
    <x v="15"/>
    <s v="Ninguno"/>
    <s v="Sentencias Dictadas por Delitos de Abuso Sexual"/>
    <s v="Periodo 2013-2019"/>
    <s v="Número de sentencias"/>
    <s v="Poder Judicial"/>
    <x v="83"/>
    <s v="El gráfico muestra la evolución anual de la frecuencia de Sentencias Dictadas por Delitos de Abuso Sexual por Juzgado de Garantía en la Molina durante el Periodo 2013-2019 de acuerdo a datos provenientes del Poder Judicial de Chile."/>
    <s v="Gráfico de Evolución"/>
    <s v="abuso sexual delitos género violencia mujer mujeres casos víctimas detenciones sentencias arica parinacota juzgado garantía"/>
    <x v="83"/>
    <s v="100-C-15"/>
    <s v="#1774B93"/>
    <s v="300-0084"/>
    <e v="#N/A"/>
    <e v="#N/A"/>
    <e v="#N/A"/>
    <s v="FI-401"/>
    <e v="#N/A"/>
  </r>
  <r>
    <x v="84"/>
    <n v="300"/>
    <x v="0"/>
    <s v="Mujeres"/>
    <n v="16"/>
    <x v="5"/>
    <x v="1"/>
    <x v="1"/>
    <x v="16"/>
    <s v="Ninguno"/>
    <s v="Sentencias Dictadas por Delitos de Abuso Sexual"/>
    <s v="Periodo 2013-2019"/>
    <s v="Número de sentencias"/>
    <s v="Poder Judicial"/>
    <x v="84"/>
    <s v="El gráfico muestra la evolución anual de la frecuencia de Sentencias Dictadas por Delitos de Abuso Sexual por Juzgado de Garantía en la Parral durante el Periodo 2013-2019 de acuerdo a datos provenientes del Poder Judicial de Chile."/>
    <s v="Gráfico de Evolución"/>
    <s v="abuso sexual delitos género violencia mujer mujeres casos víctimas detenciones sentencias ñuble juzgado garantía"/>
    <x v="84"/>
    <s v="100-C-16"/>
    <s v="#1774B94"/>
    <s v="300-0085"/>
    <e v="#N/A"/>
    <e v="#N/A"/>
    <e v="#N/A"/>
    <s v="FI-401"/>
    <e v="#N/A"/>
  </r>
  <r>
    <x v="85"/>
    <n v="300"/>
    <x v="0"/>
    <s v="Mujeres"/>
    <n v="1"/>
    <x v="5"/>
    <x v="1"/>
    <x v="1"/>
    <x v="1"/>
    <s v="Ninguno"/>
    <s v="Sentencias Dictadas por Delitos de Abuso Sexual"/>
    <s v="Periodo 2013-2019"/>
    <s v="Número de sentencias"/>
    <s v="Poder Judicial"/>
    <x v="85"/>
    <s v="El gráfico muestra la evolución anual de la frecuencia de Sentencias Dictadas por Delitos de Abuso Sexual por Delito en la San Javier durante el Periodo 2013-2019 de acuerdo a datos provenientes del Poder Judicial de Chile."/>
    <s v="Gráfico de Evolución"/>
    <s v="abuso sexual delitos género violencia mujer mujeres casos víctimas detenciones sentencias tarapacá"/>
    <x v="85"/>
    <s v="100-R-1"/>
    <s v="#1774B95"/>
    <s v="300-0086"/>
    <e v="#N/A"/>
    <e v="#N/A"/>
    <e v="#N/A"/>
    <s v="FI-401"/>
    <e v="#N/A"/>
  </r>
  <r>
    <x v="86"/>
    <n v="300"/>
    <x v="0"/>
    <s v="Mujeres"/>
    <n v="2"/>
    <x v="5"/>
    <x v="1"/>
    <x v="1"/>
    <x v="2"/>
    <s v="Ninguno"/>
    <s v="Sentencias Dictadas por Delitos de Abuso Sexual"/>
    <s v="Periodo 2013-2019"/>
    <s v="Número de sentencias"/>
    <s v="Poder Judicial"/>
    <x v="86"/>
    <s v="El gráfico muestra la evolución anual de la frecuencia de Sentencias Dictadas por Delitos de Abuso Sexual por Delito en la Talca durante el Periodo 2013-2019 de acuerdo a datos provenientes del Poder Judicial de Chile."/>
    <s v="Gráfico de Evolución"/>
    <s v="abuso sexual delitos género violencia mujer mujeres casos víctimas detenciones sentencias antofagasta"/>
    <x v="86"/>
    <s v="100-R-2"/>
    <s v="#1774B96"/>
    <s v="300-0087"/>
    <e v="#N/A"/>
    <e v="#N/A"/>
    <e v="#N/A"/>
    <s v="FI-401"/>
    <e v="#N/A"/>
  </r>
  <r>
    <x v="87"/>
    <n v="300"/>
    <x v="0"/>
    <s v="Mujeres"/>
    <n v="3"/>
    <x v="5"/>
    <x v="1"/>
    <x v="1"/>
    <x v="3"/>
    <s v="Ninguno"/>
    <s v="Sentencias Dictadas por Delitos de Abuso Sexual"/>
    <s v="Periodo 2013-2019"/>
    <s v="Número de sentencias"/>
    <s v="Poder Judicial"/>
    <x v="87"/>
    <s v="El gráfico muestra la evolución anual de la frecuencia de Sentencias Dictadas por Delitos de Abuso Sexual por Delito en la Arauco durante el Periodo 2013-2019 de acuerdo a datos provenientes del Poder Judicial de Chile."/>
    <s v="Gráfico de Evolución"/>
    <s v="abuso sexual delitos género violencia mujer mujeres casos víctimas detenciones sentencias atacama"/>
    <x v="87"/>
    <s v="100-R-3"/>
    <s v="#1774B97"/>
    <s v="300-0088"/>
    <e v="#N/A"/>
    <e v="#N/A"/>
    <e v="#N/A"/>
    <s v="FI-401"/>
    <e v="#N/A"/>
  </r>
  <r>
    <x v="88"/>
    <n v="300"/>
    <x v="0"/>
    <s v="Mujeres"/>
    <n v="4"/>
    <x v="5"/>
    <x v="1"/>
    <x v="1"/>
    <x v="4"/>
    <s v="Ninguno"/>
    <s v="Sentencias Dictadas por Delitos de Abuso Sexual"/>
    <s v="Periodo 2013-2019"/>
    <s v="Número de sentencias"/>
    <s v="Poder Judicial"/>
    <x v="88"/>
    <s v="El gráfico muestra la evolución anual de la frecuencia de Sentencias Dictadas por Delitos de Abuso Sexual por Delito en la Cañete durante el Periodo 2013-2019 de acuerdo a datos provenientes del Poder Judicial de Chile."/>
    <s v="Gráfico de Evolución"/>
    <s v="abuso sexual delitos género violencia mujer mujeres casos víctimas detenciones sentencias coquimbo"/>
    <x v="88"/>
    <s v="100-R-4"/>
    <s v="#1774B98"/>
    <s v="300-0089"/>
    <e v="#N/A"/>
    <e v="#N/A"/>
    <e v="#N/A"/>
    <s v="FI-401"/>
    <e v="#N/A"/>
  </r>
  <r>
    <x v="89"/>
    <n v="300"/>
    <x v="0"/>
    <s v="Mujeres"/>
    <n v="5"/>
    <x v="5"/>
    <x v="1"/>
    <x v="1"/>
    <x v="5"/>
    <s v="Ninguno"/>
    <s v="Sentencias Dictadas por Delitos de Abuso Sexual"/>
    <s v="Periodo 2013-2019"/>
    <s v="Número de sentencias"/>
    <s v="Poder Judicial"/>
    <x v="89"/>
    <s v="El gráfico muestra la evolución anual de la frecuencia de Sentencias Dictadas por Delitos de Abuso Sexual por Delito en la Chiguayante durante el Periodo 2013-2019 de acuerdo a datos provenientes del Poder Judicial de Chile."/>
    <s v="Gráfico de Evolución"/>
    <s v="abuso sexual delitos género violencia mujer mujeres casos víctimas detenciones sentencias valparaíso"/>
    <x v="89"/>
    <s v="100-R-5"/>
    <s v="#1774B99"/>
    <s v="300-0090"/>
    <e v="#N/A"/>
    <e v="#N/A"/>
    <e v="#N/A"/>
    <s v="FI-401"/>
    <e v="#N/A"/>
  </r>
  <r>
    <x v="90"/>
    <n v="300"/>
    <x v="0"/>
    <s v="Mujeres"/>
    <n v="6"/>
    <x v="5"/>
    <x v="1"/>
    <x v="1"/>
    <x v="6"/>
    <s v="Ninguno"/>
    <s v="Sentencias Dictadas por Delitos de Abuso Sexual"/>
    <s v="Periodo 2013-2019"/>
    <s v="Número de sentencias"/>
    <s v="Poder Judicial"/>
    <x v="90"/>
    <s v="El gráfico muestra la evolución anual de la frecuencia de Sentencias Dictadas por Delitos de Abuso Sexual por Delito en la Concepcion durante el Periodo 2013-2019 de acuerdo a datos provenientes del Poder Judicial de Chile."/>
    <s v="Gráfico de Evolución"/>
    <s v="abuso sexual delitos género violencia mujer mujeres casos víctimas detenciones sentencias ohiggins"/>
    <x v="90"/>
    <s v="100-R-6"/>
    <s v="#1774B100"/>
    <s v="300-0091"/>
    <e v="#N/A"/>
    <e v="#N/A"/>
    <e v="#N/A"/>
    <s v="FI-401"/>
    <e v="#N/A"/>
  </r>
  <r>
    <x v="91"/>
    <n v="300"/>
    <x v="0"/>
    <s v="Mujeres"/>
    <n v="7"/>
    <x v="5"/>
    <x v="1"/>
    <x v="1"/>
    <x v="7"/>
    <s v="Ninguno"/>
    <s v="Sentencias Dictadas por Delitos de Abuso Sexual"/>
    <s v="Periodo 2013-2019"/>
    <s v="Número de sentencias"/>
    <s v="Poder Judicial"/>
    <x v="91"/>
    <s v="El gráfico muestra la evolución anual de la frecuencia de Sentencias Dictadas por Delitos de Abuso Sexual por Delito en la Coronel durante el Periodo 2013-2019 de acuerdo a datos provenientes del Poder Judicial de Chile."/>
    <s v="Gráfico de Evolución"/>
    <s v="abuso sexual delitos género violencia mujer mujeres casos víctimas detenciones sentencias maule"/>
    <x v="91"/>
    <s v="100-R-7"/>
    <s v="#1774B101"/>
    <s v="300-0092"/>
    <e v="#N/A"/>
    <e v="#N/A"/>
    <e v="#N/A"/>
    <s v="FI-401"/>
    <e v="#N/A"/>
  </r>
  <r>
    <x v="92"/>
    <n v="300"/>
    <x v="0"/>
    <s v="Mujeres"/>
    <n v="8"/>
    <x v="5"/>
    <x v="1"/>
    <x v="1"/>
    <x v="8"/>
    <s v="Ninguno"/>
    <s v="Sentencias Dictadas por Delitos de Abuso Sexual"/>
    <s v="Periodo 2013-2019"/>
    <s v="Número de sentencias"/>
    <s v="Poder Judicial"/>
    <x v="92"/>
    <s v="El gráfico muestra la evolución anual de la frecuencia de Sentencias Dictadas por Delitos de Abuso Sexual por Delito en la Los Angeles durante el Periodo 2013-2019 de acuerdo a datos provenientes del Poder Judicial de Chile."/>
    <s v="Gráfico de Evolución"/>
    <s v="abuso sexual delitos género violencia mujer mujeres casos víctimas detenciones sentencias biobío"/>
    <x v="92"/>
    <s v="100-R-8"/>
    <s v="#1774B102"/>
    <s v="300-0093"/>
    <e v="#N/A"/>
    <e v="#N/A"/>
    <e v="#N/A"/>
    <s v="FI-401"/>
    <e v="#N/A"/>
  </r>
  <r>
    <x v="93"/>
    <n v="300"/>
    <x v="0"/>
    <s v="Mujeres"/>
    <n v="9"/>
    <x v="5"/>
    <x v="1"/>
    <x v="1"/>
    <x v="9"/>
    <s v="Ninguno"/>
    <s v="Sentencias Dictadas por Delitos de Abuso Sexual"/>
    <s v="Periodo 2013-2019"/>
    <s v="Número de sentencias"/>
    <s v="Poder Judicial"/>
    <x v="93"/>
    <s v="El gráfico muestra la evolución anual de la frecuencia de Sentencias Dictadas por Delitos de Abuso Sexual por Delito en la Talcahuano durante el Periodo 2013-2019 de acuerdo a datos provenientes del Poder Judicial de Chile."/>
    <s v="Gráfico de Evolución"/>
    <s v="abuso sexual delitos género violencia mujer mujeres casos víctimas detenciones sentencias araucanía"/>
    <x v="93"/>
    <s v="100-R-9"/>
    <s v="#1774B103"/>
    <s v="300-0094"/>
    <e v="#N/A"/>
    <e v="#N/A"/>
    <e v="#N/A"/>
    <s v="FI-401"/>
    <e v="#N/A"/>
  </r>
  <r>
    <x v="94"/>
    <n v="300"/>
    <x v="0"/>
    <s v="Mujeres"/>
    <n v="10"/>
    <x v="5"/>
    <x v="1"/>
    <x v="1"/>
    <x v="10"/>
    <s v="Ninguno"/>
    <s v="Sentencias Dictadas por Delitos de Abuso Sexual"/>
    <s v="Periodo 2013-2019"/>
    <s v="Número de sentencias"/>
    <s v="Poder Judicial"/>
    <x v="94"/>
    <s v="El gráfico muestra la evolución anual de la frecuencia de Sentencias Dictadas por Delitos de Abuso Sexual por Delito en la Tome durante el Periodo 2013-2019 de acuerdo a datos provenientes del Poder Judicial de Chile."/>
    <s v="Gráfico de Evolución"/>
    <s v="abuso sexual delitos género violencia mujer mujeres casos víctimas detenciones sentencias lagos"/>
    <x v="94"/>
    <s v="100-R-10"/>
    <s v="#1774B104"/>
    <s v="300-0095"/>
    <e v="#N/A"/>
    <e v="#N/A"/>
    <e v="#N/A"/>
    <s v="FI-401"/>
    <e v="#N/A"/>
  </r>
  <r>
    <x v="95"/>
    <n v="300"/>
    <x v="0"/>
    <s v="Mujeres"/>
    <n v="11"/>
    <x v="5"/>
    <x v="1"/>
    <x v="1"/>
    <x v="11"/>
    <s v="Ninguno"/>
    <s v="Sentencias Dictadas por Delitos de Abuso Sexual"/>
    <s v="Periodo 2013-2019"/>
    <s v="Número de sentencias"/>
    <s v="Poder Judicial"/>
    <x v="95"/>
    <s v="El gráfico muestra la evolución anual de la frecuencia de Sentencias Dictadas por Delitos de Abuso Sexual por Delito en la Angol durante el Periodo 2013-2019 de acuerdo a datos provenientes del Poder Judicial de Chile."/>
    <s v="Gráfico de Evolución"/>
    <s v="abuso sexual delitos género violencia mujer mujeres casos víctimas detenciones sentencias aysén"/>
    <x v="95"/>
    <s v="100-R-11"/>
    <s v="#1774B105"/>
    <s v="300-0096"/>
    <e v="#N/A"/>
    <e v="#N/A"/>
    <e v="#N/A"/>
    <s v="FI-401"/>
    <e v="#N/A"/>
  </r>
  <r>
    <x v="96"/>
    <n v="300"/>
    <x v="0"/>
    <s v="Mujeres"/>
    <n v="12"/>
    <x v="5"/>
    <x v="1"/>
    <x v="1"/>
    <x v="12"/>
    <s v="Ninguno"/>
    <s v="Sentencias Dictadas por Delitos de Abuso Sexual"/>
    <s v="Periodo 2013-2019"/>
    <s v="Número de sentencias"/>
    <s v="Poder Judicial"/>
    <x v="96"/>
    <s v="El gráfico muestra la evolución anual de la frecuencia de Sentencias Dictadas por Delitos de Abuso Sexual por Delito en la Lautaro durante el Periodo 2013-2019 de acuerdo a datos provenientes del Poder Judicial de Chile."/>
    <s v="Gráfico de Evolución"/>
    <s v="abuso sexual delitos género violencia mujer mujeres casos víctimas detenciones sentencias magallanes"/>
    <x v="96"/>
    <s v="100-R-12"/>
    <s v="#1774B106"/>
    <s v="300-0097"/>
    <e v="#N/A"/>
    <e v="#N/A"/>
    <e v="#N/A"/>
    <s v="FI-401"/>
    <e v="#N/A"/>
  </r>
  <r>
    <x v="97"/>
    <n v="300"/>
    <x v="0"/>
    <s v="Mujeres"/>
    <n v="13"/>
    <x v="5"/>
    <x v="1"/>
    <x v="1"/>
    <x v="13"/>
    <s v="Ninguno"/>
    <s v="Sentencias Dictadas por Delitos de Abuso Sexual"/>
    <s v="Periodo 2013-2019"/>
    <s v="Número de sentencias"/>
    <s v="Poder Judicial"/>
    <x v="97"/>
    <s v="El gráfico muestra la evolución anual de la frecuencia de Sentencias Dictadas por Delitos de Abuso Sexual por Delito en la Loncoche durante el Periodo 2013-2019 de acuerdo a datos provenientes del Poder Judicial de Chile."/>
    <s v="Gráfico de Evolución"/>
    <s v="abuso sexual delitos género violencia mujer mujeres casos víctimas detenciones sentencias metropolitana"/>
    <x v="97"/>
    <s v="200-R-13"/>
    <s v="#1774B107"/>
    <s v="300-0098"/>
    <e v="#N/A"/>
    <e v="#N/A"/>
    <e v="#N/A"/>
    <s v="FI-401"/>
    <e v="#N/A"/>
  </r>
  <r>
    <x v="98"/>
    <n v="300"/>
    <x v="0"/>
    <s v="Mujeres"/>
    <n v="14"/>
    <x v="5"/>
    <x v="1"/>
    <x v="1"/>
    <x v="14"/>
    <s v="Ninguno"/>
    <s v="Sentencias Dictadas por Delitos de Abuso Sexual"/>
    <s v="Periodo 2013-2019"/>
    <s v="Número de sentencias"/>
    <s v="Poder Judicial"/>
    <x v="98"/>
    <s v="El gráfico muestra la evolución anual de la frecuencia de Sentencias Dictadas por Delitos de Abuso Sexual por Delito en la Nueva Imperial durante el Periodo 2013-2019 de acuerdo a datos provenientes del Poder Judicial de Chile."/>
    <s v="Gráfico de Evolución"/>
    <s v="abuso sexual delitos género violencia mujer mujeres casos víctimas detenciones sentencias ríos"/>
    <x v="98"/>
    <s v="100-R-14"/>
    <s v="#1774B107"/>
    <s v="300-0099"/>
    <e v="#N/A"/>
    <e v="#N/A"/>
    <e v="#N/A"/>
    <s v="FI-401"/>
    <e v="#N/A"/>
  </r>
  <r>
    <x v="99"/>
    <n v="300"/>
    <x v="0"/>
    <s v="Mujeres"/>
    <n v="15"/>
    <x v="5"/>
    <x v="1"/>
    <x v="1"/>
    <x v="15"/>
    <s v="Ninguno"/>
    <s v="Sentencias Dictadas por Delitos de Abuso Sexual"/>
    <s v="Periodo 2013-2019"/>
    <s v="Número de sentencias"/>
    <s v="Poder Judicial"/>
    <x v="99"/>
    <s v="El gráfico muestra la evolución anual de la frecuencia de Sentencias Dictadas por Delitos de Abuso Sexual por Delito en la Pitrufquen durante el Periodo 2013-2019 de acuerdo a datos provenientes del Poder Judicial de Chile."/>
    <s v="Gráfico de Evolución"/>
    <s v="abuso sexual delitos género violencia mujer mujeres casos víctimas detenciones sentencias arica parinacota"/>
    <x v="99"/>
    <s v="100-R-15"/>
    <s v="#1774B107"/>
    <s v="300-0100"/>
    <e v="#N/A"/>
    <e v="#N/A"/>
    <e v="#N/A"/>
    <s v="FI-401"/>
    <e v="#N/A"/>
  </r>
  <r>
    <x v="100"/>
    <n v="300"/>
    <x v="0"/>
    <s v="Mujeres"/>
    <n v="16"/>
    <x v="5"/>
    <x v="1"/>
    <x v="1"/>
    <x v="16"/>
    <s v="Ninguno"/>
    <s v="Sentencias Dictadas por Delitos de Abuso Sexual"/>
    <s v="Periodo 2013-2019"/>
    <s v="Número de sentencias"/>
    <s v="Poder Judicial"/>
    <x v="100"/>
    <s v="El gráfico muestra la evolución anual de la frecuencia de Sentencias Dictadas por Delitos de Abuso Sexual por Delito en la Temuco durante el Periodo 2013-2019 de acuerdo a datos provenientes del Poder Judicial de Chile."/>
    <s v="Gráfico de Evolución"/>
    <s v="abuso sexual delitos género violencia mujer mujeres casos víctimas detenciones sentencias ñuble"/>
    <x v="100"/>
    <s v="100-R-16"/>
    <s v="#1774B107"/>
    <s v="300-0101"/>
    <e v="#N/A"/>
    <e v="#N/A"/>
    <e v="#N/A"/>
    <s v="FI-401"/>
    <e v="#N/A"/>
  </r>
  <r>
    <x v="101"/>
    <n v="300"/>
    <x v="0"/>
    <s v="Mujeres"/>
    <n v="1"/>
    <x v="5"/>
    <x v="1"/>
    <x v="2"/>
    <x v="17"/>
    <s v="Ninguno"/>
    <s v="Sentencias Dictadas por Delitos de Abuso Sexual"/>
    <s v="Periodo 2013-2019"/>
    <s v="Número de sentencias"/>
    <s v="Poder Judicial"/>
    <x v="101"/>
    <s v="El gráfico muestra la evolución anual de la frecuencia de Sentencias Dictadas por Delitos de Abuso Sexual en el  Juzgado de Garantía de Victoria para el Periodo 2013-2019 de acuerdo a datos provenientes del Poder Judicial de Chile."/>
    <s v="Gráfico de Evolución"/>
    <s v="abuso sexual delitos género violencia mujer mujeres casos víctimas detenciones sentencias juzgado garantía iquique"/>
    <x v="101"/>
    <s v="100-C-1"/>
    <s v="#1774B107"/>
    <s v="300-0102"/>
    <e v="#N/A"/>
    <e v="#N/A"/>
    <e v="#N/A"/>
    <s v="FI-401"/>
    <e v="#N/A"/>
  </r>
  <r>
    <x v="102"/>
    <n v="300"/>
    <x v="0"/>
    <s v="Mujeres"/>
    <n v="2"/>
    <x v="5"/>
    <x v="1"/>
    <x v="2"/>
    <x v="18"/>
    <s v="Ninguno"/>
    <s v="Sentencias Dictadas por Delitos de Abuso Sexual"/>
    <s v="Periodo 2013-2019"/>
    <s v="Número de sentencias"/>
    <s v="Poder Judicial"/>
    <x v="102"/>
    <s v="El gráfico muestra la evolución anual de la frecuencia de Sentencias Dictadas por Delitos de Abuso Sexual en el  Juzgado de Garantía de Villarrica para el Periodo 2013-2019 de acuerdo a datos provenientes del Poder Judicial de Chile."/>
    <s v="Gráfico de Evolución"/>
    <s v="abuso sexual delitos género violencia mujer mujeres casos víctimas detenciones sentencias juzgado garantía antofagasta"/>
    <x v="102"/>
    <s v="100-C-2"/>
    <s v="#1774B107"/>
    <s v="300-0103"/>
    <e v="#N/A"/>
    <e v="#N/A"/>
    <e v="#N/A"/>
    <s v="FI-401"/>
    <e v="#N/A"/>
  </r>
  <r>
    <x v="103"/>
    <n v="300"/>
    <x v="0"/>
    <s v="Mujeres"/>
    <n v="3"/>
    <x v="5"/>
    <x v="1"/>
    <x v="2"/>
    <x v="19"/>
    <s v="Ninguno"/>
    <s v="Sentencias Dictadas por Delitos de Abuso Sexual"/>
    <s v="Periodo 2013-2019"/>
    <s v="Número de sentencias"/>
    <s v="Poder Judicial"/>
    <x v="103"/>
    <s v="El gráfico muestra la evolución anual de la frecuencia de Sentencias Dictadas por Delitos de Abuso Sexual en el  Juzgado de Garantía de Ancud para el Periodo 2013-2019 de acuerdo a datos provenientes del Poder Judicial de Chile."/>
    <s v="Gráfico de Evolución"/>
    <s v="abuso sexual delitos género violencia mujer mujeres casos víctimas detenciones sentencias juzgado garantía calama"/>
    <x v="103"/>
    <s v="100-C-2"/>
    <s v="#1774B107"/>
    <s v="300-0104"/>
    <e v="#N/A"/>
    <e v="#N/A"/>
    <e v="#N/A"/>
    <s v="FI-401"/>
    <e v="#N/A"/>
  </r>
  <r>
    <x v="104"/>
    <n v="300"/>
    <x v="0"/>
    <s v="Mujeres"/>
    <n v="4"/>
    <x v="5"/>
    <x v="1"/>
    <x v="2"/>
    <x v="20"/>
    <s v="Ninguno"/>
    <s v="Sentencias Dictadas por Delitos de Abuso Sexual"/>
    <s v="Periodo 2013-2019"/>
    <s v="Número de sentencias"/>
    <s v="Poder Judicial"/>
    <x v="104"/>
    <s v="El gráfico muestra la evolución anual de la frecuencia de Sentencias Dictadas por Delitos de Abuso Sexual en el  Juzgado de Garantía de Castro para el Periodo 2013-2019 de acuerdo a datos provenientes del Poder Judicial de Chile."/>
    <s v="Gráfico de Evolución"/>
    <s v="abuso sexual delitos género violencia mujer mujeres casos víctimas detenciones sentencias juzgado garantía tocopilla"/>
    <x v="104"/>
    <s v="100-C-2"/>
    <s v="#1774B107"/>
    <s v="300-0105"/>
    <e v="#N/A"/>
    <e v="#N/A"/>
    <e v="#N/A"/>
    <s v="FI-401"/>
    <e v="#N/A"/>
  </r>
  <r>
    <x v="105"/>
    <n v="300"/>
    <x v="0"/>
    <s v="Mujeres"/>
    <n v="5"/>
    <x v="5"/>
    <x v="1"/>
    <x v="2"/>
    <x v="21"/>
    <s v="Ninguno"/>
    <s v="Sentencias Dictadas por Delitos de Abuso Sexual"/>
    <s v="Periodo 2013-2019"/>
    <s v="Número de sentencias"/>
    <s v="Poder Judicial"/>
    <x v="105"/>
    <s v="El gráfico muestra la evolución anual de la frecuencia de Sentencias Dictadas por Delitos de Abuso Sexual en el  Juzgado de Garantía de Osorno para el Periodo 2013-2019 de acuerdo a datos provenientes del Poder Judicial de Chile."/>
    <s v="Gráfico de Evolución"/>
    <s v="abuso sexual delitos género violencia mujer mujeres casos víctimas detenciones sentencias juzgado garantía copiapo"/>
    <x v="105"/>
    <s v="100-C-3"/>
    <s v="#1774B107"/>
    <s v="300-0106"/>
    <e v="#N/A"/>
    <e v="#N/A"/>
    <e v="#N/A"/>
    <s v="FI-401"/>
    <e v="#N/A"/>
  </r>
  <r>
    <x v="106"/>
    <n v="300"/>
    <x v="0"/>
    <s v="Mujeres"/>
    <n v="6"/>
    <x v="5"/>
    <x v="1"/>
    <x v="2"/>
    <x v="22"/>
    <s v="Ninguno"/>
    <s v="Sentencias Dictadas por Delitos de Abuso Sexual"/>
    <s v="Periodo 2013-2019"/>
    <s v="Número de sentencias"/>
    <s v="Poder Judicial"/>
    <x v="106"/>
    <s v="El gráfico muestra la evolución anual de la frecuencia de Sentencias Dictadas por Delitos de Abuso Sexual en el  Juzgado de Garantía de Puerto Montt para el Periodo 2013-2019 de acuerdo a datos provenientes del Poder Judicial de Chile."/>
    <s v="Gráfico de Evolución"/>
    <s v="abuso sexual delitos género violencia mujer mujeres casos víctimas detenciones sentencias juzgado garantía diego de almagro"/>
    <x v="106"/>
    <s v="100-C-3"/>
    <s v="#1774B107"/>
    <s v="300-0107"/>
    <e v="#N/A"/>
    <e v="#N/A"/>
    <e v="#N/A"/>
    <s v="FI-401"/>
    <e v="#N/A"/>
  </r>
  <r>
    <x v="107"/>
    <n v="300"/>
    <x v="0"/>
    <s v="Mujeres"/>
    <n v="7"/>
    <x v="5"/>
    <x v="1"/>
    <x v="2"/>
    <x v="23"/>
    <s v="Ninguno"/>
    <s v="Sentencias Dictadas por Delitos de Abuso Sexual"/>
    <s v="Periodo 2013-2019"/>
    <s v="Número de sentencias"/>
    <s v="Poder Judicial"/>
    <x v="107"/>
    <s v="El gráfico muestra la evolución anual de la frecuencia de Sentencias Dictadas por Delitos de Abuso Sexual en el  Juzgado de Garantía de Puerto Varas para el Periodo 2013-2019 de acuerdo a datos provenientes del Poder Judicial de Chile."/>
    <s v="Gráfico de Evolución"/>
    <s v="abuso sexual delitos género violencia mujer mujeres casos víctimas detenciones sentencias juzgado garantía vallenar"/>
    <x v="107"/>
    <s v="100-C-3"/>
    <s v="#1774B107"/>
    <s v="300-0108"/>
    <e v="#N/A"/>
    <e v="#N/A"/>
    <e v="#N/A"/>
    <s v="FI-401"/>
    <e v="#N/A"/>
  </r>
  <r>
    <x v="108"/>
    <n v="300"/>
    <x v="0"/>
    <s v="Mujeres"/>
    <n v="8"/>
    <x v="5"/>
    <x v="1"/>
    <x v="2"/>
    <x v="24"/>
    <s v="Ninguno"/>
    <s v="Sentencias Dictadas por Delitos de Abuso Sexual"/>
    <s v="Periodo 2013-2019"/>
    <s v="Número de sentencias"/>
    <s v="Poder Judicial"/>
    <x v="108"/>
    <s v="El gráfico muestra la evolución anual de la frecuencia de Sentencias Dictadas por Delitos de Abuso Sexual en el  Juzgado de Garantía de Rio Negro para el Periodo 2013-2019 de acuerdo a datos provenientes del Poder Judicial de Chile."/>
    <s v="Gráfico de Evolución"/>
    <s v="abuso sexual delitos género violencia mujer mujeres casos víctimas detenciones sentencias juzgado garantía coquimbo"/>
    <x v="108"/>
    <s v="100-C-4"/>
    <s v="#1774B107"/>
    <s v="300-0109"/>
    <e v="#N/A"/>
    <e v="#N/A"/>
    <e v="#N/A"/>
    <s v="FI-401"/>
    <e v="#N/A"/>
  </r>
  <r>
    <x v="109"/>
    <n v="300"/>
    <x v="0"/>
    <s v="Mujeres"/>
    <n v="9"/>
    <x v="5"/>
    <x v="1"/>
    <x v="2"/>
    <x v="25"/>
    <s v="Ninguno"/>
    <s v="Sentencias Dictadas por Delitos de Abuso Sexual"/>
    <s v="Periodo 2013-2019"/>
    <s v="Número de sentencias"/>
    <s v="Poder Judicial"/>
    <x v="109"/>
    <s v="El gráfico muestra la evolución anual de la frecuencia de Sentencias Dictadas por Delitos de Abuso Sexual en el  Juzgado de Garantía de Coyhaique para el Periodo 2013-2019 de acuerdo a datos provenientes del Poder Judicial de Chile."/>
    <s v="Gráfico de Evolución"/>
    <s v="abuso sexual delitos género violencia mujer mujeres casos víctimas detenciones sentencias juzgado garantía illapel"/>
    <x v="109"/>
    <s v="100-C-4"/>
    <s v="#1774B107"/>
    <s v="300-0110"/>
    <e v="#N/A"/>
    <e v="#N/A"/>
    <e v="#N/A"/>
    <s v="FI-401"/>
    <e v="#N/A"/>
  </r>
  <r>
    <x v="110"/>
    <n v="300"/>
    <x v="0"/>
    <s v="Mujeres"/>
    <n v="10"/>
    <x v="5"/>
    <x v="1"/>
    <x v="2"/>
    <x v="26"/>
    <s v="Ninguno"/>
    <s v="Sentencias Dictadas por Delitos de Abuso Sexual"/>
    <s v="Periodo 2013-2019"/>
    <s v="Número de sentencias"/>
    <s v="Poder Judicial"/>
    <x v="110"/>
    <s v="El gráfico muestra la evolución anual de la frecuencia de Sentencias Dictadas por Delitos de Abuso Sexual en el  Juzgado de Garantía de Punta Arenas para el Periodo 2013-2019 de acuerdo a datos provenientes del Poder Judicial de Chile."/>
    <s v="Gráfico de Evolución"/>
    <s v="abuso sexual delitos género violencia mujer mujeres casos víctimas detenciones sentencias juzgado garantía la serena"/>
    <x v="110"/>
    <s v="100-C-4"/>
    <s v="#1774B107"/>
    <s v="300-0111"/>
    <e v="#N/A"/>
    <e v="#N/A"/>
    <e v="#N/A"/>
    <s v="FI-401"/>
    <e v="#N/A"/>
  </r>
  <r>
    <x v="111"/>
    <n v="300"/>
    <x v="0"/>
    <s v="Mujeres"/>
    <n v="11"/>
    <x v="5"/>
    <x v="1"/>
    <x v="2"/>
    <x v="27"/>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ovalle"/>
    <x v="111"/>
    <s v="100-C-4"/>
    <s v="#1774B107"/>
    <s v="300-0112"/>
    <e v="#N/A"/>
    <e v="#N/A"/>
    <e v="#N/A"/>
    <s v="FI-401"/>
    <e v="#N/A"/>
  </r>
  <r>
    <x v="112"/>
    <n v="300"/>
    <x v="0"/>
    <s v="Mujeres"/>
    <n v="12"/>
    <x v="5"/>
    <x v="1"/>
    <x v="2"/>
    <x v="28"/>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icuña"/>
    <x v="112"/>
    <s v="100-C-4"/>
    <s v="#1774B107"/>
    <s v="300-0113"/>
    <e v="#N/A"/>
    <e v="#N/A"/>
    <e v="#N/A"/>
    <s v="FI-401"/>
    <e v="#N/A"/>
  </r>
  <r>
    <x v="113"/>
    <n v="300"/>
    <x v="0"/>
    <s v="Mujeres"/>
    <n v="13"/>
    <x v="5"/>
    <x v="1"/>
    <x v="2"/>
    <x v="29"/>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calera"/>
    <x v="113"/>
    <s v="100-C-5"/>
    <s v="#1774B107"/>
    <s v="300-0114"/>
    <e v="#N/A"/>
    <e v="#N/A"/>
    <e v="#N/A"/>
    <s v="FI-401"/>
    <e v="#N/A"/>
  </r>
  <r>
    <x v="114"/>
    <n v="300"/>
    <x v="0"/>
    <s v="Mujeres"/>
    <n v="14"/>
    <x v="5"/>
    <x v="1"/>
    <x v="2"/>
    <x v="30"/>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la ligua"/>
    <x v="114"/>
    <s v="100-C-5"/>
    <s v="#1774B107"/>
    <s v="300-0115"/>
    <e v="#N/A"/>
    <e v="#N/A"/>
    <e v="#N/A"/>
    <s v="FI-401"/>
    <e v="#N/A"/>
  </r>
  <r>
    <x v="115"/>
    <n v="300"/>
    <x v="0"/>
    <s v="Mujeres"/>
    <n v="15"/>
    <x v="5"/>
    <x v="1"/>
    <x v="2"/>
    <x v="31"/>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limache"/>
    <x v="115"/>
    <s v="100-C-5"/>
    <s v="#1774B107"/>
    <s v="300-0116"/>
    <e v="#N/A"/>
    <e v="#N/A"/>
    <e v="#N/A"/>
    <s v="FI-401"/>
    <e v="#N/A"/>
  </r>
  <r>
    <x v="116"/>
    <n v="300"/>
    <x v="0"/>
    <s v="Mujeres"/>
    <n v="16"/>
    <x v="5"/>
    <x v="1"/>
    <x v="2"/>
    <x v="32"/>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los andes"/>
    <x v="116"/>
    <s v="100-C-5"/>
    <s v="#1774B107"/>
    <s v="300-0117"/>
    <e v="#N/A"/>
    <e v="#N/A"/>
    <e v="#N/A"/>
    <s v="FI-401"/>
    <e v="#N/A"/>
  </r>
  <r>
    <x v="117"/>
    <n v="300"/>
    <x v="0"/>
    <s v="Mujeres"/>
    <n v="17"/>
    <x v="5"/>
    <x v="1"/>
    <x v="2"/>
    <x v="33"/>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quillota"/>
    <x v="117"/>
    <s v="100-C-5"/>
    <s v="#1774B107"/>
    <s v="300-0118"/>
    <e v="#N/A"/>
    <e v="#N/A"/>
    <e v="#N/A"/>
    <s v="FI-401"/>
    <e v="#N/A"/>
  </r>
  <r>
    <x v="118"/>
    <n v="300"/>
    <x v="0"/>
    <s v="Mujeres"/>
    <n v="18"/>
    <x v="5"/>
    <x v="1"/>
    <x v="2"/>
    <x v="34"/>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quilpue"/>
    <x v="118"/>
    <s v="100-C-5"/>
    <s v="#1774B107"/>
    <s v="300-0119"/>
    <e v="#N/A"/>
    <e v="#N/A"/>
    <e v="#N/A"/>
    <s v="FI-401"/>
    <e v="#N/A"/>
  </r>
  <r>
    <x v="119"/>
    <n v="300"/>
    <x v="0"/>
    <s v="Mujeres"/>
    <n v="19"/>
    <x v="5"/>
    <x v="1"/>
    <x v="2"/>
    <x v="35"/>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san Felipe"/>
    <x v="119"/>
    <s v="100-C-5"/>
    <s v="#1774B107"/>
    <s v="300-0120"/>
    <e v="#N/A"/>
    <e v="#N/A"/>
    <e v="#N/A"/>
    <s v="FI-401"/>
    <e v="#N/A"/>
  </r>
  <r>
    <x v="120"/>
    <n v="300"/>
    <x v="0"/>
    <s v="Mujeres"/>
    <n v="20"/>
    <x v="5"/>
    <x v="1"/>
    <x v="2"/>
    <x v="36"/>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alparaiso"/>
    <x v="120"/>
    <s v="100-C-5"/>
    <s v="#1774B107"/>
    <s v="300-0121"/>
    <e v="#N/A"/>
    <e v="#N/A"/>
    <e v="#N/A"/>
    <s v="FI-401"/>
    <e v="#N/A"/>
  </r>
  <r>
    <x v="121"/>
    <n v="300"/>
    <x v="0"/>
    <s v="Mujeres"/>
    <n v="21"/>
    <x v="5"/>
    <x v="1"/>
    <x v="2"/>
    <x v="37"/>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illa alemana"/>
    <x v="121"/>
    <s v="100-C-5"/>
    <s v="#1774B107"/>
    <s v="300-0122"/>
    <e v="#N/A"/>
    <e v="#N/A"/>
    <e v="#N/A"/>
    <s v="FI-401"/>
    <e v="#N/A"/>
  </r>
  <r>
    <x v="122"/>
    <n v="300"/>
    <x v="0"/>
    <s v="Mujeres"/>
    <n v="22"/>
    <x v="5"/>
    <x v="1"/>
    <x v="2"/>
    <x v="38"/>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iña del mar"/>
    <x v="122"/>
    <s v="100-C-5"/>
    <s v="#1774B107"/>
    <s v="300-0123"/>
    <e v="#N/A"/>
    <e v="#N/A"/>
    <e v="#N/A"/>
    <s v="FI-401"/>
    <e v="#N/A"/>
  </r>
  <r>
    <x v="123"/>
    <n v="300"/>
    <x v="0"/>
    <s v="Mujeres"/>
    <n v="23"/>
    <x v="5"/>
    <x v="1"/>
    <x v="2"/>
    <x v="39"/>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graneros"/>
    <x v="123"/>
    <s v="100-C-6"/>
    <s v="#1774B107"/>
    <s v="300-0124"/>
    <e v="#N/A"/>
    <e v="#N/A"/>
    <e v="#N/A"/>
    <s v="FI-401"/>
    <e v="#N/A"/>
  </r>
  <r>
    <x v="124"/>
    <n v="300"/>
    <x v="0"/>
    <s v="Mujeres"/>
    <n v="24"/>
    <x v="5"/>
    <x v="1"/>
    <x v="2"/>
    <x v="40"/>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rancagua"/>
    <x v="124"/>
    <s v="100-C-6"/>
    <s v="#1774B107"/>
    <s v="300-0125"/>
    <e v="#N/A"/>
    <e v="#N/A"/>
    <e v="#N/A"/>
    <s v="FI-401"/>
    <e v="#N/A"/>
  </r>
  <r>
    <x v="125"/>
    <n v="300"/>
    <x v="0"/>
    <s v="Mujeres"/>
    <n v="25"/>
    <x v="5"/>
    <x v="1"/>
    <x v="2"/>
    <x v="41"/>
    <s v="Ninguno"/>
    <s v="Sentencias Dictadas por Delitos de Abuso Sexual"/>
    <s v="Periodo 2013-2019"/>
    <s v="Número de sentencias"/>
    <s v="Poder Judicial"/>
    <x v="111"/>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rengo"/>
    <x v="125"/>
    <s v="100-C-6"/>
    <s v="#1774B107"/>
    <s v="300-0126"/>
    <e v="#N/A"/>
    <e v="#N/A"/>
    <e v="#N/A"/>
    <s v="FI-401"/>
    <e v="#N/A"/>
  </r>
  <r>
    <x v="126"/>
    <n v="300"/>
    <x v="0"/>
    <s v="Mujeres"/>
    <n v="26"/>
    <x v="5"/>
    <x v="1"/>
    <x v="2"/>
    <x v="42"/>
    <s v="Ninguno"/>
    <s v="Sentencias Dictadas por Delitos de Abuso Sexual"/>
    <s v="Periodo 2013-2019"/>
    <s v="Número de sentencias"/>
    <s v="Poder Judicial"/>
    <x v="112"/>
    <s v="El gráfico muestra la evolución anual de la frecuencia de Sentencias Dictadas por Delitos de Abuso Sexual en el  Juzgado de Garantía de Los Lagos para el Periodo 2013-2019 de acuerdo a datos provenientes del Poder Judicial de Chile."/>
    <s v="Gráfico de Evolución"/>
    <s v="abuso sexual delitos género violencia mujer mujeres casos víctimas detenciones sentencias juzgado garantía san Fernando"/>
    <x v="126"/>
    <s v="100-C-6"/>
    <s v="#1774B107"/>
    <s v="300-0127"/>
    <e v="#N/A"/>
    <e v="#N/A"/>
    <e v="#N/A"/>
    <s v="FI-401"/>
    <e v="#N/A"/>
  </r>
  <r>
    <x v="127"/>
    <n v="300"/>
    <x v="0"/>
    <s v="Mujeres"/>
    <n v="27"/>
    <x v="5"/>
    <x v="1"/>
    <x v="2"/>
    <x v="43"/>
    <s v="Ninguno"/>
    <s v="Sentencias Dictadas por Delitos de Abuso Sexual"/>
    <s v="Periodo 2013-2019"/>
    <s v="Número de sentencias"/>
    <s v="Poder Judicial"/>
    <x v="113"/>
    <s v="El gráfico muestra la evolución anual de la frecuencia de Sentencias Dictadas por Delitos de Abuso Sexual en el  Juzgado de Garantía de Mariquina para el Periodo 2013-2019 de acuerdo a datos provenientes del Poder Judicial de Chile."/>
    <s v="Gráfico de Evolución"/>
    <s v="abuso sexual delitos género violencia mujer mujeres casos víctimas detenciones sentencias juzgado garantía san vicente"/>
    <x v="127"/>
    <s v="100-C-6"/>
    <s v="#1774B107"/>
    <s v="300-0128"/>
    <e v="#N/A"/>
    <e v="#N/A"/>
    <e v="#N/A"/>
    <s v="FI-401"/>
    <e v="#N/A"/>
  </r>
  <r>
    <x v="128"/>
    <n v="300"/>
    <x v="0"/>
    <s v="Mujeres"/>
    <n v="28"/>
    <x v="5"/>
    <x v="1"/>
    <x v="2"/>
    <x v="44"/>
    <s v="Ninguno"/>
    <s v="Sentencias Dictadas por Delitos de Abuso Sexual"/>
    <s v="Periodo 2013-2019"/>
    <s v="Número de sentencias"/>
    <s v="Poder Judicial"/>
    <x v="114"/>
    <s v="El gráfico muestra la evolución anual de la frecuencia de Sentencias Dictadas por Delitos de Abuso Sexual en el  Juzgado de Garantía de Valdivia para el Periodo 2013-2019 de acuerdo a datos provenientes del Poder Judicial de Chile."/>
    <s v="Gráfico de Evolución"/>
    <s v="abuso sexual delitos género violencia mujer mujeres casos víctimas detenciones sentencias juzgado garantía santa cruz"/>
    <x v="128"/>
    <s v="100-C-6"/>
    <s v="#1774B107"/>
    <s v="300-0129"/>
    <e v="#N/A"/>
    <e v="#N/A"/>
    <e v="#N/A"/>
    <s v="FI-401"/>
    <e v="#N/A"/>
  </r>
  <r>
    <x v="129"/>
    <n v="300"/>
    <x v="0"/>
    <s v="Mujeres"/>
    <n v="29"/>
    <x v="5"/>
    <x v="1"/>
    <x v="2"/>
    <x v="45"/>
    <s v="Ninguno"/>
    <s v="Sentencias Dictadas por Delitos de Abuso Sexual"/>
    <s v="Periodo 2013-2019"/>
    <s v="Número de sentencias"/>
    <s v="Poder Judicial"/>
    <x v="115"/>
    <s v="El gráfico muestra la evolución anual de la frecuencia de Sentencias Dictadas por Delitos de Abuso Sexual en el  Juzgado de Garantía de Arica para el Periodo 2013-2019 de acuerdo a datos provenientes del Poder Judicial de Chile."/>
    <s v="Gráfico de Evolución"/>
    <s v="abuso sexual delitos género violencia mujer mujeres casos víctimas detenciones sentencias juzgado garantía cauquenes"/>
    <x v="129"/>
    <s v="100-C-7"/>
    <s v="#1774B107"/>
    <s v="300-0130"/>
    <e v="#N/A"/>
    <e v="#N/A"/>
    <e v="#N/A"/>
    <s v="FI-401"/>
    <e v="#N/A"/>
  </r>
  <r>
    <x v="130"/>
    <n v="300"/>
    <x v="0"/>
    <s v="Mujeres"/>
    <n v="30"/>
    <x v="5"/>
    <x v="1"/>
    <x v="2"/>
    <x v="46"/>
    <s v="Ninguno"/>
    <s v="Sentencias Dictadas por Delitos de Abuso Sexual"/>
    <s v="Periodo 2013-2019"/>
    <s v="Número de sentencias"/>
    <s v="Poder Judicial"/>
    <x v="116"/>
    <s v="El gráfico muestra la evolución anual de la frecuencia de Sentencias Dictadas por Delitos de Abuso Sexual en el  Juzgado de Garantía de Chillan para el Periodo 2013-2019 de acuerdo a datos provenientes del Poder Judicial de Chile."/>
    <s v="Gráfico de Evolución"/>
    <s v="abuso sexual delitos género violencia mujer mujeres casos víctimas detenciones sentencias juzgado garantía constitucion"/>
    <x v="130"/>
    <s v="100-C-7"/>
    <s v="#1774B107"/>
    <s v="300-0131"/>
    <e v="#N/A"/>
    <e v="#N/A"/>
    <e v="#N/A"/>
    <s v="FI-401"/>
    <e v="#N/A"/>
  </r>
  <r>
    <x v="131"/>
    <n v="300"/>
    <x v="0"/>
    <s v="Mujeres"/>
    <n v="31"/>
    <x v="5"/>
    <x v="1"/>
    <x v="2"/>
    <x v="47"/>
    <s v="Ninguno"/>
    <s v="Sentencias Dictadas por Delitos de Abuso Sexual"/>
    <s v="Periodo 2013-2019"/>
    <s v="Número de sentencias"/>
    <s v="Poder Judicial"/>
    <x v="117"/>
    <s v="El gráfico muestra la evolución anual de la frecuencia de Sentencias Dictadas por Delitos de Abuso Sexual en el  Juzgado de Garantía de San Carlos para el Periodo 2013-2019 de acuerdo a datos provenientes del Poder Judicial de Chile."/>
    <s v="Gráfico de Evolución"/>
    <s v="abuso sexual delitos género violencia mujer mujeres casos víctimas detenciones sentencias juzgado garantía curico"/>
    <x v="131"/>
    <s v="100-C-7"/>
    <s v="#1774B107"/>
    <s v="300-0132"/>
    <e v="#N/A"/>
    <e v="#N/A"/>
    <e v="#N/A"/>
    <s v="FI-401"/>
    <e v="#N/A"/>
  </r>
  <r>
    <x v="132"/>
    <n v="300"/>
    <x v="0"/>
    <s v="Mujeres"/>
    <n v="32"/>
    <x v="5"/>
    <x v="1"/>
    <x v="2"/>
    <x v="48"/>
    <s v="Ninguno"/>
    <s v="Sentencias Dictadas por Delitos de Abuso Sexual"/>
    <s v="Periodo 2013-2019"/>
    <s v="Número de sentencias"/>
    <s v="Poder Judicial"/>
    <x v="118"/>
    <s v="El gráfico muestra la evolución anual de la frecuencia de Sentencias Dictadas por Delitos de Abuso Sexual en el  Juzgado de Garantía de Yungay para el Periodo 2013-2019 de acuerdo a datos provenientes del Poder Judicial de Chile."/>
    <s v="Gráfico de Evolución"/>
    <s v="abuso sexual delitos género violencia mujer mujeres casos víctimas detenciones sentencias juzgado garantía linares"/>
    <x v="132"/>
    <s v="100-C-7"/>
    <s v="#1774B107"/>
    <s v="300-0133"/>
    <e v="#N/A"/>
    <e v="#N/A"/>
    <e v="#N/A"/>
    <s v="FI-401"/>
    <e v="#N/A"/>
  </r>
  <r>
    <x v="133"/>
    <n v="300"/>
    <x v="0"/>
    <s v="Mujeres"/>
    <n v="33"/>
    <x v="5"/>
    <x v="1"/>
    <x v="2"/>
    <x v="49"/>
    <s v="Ninguno"/>
    <s v="Sentencias Dictadas por Delitos de Abuso Sexual"/>
    <s v="Periodo 2013-2019"/>
    <s v="Número de sentencias"/>
    <s v="Poder Judicial"/>
    <x v="119"/>
    <s v="El gráfico muestra la evolución anual de la frecuencia de Sentencias Dictadas por Delitos de Abuso Sexual en el  Juzgado de Garantía de Iquique para el Periodo 2013-2019 de acuerdo a datos provenientes del Poder Judicial de Chile."/>
    <s v="Gráfico de Evolución"/>
    <s v="abuso sexual delitos género violencia mujer mujeres casos víctimas detenciones sentencias juzgado garantía molina"/>
    <x v="133"/>
    <s v="100-C-7"/>
    <s v="#1774B107"/>
    <s v="300-0134"/>
    <n v="40200001"/>
    <e v="#N/A"/>
    <e v="#N/A"/>
    <s v="FI-401"/>
    <e v="#N/A"/>
  </r>
  <r>
    <x v="134"/>
    <n v="300"/>
    <x v="0"/>
    <s v="Mujeres"/>
    <n v="34"/>
    <x v="5"/>
    <x v="1"/>
    <x v="2"/>
    <x v="50"/>
    <s v="Ninguno"/>
    <s v="Sentencias Dictadas por Delitos de Abuso Sexual"/>
    <s v="Periodo 2013-2019"/>
    <s v="Número de sentencias"/>
    <s v="Poder Judicial"/>
    <x v="120"/>
    <s v="El gráfico muestra la evolución anual de la frecuencia de Sentencias Dictadas por Delitos de Abuso Sexual en el  Juzgado de Garantía de Antofagasta para el Periodo 2013-2019 de acuerdo a datos provenientes del Poder Judicial de Chile."/>
    <s v="Gráfico de Evolución"/>
    <s v="abuso sexual delitos género violencia mujer mujeres casos víctimas detenciones sentencias juzgado garantía parral"/>
    <x v="134"/>
    <s v="100-C-7"/>
    <s v="#1774B107"/>
    <s v="300-0135"/>
    <n v="40200002"/>
    <e v="#N/A"/>
    <e v="#N/A"/>
    <s v="FI-401"/>
    <e v="#N/A"/>
  </r>
  <r>
    <x v="135"/>
    <n v="300"/>
    <x v="0"/>
    <s v="Mujeres"/>
    <n v="35"/>
    <x v="5"/>
    <x v="1"/>
    <x v="2"/>
    <x v="51"/>
    <s v="Ninguno"/>
    <s v="Sentencias Dictadas por Delitos de Abuso Sexual"/>
    <s v="Periodo 2013-2019"/>
    <s v="Número de sentencias"/>
    <s v="Poder Judicial"/>
    <x v="121"/>
    <s v="El gráfico muestra la evolución anual de la frecuencia de Sentencias Dictadas por Delitos de Abuso Sexual en el  Juzgado de Garantía de Calama para el Periodo 2013-2019 de acuerdo a datos provenientes del Poder Judicial de Chile."/>
    <s v="Gráfico de Evolución"/>
    <s v="abuso sexual delitos género violencia mujer mujeres casos víctimas detenciones sentencias juzgado garantía san Javier"/>
    <x v="135"/>
    <s v="100-C-7"/>
    <s v="#1774B107"/>
    <s v="300-0136"/>
    <n v="40200003"/>
    <e v="#N/A"/>
    <e v="#N/A"/>
    <s v="FI-401"/>
    <e v="#N/A"/>
  </r>
  <r>
    <x v="136"/>
    <n v="300"/>
    <x v="0"/>
    <s v="Mujeres"/>
    <n v="36"/>
    <x v="5"/>
    <x v="1"/>
    <x v="2"/>
    <x v="52"/>
    <s v="Ninguno"/>
    <s v="Sentencias Dictadas por Delitos de Abuso Sexual"/>
    <s v="Periodo 2013-2019"/>
    <s v="Número de sentencias"/>
    <s v="Poder Judicial"/>
    <x v="122"/>
    <s v="El gráfico muestra la evolución anual de la frecuencia de Sentencias Dictadas por Delitos de Abuso Sexual en el  Juzgado de Garantía de Tocopilla para el Periodo 2013-2019 de acuerdo a datos provenientes del Poder Judicial de Chile."/>
    <s v="Gráfico de Evolución"/>
    <s v="abuso sexual delitos género violencia mujer mujeres casos víctimas detenciones sentencias juzgado garantía talca"/>
    <x v="136"/>
    <s v="100-C-7"/>
    <s v="#1774B107"/>
    <s v="300-0137"/>
    <n v="40200004"/>
    <e v="#N/A"/>
    <e v="#N/A"/>
    <s v="FI-401"/>
    <e v="#N/A"/>
  </r>
  <r>
    <x v="137"/>
    <n v="300"/>
    <x v="0"/>
    <s v="Mujeres"/>
    <n v="37"/>
    <x v="5"/>
    <x v="1"/>
    <x v="2"/>
    <x v="53"/>
    <s v="Ninguno"/>
    <s v="Sentencias Dictadas por Delitos de Abuso Sexual"/>
    <s v="Periodo 2013-2019"/>
    <s v="Número de sentencias"/>
    <s v="Poder Judicial"/>
    <x v="123"/>
    <s v="El gráfico muestra la evolución anual de la frecuencia de Sentencias Dictadas por Delitos de Abuso Sexual en el  Juzgado de Garantía de Copiapo para el Periodo 2013-2019 de acuerdo a datos provenientes del Poder Judicial de Chile."/>
    <s v="Gráfico de Evolución"/>
    <s v="abuso sexual delitos género violencia mujer mujeres casos víctimas detenciones sentencias juzgado garantía arauco"/>
    <x v="137"/>
    <s v="100-C-8"/>
    <s v="#1774B107"/>
    <s v="300-0138"/>
    <n v="40200005"/>
    <e v="#N/A"/>
    <e v="#N/A"/>
    <s v="FI-401"/>
    <e v="#N/A"/>
  </r>
  <r>
    <x v="138"/>
    <n v="300"/>
    <x v="0"/>
    <s v="Mujeres"/>
    <n v="38"/>
    <x v="5"/>
    <x v="1"/>
    <x v="2"/>
    <x v="54"/>
    <s v="Ninguno"/>
    <s v="Sentencias Dictadas por Delitos de Abuso Sexual"/>
    <s v="Periodo 2013-2019"/>
    <s v="Número de sentencias"/>
    <s v="Poder Judicial"/>
    <x v="124"/>
    <s v="El gráfico muestra la evolución anual de la frecuencia de Sentencias Dictadas por Delitos de Abuso Sexual en el  Juzgado de Garantía de Diego de Almagro para el Periodo 2013-2019 de acuerdo a datos provenientes del Poder Judicial de Chile."/>
    <s v="Gráfico de Evolución"/>
    <s v="abuso sexual delitos género violencia mujer mujeres casos víctimas detenciones sentencias juzgado garantía cañete"/>
    <x v="138"/>
    <s v="100-C-8"/>
    <s v="#1774B107"/>
    <s v="300-0139"/>
    <n v="40200006"/>
    <e v="#N/A"/>
    <e v="#N/A"/>
    <s v="FI-401"/>
    <e v="#N/A"/>
  </r>
  <r>
    <x v="139"/>
    <n v="300"/>
    <x v="0"/>
    <s v="Mujeres"/>
    <n v="39"/>
    <x v="5"/>
    <x v="1"/>
    <x v="2"/>
    <x v="55"/>
    <s v="Ninguno"/>
    <s v="Sentencias Dictadas por Delitos de Abuso Sexual"/>
    <s v="Periodo 2013-2019"/>
    <s v="Número de sentencias"/>
    <s v="Poder Judicial"/>
    <x v="125"/>
    <s v="El gráfico muestra la evolución anual de la frecuencia de Sentencias Dictadas por Delitos de Abuso Sexual en el  Juzgado de Garantía de Vallenar para el Periodo 2013-2019 de acuerdo a datos provenientes del Poder Judicial de Chile."/>
    <s v="Gráfico de Evolución"/>
    <s v="abuso sexual delitos género violencia mujer mujeres casos víctimas detenciones sentencias juzgado garantía chiguayante"/>
    <x v="139"/>
    <s v="100-C-8"/>
    <s v="#1774B107"/>
    <s v="300-0140"/>
    <n v="40200007"/>
    <e v="#N/A"/>
    <e v="#N/A"/>
    <s v="FI-401"/>
    <e v="#N/A"/>
  </r>
  <r>
    <x v="140"/>
    <n v="300"/>
    <x v="0"/>
    <s v="Mujeres"/>
    <n v="40"/>
    <x v="5"/>
    <x v="1"/>
    <x v="2"/>
    <x v="56"/>
    <s v="Ninguno"/>
    <s v="Sentencias Dictadas por Delitos de Abuso Sexual"/>
    <s v="Periodo 2013-2019"/>
    <s v="Número de sentencias"/>
    <s v="Poder Judicial"/>
    <x v="126"/>
    <s v="El gráfico muestra la evolución anual de la frecuencia de Sentencias Dictadas por Delitos de Abuso Sexual en el  Juzgado de Garantía de Coquimbo para el Periodo 2013-2019 de acuerdo a datos provenientes del Poder Judicial de Chile."/>
    <s v="Gráfico de Evolución"/>
    <s v="abuso sexual delitos género violencia mujer mujeres casos víctimas detenciones sentencias juzgado garantía concepcion"/>
    <x v="140"/>
    <s v="100-C-8"/>
    <s v="#1774B107"/>
    <s v="300-0141"/>
    <n v="40200008"/>
    <e v="#N/A"/>
    <e v="#N/A"/>
    <s v="FI-401"/>
    <e v="#N/A"/>
  </r>
  <r>
    <x v="141"/>
    <n v="300"/>
    <x v="0"/>
    <s v="Mujeres"/>
    <n v="41"/>
    <x v="5"/>
    <x v="1"/>
    <x v="2"/>
    <x v="57"/>
    <s v="Ninguno"/>
    <s v="Sentencias Dictadas por Delitos de Abuso Sexual"/>
    <s v="Periodo 2013-2019"/>
    <s v="Número de sentencias"/>
    <s v="Poder Judicial"/>
    <x v="127"/>
    <s v="El gráfico muestra la evolución anual de la frecuencia de Sentencias Dictadas por Delitos de Abuso Sexual en el  Juzgado de Garantía de Illapel para el Periodo 2013-2019 de acuerdo a datos provenientes del Poder Judicial de Chile."/>
    <s v="Gráfico de Evolución"/>
    <s v="abuso sexual delitos género violencia mujer mujeres casos víctimas detenciones sentencias juzgado garantía coronel"/>
    <x v="141"/>
    <s v="100-C-8"/>
    <s v="#1774B107"/>
    <s v="300-0142"/>
    <n v="40200009"/>
    <e v="#N/A"/>
    <e v="#N/A"/>
    <s v="FI-401"/>
    <e v="#N/A"/>
  </r>
  <r>
    <x v="142"/>
    <n v="300"/>
    <x v="0"/>
    <s v="Mujeres"/>
    <n v="42"/>
    <x v="5"/>
    <x v="1"/>
    <x v="2"/>
    <x v="58"/>
    <s v="Ninguno"/>
    <s v="Sentencias Dictadas por Delitos de Abuso Sexual"/>
    <s v="Periodo 2013-2019"/>
    <s v="Número de sentencias"/>
    <s v="Poder Judicial"/>
    <x v="128"/>
    <s v="El gráfico muestra la evolución anual de la frecuencia de Sentencias Dictadas por Delitos de Abuso Sexual en el  Juzgado de Garantía de La Serena para el Periodo 2013-2019 de acuerdo a datos provenientes del Poder Judicial de Chile."/>
    <s v="Gráfico de Evolución"/>
    <s v="abuso sexual delitos género violencia mujer mujeres casos víctimas detenciones sentencias juzgado garantía los angeles"/>
    <x v="142"/>
    <s v="100-C-8"/>
    <s v="#1774B107"/>
    <s v="300-0143"/>
    <n v="40200010"/>
    <e v="#N/A"/>
    <e v="#N/A"/>
    <s v="FI-401"/>
    <e v="#N/A"/>
  </r>
  <r>
    <x v="143"/>
    <n v="300"/>
    <x v="0"/>
    <s v="Mujeres"/>
    <n v="43"/>
    <x v="5"/>
    <x v="1"/>
    <x v="2"/>
    <x v="59"/>
    <s v="Ninguno"/>
    <s v="Sentencias Dictadas por Delitos de Abuso Sexual"/>
    <s v="Periodo 2013-2019"/>
    <s v="Número de sentencias"/>
    <s v="Poder Judicial"/>
    <x v="129"/>
    <s v="El gráfico muestra la evolución anual de la frecuencia de Sentencias Dictadas por Delitos de Abuso Sexual en el  Juzgado de Garantía de Ovalle para el Periodo 2013-2019 de acuerdo a datos provenientes del Poder Judicial de Chile."/>
    <s v="Gráfico de Evolución"/>
    <s v="abuso sexual delitos género violencia mujer mujeres casos víctimas detenciones sentencias juzgado garantía talcahuano"/>
    <x v="143"/>
    <s v="100-C-8"/>
    <s v="#1774B107"/>
    <s v="300-0144"/>
    <n v="40200011"/>
    <e v="#N/A"/>
    <e v="#N/A"/>
    <s v="FI-401"/>
    <e v="#N/A"/>
  </r>
  <r>
    <x v="144"/>
    <n v="300"/>
    <x v="0"/>
    <s v="Mujeres"/>
    <n v="44"/>
    <x v="5"/>
    <x v="1"/>
    <x v="2"/>
    <x v="60"/>
    <s v="Ninguno"/>
    <s v="Sentencias Dictadas por Delitos de Abuso Sexual"/>
    <s v="Periodo 2013-2019"/>
    <s v="Número de sentencias"/>
    <s v="Poder Judicial"/>
    <x v="130"/>
    <s v="El gráfico muestra la evolución anual de la frecuencia de Sentencias Dictadas por Delitos de Abuso Sexual en el  Juzgado de Garantía de Vicuña para el Periodo 2013-2019 de acuerdo a datos provenientes del Poder Judicial de Chile."/>
    <s v="Gráfico de Evolución"/>
    <s v="abuso sexual delitos género violencia mujer mujeres casos víctimas detenciones sentencias juzgado garantía tome"/>
    <x v="144"/>
    <s v="100-C-8"/>
    <s v="#1774B107"/>
    <s v="300-0145"/>
    <n v="40200012"/>
    <e v="#N/A"/>
    <e v="#N/A"/>
    <s v="FI-401"/>
    <e v="#N/A"/>
  </r>
  <r>
    <x v="145"/>
    <n v="300"/>
    <x v="0"/>
    <s v="Mujeres"/>
    <n v="45"/>
    <x v="5"/>
    <x v="1"/>
    <x v="2"/>
    <x v="61"/>
    <s v="Ninguno"/>
    <s v="Sentencias Dictadas por Delitos de Abuso Sexual"/>
    <s v="Periodo 2013-2019"/>
    <s v="Número de sentencias"/>
    <s v="Poder Judicial"/>
    <x v="131"/>
    <s v="El gráfico muestra la evolución anual de la frecuencia de Sentencias Dictadas por Delitos de Abuso Sexual en el  Juzgado de Garantía de Calera para el Periodo 2013-2019 de acuerdo a datos provenientes del Poder Judicial de Chile."/>
    <s v="Gráfico de Evolución"/>
    <s v="abuso sexual delitos género violencia mujer mujeres casos víctimas detenciones sentencias juzgado garantía angol"/>
    <x v="145"/>
    <s v="100-C-9"/>
    <s v="#1774B107"/>
    <s v="300-0146"/>
    <n v="40200013"/>
    <e v="#N/A"/>
    <e v="#N/A"/>
    <s v="FI-401"/>
    <e v="#N/A"/>
  </r>
  <r>
    <x v="146"/>
    <n v="300"/>
    <x v="0"/>
    <s v="Mujeres"/>
    <n v="46"/>
    <x v="5"/>
    <x v="1"/>
    <x v="2"/>
    <x v="62"/>
    <s v="Ninguno"/>
    <s v="Sentencias Dictadas por Delitos de Abuso Sexual"/>
    <s v="Periodo 2013-2019"/>
    <s v="Número de sentencias"/>
    <s v="Poder Judicial"/>
    <x v="132"/>
    <s v="El gráfico muestra la evolución anual de la frecuencia de Sentencias Dictadas por Delitos de Abuso Sexual en el  Juzgado de Garantía de La Ligua para el Periodo 2013-2019 de acuerdo a datos provenientes del Poder Judicial de Chile."/>
    <s v="Gráfico de Evolución"/>
    <s v="abuso sexual delitos género violencia mujer mujeres casos víctimas detenciones sentencias juzgado garantía lautaro"/>
    <x v="146"/>
    <s v="100-C-9"/>
    <s v="#1774B107"/>
    <s v="300-0147"/>
    <n v="40200014"/>
    <e v="#N/A"/>
    <e v="#N/A"/>
    <s v="FI-401"/>
    <e v="#N/A"/>
  </r>
  <r>
    <x v="147"/>
    <n v="300"/>
    <x v="0"/>
    <s v="Mujeres"/>
    <n v="47"/>
    <x v="5"/>
    <x v="1"/>
    <x v="2"/>
    <x v="63"/>
    <s v="Ninguno"/>
    <s v="Sentencias Dictadas por Delitos de Abuso Sexual"/>
    <s v="Periodo 2013-2019"/>
    <s v="Número de sentencias"/>
    <s v="Poder Judicial"/>
    <x v="133"/>
    <s v="El gráfico muestra la evolución anual de la frecuencia de Sentencias Dictadas por Delitos de Abuso Sexual en el  Juzgado de Garantía de Limache para el Periodo 2013-2019 de acuerdo a datos provenientes del Poder Judicial de Chile."/>
    <s v="Gráfico de Evolución"/>
    <s v="abuso sexual delitos género violencia mujer mujeres casos víctimas detenciones sentencias juzgado garantía loncoche"/>
    <x v="147"/>
    <s v="100-C-9"/>
    <s v="#1774B107"/>
    <s v="300-0148"/>
    <n v="40200015"/>
    <e v="#N/A"/>
    <e v="#N/A"/>
    <s v="FI-401"/>
    <e v="#N/A"/>
  </r>
  <r>
    <x v="148"/>
    <n v="300"/>
    <x v="0"/>
    <s v="Mujeres"/>
    <n v="48"/>
    <x v="5"/>
    <x v="1"/>
    <x v="2"/>
    <x v="64"/>
    <s v="Ninguno"/>
    <s v="Sentencias Dictadas por Delitos de Abuso Sexual"/>
    <s v="Periodo 2013-2019"/>
    <s v="Número de sentencias"/>
    <s v="Poder Judicial"/>
    <x v="134"/>
    <s v="El gráfico muestra la evolución anual de la frecuencia de Sentencias Dictadas por Delitos de Abuso Sexual en el  Juzgado de Garantía de Los Andes para el Periodo 2013-2019 de acuerdo a datos provenientes del Poder Judicial de Chile."/>
    <s v="Gráfico de Evolución"/>
    <s v="abuso sexual delitos género violencia mujer mujeres casos víctimas detenciones sentencias juzgado garantía nueva imperial"/>
    <x v="148"/>
    <s v="100-C-9"/>
    <s v="#1774B107"/>
    <s v="300-0149"/>
    <n v="40200016"/>
    <e v="#N/A"/>
    <e v="#N/A"/>
    <s v="FI-401"/>
    <e v="#N/A"/>
  </r>
  <r>
    <x v="149"/>
    <n v="300"/>
    <x v="0"/>
    <s v="Mujeres"/>
    <n v="49"/>
    <x v="5"/>
    <x v="1"/>
    <x v="2"/>
    <x v="65"/>
    <s v="Ninguno"/>
    <s v="Sentencias Dictadas por Delitos de Abuso Sexual"/>
    <s v="Periodo 2013-2019"/>
    <s v="Número de sentencias"/>
    <s v="Poder Judicial"/>
    <x v="135"/>
    <s v="El gráfico muestra la evolución anual de la frecuencia de Sentencias Dictadas por Delitos de Abuso Sexual en el  Juzgado de Garantía de Quillota para el Periodo 2013-2019 de acuerdo a datos provenientes del Poder Judicial de Chile."/>
    <s v="Gráfico de Evolución"/>
    <s v="abuso sexual delitos género violencia mujer mujeres casos víctimas detenciones sentencias juzgado garantía pitrufquen"/>
    <x v="149"/>
    <s v="100-C-9"/>
    <s v="#1774B107"/>
    <s v="300-0150"/>
    <e v="#N/A"/>
    <e v="#N/A"/>
    <e v="#N/A"/>
    <s v="FI-401"/>
    <e v="#N/A"/>
  </r>
  <r>
    <x v="150"/>
    <n v="300"/>
    <x v="0"/>
    <s v="Mujeres"/>
    <n v="50"/>
    <x v="5"/>
    <x v="1"/>
    <x v="2"/>
    <x v="66"/>
    <s v="Ninguno"/>
    <s v="Sentencias Dictadas por Delitos de Abuso Sexual"/>
    <s v="Periodo 2013-2019"/>
    <s v="Número de sentencias"/>
    <s v="Poder Judicial"/>
    <x v="136"/>
    <s v="El gráfico muestra la evolución anual de la frecuencia de Sentencias Dictadas por Delitos de Abuso Sexual en el  Juzgado de Garantía de Quilpue para el Periodo 2013-2019 de acuerdo a datos provenientes del Poder Judicial de Chile."/>
    <s v="Gráfico de Evolución"/>
    <s v="abuso sexual delitos género violencia mujer mujeres casos víctimas detenciones sentencias juzgado garantía temuco"/>
    <x v="150"/>
    <s v="100-C-9"/>
    <s v="#1774B107"/>
    <s v="300-0151"/>
    <e v="#N/A"/>
    <e v="#N/A"/>
    <e v="#N/A"/>
    <s v="FI-401"/>
    <e v="#N/A"/>
  </r>
  <r>
    <x v="151"/>
    <n v="300"/>
    <x v="0"/>
    <s v="Mujeres"/>
    <n v="51"/>
    <x v="5"/>
    <x v="1"/>
    <x v="2"/>
    <x v="67"/>
    <s v="Ninguno"/>
    <s v="Sentencias Dictadas por Delitos de Abuso Sexual"/>
    <s v="Periodo 2013-2019"/>
    <s v="Número de sentencias"/>
    <s v="Poder Judicial"/>
    <x v="137"/>
    <s v="El gráfico muestra la evolución anual de la frecuencia de Sentencias Dictadas por Delitos de Abuso Sexual en el  Juzgado de Garantía de San Felipe para el Periodo 2013-2019 de acuerdo a datos provenientes del Poder Judicial de Chile."/>
    <s v="Gráfico de Evolución"/>
    <s v="abuso sexual delitos género violencia mujer mujeres casos víctimas detenciones sentencias juzgado garantía victoria"/>
    <x v="151"/>
    <s v="100-C-9"/>
    <s v="#1774B107"/>
    <s v="300-0152"/>
    <e v="#N/A"/>
    <e v="#N/A"/>
    <e v="#N/A"/>
    <s v="FI-401"/>
    <e v="#N/A"/>
  </r>
  <r>
    <x v="152"/>
    <n v="300"/>
    <x v="0"/>
    <s v="Mujeres"/>
    <n v="52"/>
    <x v="5"/>
    <x v="1"/>
    <x v="2"/>
    <x v="68"/>
    <s v="Ninguno"/>
    <s v="Sentencias Dictadas por Delitos de Abuso Sexual"/>
    <s v="Periodo 2013-2019"/>
    <s v="Número de sentencias"/>
    <s v="Poder Judicial"/>
    <x v="138"/>
    <s v="El gráfico muestra la evolución anual de la frecuencia de Sentencias Dictadas por Delitos de Abuso Sexual en el  Juzgado de Garantía de Valparaiso para el Periodo 2013-2019 de acuerdo a datos provenientes del Poder Judicial de Chile."/>
    <s v="Gráfico de Evolución"/>
    <s v="abuso sexual delitos género violencia mujer mujeres casos víctimas detenciones sentencias juzgado garantía villarrica"/>
    <x v="152"/>
    <s v="100-C-9"/>
    <s v="#1774B107"/>
    <s v="300-0153"/>
    <e v="#N/A"/>
    <e v="#N/A"/>
    <e v="#N/A"/>
    <s v="FI-401"/>
    <e v="#N/A"/>
  </r>
  <r>
    <x v="153"/>
    <n v="300"/>
    <x v="0"/>
    <s v="Mujeres"/>
    <n v="53"/>
    <x v="5"/>
    <x v="1"/>
    <x v="2"/>
    <x v="69"/>
    <s v="Ninguno"/>
    <s v="Sentencias Dictadas por Delitos de Abuso Sexual"/>
    <s v="Periodo 2013-2019"/>
    <s v="Número de sentencias"/>
    <s v="Poder Judicial"/>
    <x v="139"/>
    <s v="El gráfico muestra la evolución anual de la frecuencia de Sentencias Dictadas por Delitos de Abuso Sexual en el  Juzgado de Garantía de Villa Alemana para el Periodo 2013-2019 de acuerdo a datos provenientes del Poder Judicial de Chile."/>
    <s v="Gráfico de Evolución"/>
    <s v="abuso sexual delitos género violencia mujer mujeres casos víctimas detenciones sentencias juzgado garantía ancud"/>
    <x v="153"/>
    <s v="100-C-10"/>
    <s v="#1774B107"/>
    <s v="300-0154"/>
    <e v="#N/A"/>
    <e v="#N/A"/>
    <e v="#N/A"/>
    <s v="FI-401"/>
    <e v="#N/A"/>
  </r>
  <r>
    <x v="154"/>
    <n v="300"/>
    <x v="0"/>
    <s v="Mujeres"/>
    <n v="54"/>
    <x v="5"/>
    <x v="1"/>
    <x v="2"/>
    <x v="70"/>
    <s v="Ninguno"/>
    <s v="Sentencias Dictadas por Delitos de Abuso Sexual"/>
    <s v="Periodo 2013-2019"/>
    <s v="Número de sentencias"/>
    <s v="Poder Judicial"/>
    <x v="140"/>
    <s v="El gráfico muestra la evolución anual de la frecuencia de Sentencias Dictadas por Delitos de Abuso Sexual en el  Juzgado de Garantía de Viña Del Mar para el Periodo 2013-2019 de acuerdo a datos provenientes del Poder Judicial de Chile."/>
    <s v="Gráfico de Evolución"/>
    <s v="abuso sexual delitos género violencia mujer mujeres casos víctimas detenciones sentencias juzgado garantía castro"/>
    <x v="154"/>
    <s v="100-C-10"/>
    <s v="#1774B107"/>
    <s v="300-0155"/>
    <e v="#N/A"/>
    <e v="#N/A"/>
    <e v="#N/A"/>
    <s v="FI-401"/>
    <e v="#N/A"/>
  </r>
  <r>
    <x v="155"/>
    <n v="300"/>
    <x v="0"/>
    <s v="Mujeres"/>
    <n v="55"/>
    <x v="5"/>
    <x v="1"/>
    <x v="2"/>
    <x v="71"/>
    <s v="Ninguno"/>
    <s v="Sentencias Dictadas por Delitos de Abuso Sexual"/>
    <s v="Periodo 2013-2019"/>
    <s v="Número de sentencias"/>
    <s v="Poder Judicial"/>
    <x v="141"/>
    <s v="El gráfico muestra la evolución anual de la frecuencia de Sentencias Dictadas por Delitos de Abuso Sexual en el  Juzgado de Garantía de Graneros para el Periodo 2013-2019 de acuerdo a datos provenientes del Poder Judicial de Chile."/>
    <s v="Gráfico de Evolución"/>
    <s v="abuso sexual delitos género violencia mujer mujeres casos víctimas detenciones sentencias juzgado garantía osorno"/>
    <x v="155"/>
    <s v="100-C-10"/>
    <s v="#1774B107"/>
    <s v="300-0156"/>
    <e v="#N/A"/>
    <e v="#N/A"/>
    <e v="#N/A"/>
    <s v="FI-401"/>
    <e v="#N/A"/>
  </r>
  <r>
    <x v="156"/>
    <n v="300"/>
    <x v="0"/>
    <s v="Mujeres"/>
    <n v="56"/>
    <x v="5"/>
    <x v="1"/>
    <x v="2"/>
    <x v="72"/>
    <s v="Ninguno"/>
    <s v="Sentencias Dictadas por Delitos de Abuso Sexual"/>
    <s v="Periodo 2013-2019"/>
    <s v="Número de sentencias"/>
    <s v="Poder Judicial"/>
    <x v="142"/>
    <s v="El gráfico muestra la evolución anual de la frecuencia de Sentencias Dictadas por Delitos de Abuso Sexual en el  Juzgado de Garantía de Rancagua para el Periodo 2013-2019 de acuerdo a datos provenientes del Poder Judicial de Chile."/>
    <s v="Gráfico de Evolución"/>
    <s v="abuso sexual delitos género violencia mujer mujeres casos víctimas detenciones sentencias juzgado garantía puerto montt"/>
    <x v="156"/>
    <s v="100-C-10"/>
    <s v="#1774B107"/>
    <s v="300-0157"/>
    <e v="#N/A"/>
    <e v="#N/A"/>
    <e v="#N/A"/>
    <s v="FI-401"/>
    <e v="#N/A"/>
  </r>
  <r>
    <x v="157"/>
    <n v="300"/>
    <x v="0"/>
    <s v="Mujeres"/>
    <n v="57"/>
    <x v="5"/>
    <x v="1"/>
    <x v="2"/>
    <x v="73"/>
    <s v="Ninguno"/>
    <s v="Sentencias Dictadas por Delitos de Abuso Sexual"/>
    <s v="Periodo 2013-2019"/>
    <s v="Número de sentencias"/>
    <s v="Poder Judicial"/>
    <x v="143"/>
    <s v="El gráfico muestra la evolución anual de la frecuencia de Sentencias Dictadas por Delitos de Abuso Sexual en el  Juzgado de Garantía de Rengo para el Periodo 2013-2019 de acuerdo a datos provenientes del Poder Judicial de Chile."/>
    <s v="Gráfico de Evolución"/>
    <s v="abuso sexual delitos género violencia mujer mujeres casos víctimas detenciones sentencias juzgado garantía puerto varas"/>
    <x v="157"/>
    <s v="100-C-10"/>
    <s v="#1774B107"/>
    <s v="300-0158"/>
    <e v="#N/A"/>
    <e v="#N/A"/>
    <e v="#N/A"/>
    <s v="FI-401"/>
    <e v="#N/A"/>
  </r>
  <r>
    <x v="158"/>
    <n v="300"/>
    <x v="0"/>
    <s v="Mujeres"/>
    <n v="58"/>
    <x v="5"/>
    <x v="1"/>
    <x v="2"/>
    <x v="74"/>
    <s v="Ninguno"/>
    <s v="Sentencias Dictadas por Delitos de Abuso Sexual"/>
    <s v="Periodo 2013-2019"/>
    <s v="Número de sentencias"/>
    <s v="Poder Judicial"/>
    <x v="144"/>
    <s v="El gráfico muestra la evolución anual de la frecuencia de Sentencias Dictadas por Delitos de Abuso Sexual en el  Juzgado de Garantía de San Fernando para el Periodo 2013-2019 de acuerdo a datos provenientes del Poder Judicial de Chile."/>
    <s v="Gráfico de Evolución"/>
    <s v="abuso sexual delitos género violencia mujer mujeres casos víctimas detenciones sentencias juzgado garantía rio negro"/>
    <x v="158"/>
    <s v="100-C-10"/>
    <s v="#1774B107"/>
    <s v="300-0159"/>
    <e v="#N/A"/>
    <e v="#N/A"/>
    <e v="#N/A"/>
    <s v="FI-401"/>
    <e v="#N/A"/>
  </r>
  <r>
    <x v="159"/>
    <n v="300"/>
    <x v="0"/>
    <s v="Mujeres"/>
    <n v="59"/>
    <x v="5"/>
    <x v="1"/>
    <x v="2"/>
    <x v="75"/>
    <s v="Ninguno"/>
    <s v="Sentencias Dictadas por Delitos de Abuso Sexual"/>
    <s v="Periodo 2013-2019"/>
    <s v="Número de sentencias"/>
    <s v="Poder Judicial"/>
    <x v="145"/>
    <s v="El gráfico muestra la evolución anual de la frecuencia de Sentencias Dictadas por Delitos de Abuso Sexual en el  Juzgado de Garantía de San Vicente para el Periodo 2013-2019 de acuerdo a datos provenientes del Poder Judicial de Chile."/>
    <s v="Gráfico de Evolución"/>
    <s v="abuso sexual delitos género violencia mujer mujeres casos víctimas detenciones sentencias juzgado garantía coyhaique"/>
    <x v="159"/>
    <s v="100-C-11"/>
    <s v="#1774B107"/>
    <s v="300-0160"/>
    <e v="#N/A"/>
    <e v="#N/A"/>
    <e v="#N/A"/>
    <s v="FI-401"/>
    <e v="#N/A"/>
  </r>
  <r>
    <x v="160"/>
    <n v="300"/>
    <x v="0"/>
    <s v="Mujeres"/>
    <n v="60"/>
    <x v="5"/>
    <x v="1"/>
    <x v="2"/>
    <x v="76"/>
    <s v="Ninguno"/>
    <s v="Sentencias Dictadas por Delitos de Abuso Sexual"/>
    <s v="Periodo 2013-2019"/>
    <s v="Número de sentencias"/>
    <s v="Poder Judicial"/>
    <x v="146"/>
    <s v="El gráfico muestra la evolución anual de la frecuencia de Sentencias Dictadas por Delitos de Abuso Sexual en el  Juzgado de Garantía de Santa Cruz para el Periodo 2013-2019 de acuerdo a datos provenientes del Poder Judicial de Chile."/>
    <s v="Gráfico de Evolución"/>
    <s v="abuso sexual delitos género violencia mujer mujeres casos víctimas detenciones sentencias juzgado garantía punta arenas"/>
    <x v="160"/>
    <s v="100-C-12"/>
    <s v="#1774B107"/>
    <s v="300-0161"/>
    <e v="#N/A"/>
    <e v="#N/A"/>
    <e v="#N/A"/>
    <s v="FI-401"/>
    <e v="#N/A"/>
  </r>
  <r>
    <x v="161"/>
    <n v="300"/>
    <x v="0"/>
    <s v="Mujeres"/>
    <n v="61"/>
    <x v="5"/>
    <x v="1"/>
    <x v="2"/>
    <x v="77"/>
    <s v="Ninguno"/>
    <s v="Sentencias Dictadas por Delitos de Abuso Sexual"/>
    <s v="Periodo 2013-2019"/>
    <s v="Número de sentencias"/>
    <s v="Poder Judicial"/>
    <x v="147"/>
    <s v="El gráfico muestra la evolución anual de la frecuencia de Sentencias Dictadas por Delitos de Abuso Sexual en el 10° Juzgado de Garantía de Cauquenes para el Periodo 2013-2019 de acuerdo a datos provenientes del Poder Judicial de Chile."/>
    <s v="Gráfico de Evolución"/>
    <s v="abuso sexual delitos género violencia mujer mujeres casos víctimas detenciones sentencias juzgado garantía santiago"/>
    <x v="161"/>
    <s v="200-C-13"/>
    <s v="#1774B107"/>
    <s v="300-0162"/>
    <e v="#N/A"/>
    <e v="#N/A"/>
    <e v="#N/A"/>
    <s v="FI-401"/>
    <e v="#N/A"/>
  </r>
  <r>
    <x v="162"/>
    <n v="300"/>
    <x v="0"/>
    <s v="Mujeres"/>
    <n v="62"/>
    <x v="5"/>
    <x v="1"/>
    <x v="2"/>
    <x v="77"/>
    <s v="Ninguno"/>
    <s v="Sentencias Dictadas por Delitos de Abuso Sexual"/>
    <s v="Periodo 2013-2019"/>
    <s v="Número de sentencias"/>
    <s v="Poder Judicial"/>
    <x v="148"/>
    <s v="El gráfico muestra la evolución anual de la frecuencia de Sentencias Dictadas por Delitos de Abuso Sexual en el 11° Juzgado de Garantía de Constitucion para el Periodo 2013-2019 de acuerdo a datos provenientes del Poder Judicial de Chile."/>
    <s v="Gráfico de Evolución"/>
    <s v="abuso sexual delitos género violencia mujer mujeres casos víctimas detenciones sentencias juzgado garantía santiago"/>
    <x v="162"/>
    <s v="200-C-13"/>
    <s v="#1774B107"/>
    <s v="300-0163"/>
    <e v="#N/A"/>
    <e v="#N/A"/>
    <e v="#N/A"/>
    <s v="FI-401"/>
    <e v="#N/A"/>
  </r>
  <r>
    <x v="163"/>
    <n v="300"/>
    <x v="0"/>
    <s v="Mujeres"/>
    <n v="63"/>
    <x v="5"/>
    <x v="1"/>
    <x v="2"/>
    <x v="77"/>
    <s v="Ninguno"/>
    <s v="Sentencias Dictadas por Delitos de Abuso Sexual"/>
    <s v="Periodo 2013-2019"/>
    <s v="Número de sentencias"/>
    <s v="Poder Judicial"/>
    <x v="149"/>
    <s v="El gráfico muestra la evolución anual de la frecuencia de Sentencias Dictadas por Delitos de Abuso Sexual en el 12° Juzgado de Garantía de Curico para el Periodo 2013-2019 de acuerdo a datos provenientes del Poder Judicial de Chile."/>
    <s v="Gráfico de Evolución"/>
    <s v="abuso sexual delitos género violencia mujer mujeres casos víctimas detenciones sentencias juzgado garantía santiago"/>
    <x v="163"/>
    <s v="200-C-13"/>
    <s v="#1774B107"/>
    <s v="300-0164"/>
    <e v="#N/A"/>
    <e v="#N/A"/>
    <e v="#N/A"/>
    <s v="FI-401"/>
    <e v="#N/A"/>
  </r>
  <r>
    <x v="164"/>
    <n v="300"/>
    <x v="0"/>
    <s v="Mujeres"/>
    <n v="64"/>
    <x v="5"/>
    <x v="1"/>
    <x v="2"/>
    <x v="77"/>
    <s v="Ninguno"/>
    <s v="Sentencias Dictadas por Delitos de Abuso Sexual"/>
    <s v="Periodo 2013-2019"/>
    <s v="Número de sentencias"/>
    <s v="Poder Judicial"/>
    <x v="150"/>
    <s v="El gráfico muestra la evolución anual de la frecuencia de Sentencias Dictadas por Delitos de Abuso Sexual en el 13° Juzgado de Garantía de Linares para el Periodo 2013-2019 de acuerdo a datos provenientes del Poder Judicial de Chile."/>
    <s v="Gráfico de Evolución"/>
    <s v="abuso sexual delitos género violencia mujer mujeres casos víctimas detenciones sentencias juzgado garantía santiago"/>
    <x v="164"/>
    <s v="200-C-13"/>
    <s v="#1774B107"/>
    <s v="300-0165"/>
    <e v="#N/A"/>
    <e v="#N/A"/>
    <e v="#N/A"/>
    <s v="FI-401"/>
    <e v="#N/A"/>
  </r>
  <r>
    <x v="165"/>
    <n v="300"/>
    <x v="0"/>
    <s v="Mujeres"/>
    <n v="65"/>
    <x v="5"/>
    <x v="1"/>
    <x v="2"/>
    <x v="77"/>
    <s v="Ninguno"/>
    <s v="Sentencias Dictadas por Delitos de Abuso Sexual"/>
    <s v="Periodo 2013-2019"/>
    <s v="Número de sentencias"/>
    <s v="Poder Judicial"/>
    <x v="151"/>
    <s v="El gráfico muestra la evolución anual de la frecuencia de Sentencias Dictadas por Delitos de Abuso Sexual en el 14° Juzgado de Garantía de Molina para el Periodo 2013-2019 de acuerdo a datos provenientes del Poder Judicial de Chile."/>
    <s v="Gráfico de Evolución"/>
    <s v="abuso sexual delitos género violencia mujer mujeres casos víctimas detenciones sentencias juzgado garantía santiago"/>
    <x v="165"/>
    <s v="200-C-13"/>
    <s v="#1774B107"/>
    <s v="300-0166"/>
    <e v="#N/A"/>
    <e v="#N/A"/>
    <e v="#N/A"/>
    <s v="FI-401"/>
    <e v="#N/A"/>
  </r>
  <r>
    <x v="166"/>
    <n v="300"/>
    <x v="0"/>
    <s v="Mujeres"/>
    <n v="66"/>
    <x v="5"/>
    <x v="1"/>
    <x v="2"/>
    <x v="77"/>
    <s v="Ninguno"/>
    <s v="Sentencias Dictadas por Delitos de Abuso Sexual"/>
    <s v="Periodo 2013-2019"/>
    <s v="Número de sentencias"/>
    <s v="Poder Judicial"/>
    <x v="152"/>
    <s v="El gráfico muestra la evolución anual de la frecuencia de Sentencias Dictadas por Delitos de Abuso Sexual en el 15° Juzgado de Garantía de Parral para el Periodo 2013-2019 de acuerdo a datos provenientes del Poder Judicial de Chile."/>
    <s v="Gráfico de Evolución"/>
    <s v="abuso sexual delitos género violencia mujer mujeres casos víctimas detenciones sentencias juzgado garantía santiago"/>
    <x v="166"/>
    <s v="200-C-13"/>
    <s v="#1774B107"/>
    <s v="300-0167"/>
    <e v="#N/A"/>
    <e v="#N/A"/>
    <e v="#N/A"/>
    <s v="FI-401"/>
    <e v="#N/A"/>
  </r>
  <r>
    <x v="167"/>
    <n v="300"/>
    <x v="0"/>
    <s v="Mujeres"/>
    <n v="67"/>
    <x v="5"/>
    <x v="1"/>
    <x v="2"/>
    <x v="77"/>
    <s v="Ninguno"/>
    <s v="Sentencias Dictadas por Delitos de Abuso Sexual"/>
    <s v="Periodo 2013-2019"/>
    <s v="Número de sentencias"/>
    <s v="Poder Judicial"/>
    <x v="153"/>
    <s v="El gráfico muestra la evolución anual de la frecuencia de Sentencias Dictadas por Delitos de Abuso Sexual en el 1° Juzgado de Garantía de San Javier para el Periodo 2013-2019 de acuerdo a datos provenientes del Poder Judicial de Chile."/>
    <s v="Gráfico de Evolución"/>
    <s v="abuso sexual delitos género violencia mujer mujeres casos víctimas detenciones sentencias juzgado garantía santiago"/>
    <x v="167"/>
    <s v="200-C-13"/>
    <s v="#1774B107"/>
    <s v="300-0168"/>
    <e v="#N/A"/>
    <e v="#N/A"/>
    <e v="#N/A"/>
    <s v="FI-401"/>
    <e v="#N/A"/>
  </r>
  <r>
    <x v="168"/>
    <n v="300"/>
    <x v="0"/>
    <s v="Mujeres"/>
    <n v="68"/>
    <x v="5"/>
    <x v="1"/>
    <x v="2"/>
    <x v="77"/>
    <s v="Ninguno"/>
    <s v="Sentencias Dictadas por Delitos de Abuso Sexual"/>
    <s v="Periodo 2013-2019"/>
    <s v="Número de sentencias"/>
    <s v="Poder Judicial"/>
    <x v="154"/>
    <s v="El gráfico muestra la evolución anual de la frecuencia de Sentencias Dictadas por Delitos de Abuso Sexual en el 2° Juzgado de Garantía de Talca para el Periodo 2013-2019 de acuerdo a datos provenientes del Poder Judicial de Chile."/>
    <s v="Gráfico de Evolución"/>
    <s v="abuso sexual delitos género violencia mujer mujeres casos víctimas detenciones sentencias juzgado garantía santiago"/>
    <x v="168"/>
    <s v="200-C-13"/>
    <s v="#1774B107"/>
    <s v="300-0169"/>
    <e v="#N/A"/>
    <e v="#N/A"/>
    <e v="#N/A"/>
    <s v="FI-401"/>
    <e v="#N/A"/>
  </r>
  <r>
    <x v="169"/>
    <n v="300"/>
    <x v="0"/>
    <s v="Mujeres"/>
    <n v="69"/>
    <x v="5"/>
    <x v="1"/>
    <x v="2"/>
    <x v="77"/>
    <s v="Ninguno"/>
    <s v="Sentencias Dictadas por Delitos de Abuso Sexual"/>
    <s v="Periodo 2013-2019"/>
    <s v="Número de sentencias"/>
    <s v="Poder Judicial"/>
    <x v="155"/>
    <s v="El gráfico muestra la evolución anual de la frecuencia de Sentencias Dictadas por Delitos de Abuso Sexual en el 3° Juzgado de Garantía de Arauco para el Periodo 2013-2019 de acuerdo a datos provenientes del Poder Judicial de Chile."/>
    <s v="Gráfico de Evolución"/>
    <s v="abuso sexual delitos género violencia mujer mujeres casos víctimas detenciones sentencias juzgado garantía santiago"/>
    <x v="169"/>
    <s v="200-C-13"/>
    <s v="#1774B107"/>
    <s v="300-0170"/>
    <e v="#N/A"/>
    <e v="#N/A"/>
    <e v="#N/A"/>
    <s v="FI-401"/>
    <e v="#N/A"/>
  </r>
  <r>
    <x v="170"/>
    <n v="300"/>
    <x v="0"/>
    <s v="Mujeres"/>
    <n v="70"/>
    <x v="5"/>
    <x v="1"/>
    <x v="2"/>
    <x v="77"/>
    <s v="Ninguno"/>
    <s v="Sentencias Dictadas por Delitos de Abuso Sexual"/>
    <s v="Periodo 2013-2019"/>
    <s v="Número de sentencias"/>
    <s v="Poder Judicial"/>
    <x v="156"/>
    <s v="El gráfico muestra la evolución anual de la frecuencia de Sentencias Dictadas por Delitos de Abuso Sexual en el 4° Juzgado de Garantía de Cañete para el Periodo 2013-2019 de acuerdo a datos provenientes del Poder Judicial de Chile."/>
    <s v="Gráfico de Evolución"/>
    <s v="abuso sexual delitos género violencia mujer mujeres casos víctimas detenciones sentencias juzgado garantía santiago"/>
    <x v="170"/>
    <s v="200-C-13"/>
    <s v="#1774B107"/>
    <s v="300-0171"/>
    <e v="#N/A"/>
    <e v="#N/A"/>
    <e v="#N/A"/>
    <s v="FI-401"/>
    <e v="#N/A"/>
  </r>
  <r>
    <x v="171"/>
    <n v="300"/>
    <x v="0"/>
    <s v="Mujeres"/>
    <n v="71"/>
    <x v="5"/>
    <x v="1"/>
    <x v="2"/>
    <x v="77"/>
    <s v="Ninguno"/>
    <s v="Sentencias Dictadas por Delitos de Abuso Sexual"/>
    <s v="Periodo 2013-2019"/>
    <s v="Número de sentencias"/>
    <s v="Poder Judicial"/>
    <x v="157"/>
    <s v="El gráfico muestra la evolución anual de la frecuencia de Sentencias Dictadas por Delitos de Abuso Sexual en el 5° Juzgado de Garantía de Chiguayante para el Periodo 2013-2019 de acuerdo a datos provenientes del Poder Judicial de Chile."/>
    <s v="Gráfico de Evolución"/>
    <s v="abuso sexual delitos género violencia mujer mujeres casos víctimas detenciones sentencias juzgado garantía santiago"/>
    <x v="171"/>
    <s v="200-C-13"/>
    <s v="#1774B107"/>
    <s v="300-0172"/>
    <e v="#N/A"/>
    <e v="#N/A"/>
    <e v="#N/A"/>
    <s v="FI-401"/>
    <e v="#N/A"/>
  </r>
  <r>
    <x v="172"/>
    <n v="300"/>
    <x v="0"/>
    <s v="Mujeres"/>
    <n v="72"/>
    <x v="5"/>
    <x v="1"/>
    <x v="2"/>
    <x v="77"/>
    <s v="Ninguno"/>
    <s v="Sentencias Dictadas por Delitos de Abuso Sexual"/>
    <s v="Periodo 2013-2019"/>
    <s v="Número de sentencias"/>
    <s v="Poder Judicial"/>
    <x v="158"/>
    <s v="El gráfico muestra la evolución anual de la frecuencia de Sentencias Dictadas por Delitos de Abuso Sexual en el 6° Juzgado de Garantía de Concepcion para el Periodo 2013-2019 de acuerdo a datos provenientes del Poder Judicial de Chile."/>
    <s v="Gráfico de Evolución"/>
    <s v="abuso sexual delitos género violencia mujer mujeres casos víctimas detenciones sentencias juzgado garantía santiago"/>
    <x v="172"/>
    <s v="200-C-13"/>
    <s v="#1774B107"/>
    <s v="300-0173"/>
    <e v="#N/A"/>
    <e v="#N/A"/>
    <e v="#N/A"/>
    <s v="FI-401"/>
    <e v="#N/A"/>
  </r>
  <r>
    <x v="173"/>
    <n v="300"/>
    <x v="0"/>
    <s v="Mujeres"/>
    <n v="73"/>
    <x v="5"/>
    <x v="1"/>
    <x v="2"/>
    <x v="77"/>
    <s v="Ninguno"/>
    <s v="Sentencias Dictadas por Delitos de Abuso Sexual"/>
    <s v="Periodo 2013-2019"/>
    <s v="Número de sentencias"/>
    <s v="Poder Judicial"/>
    <x v="159"/>
    <s v="El gráfico muestra la evolución anual de la frecuencia de Sentencias Dictadas por Delitos de Abuso Sexual en el 7° Juzgado de Garantía de Coronel para el Periodo 2013-2019 de acuerdo a datos provenientes del Poder Judicial de Chile."/>
    <s v="Gráfico de Evolución"/>
    <s v="abuso sexual delitos género violencia mujer mujeres casos víctimas detenciones sentencias juzgado garantía santiago"/>
    <x v="173"/>
    <s v="200-C-13"/>
    <s v="#1774B107"/>
    <s v="300-0174"/>
    <e v="#N/A"/>
    <e v="#N/A"/>
    <e v="#N/A"/>
    <s v="FI-401"/>
    <e v="#N/A"/>
  </r>
  <r>
    <x v="174"/>
    <n v="300"/>
    <x v="0"/>
    <s v="Mujeres"/>
    <n v="74"/>
    <x v="5"/>
    <x v="1"/>
    <x v="2"/>
    <x v="77"/>
    <s v="Ninguno"/>
    <s v="Sentencias Dictadas por Delitos de Abuso Sexual"/>
    <s v="Periodo 2013-2019"/>
    <s v="Número de sentencias"/>
    <s v="Poder Judicial"/>
    <x v="160"/>
    <s v="El gráfico muestra la evolución anual de la frecuencia de Sentencias Dictadas por Delitos de Abuso Sexual en el 8° Juzgado de Garantía de Los Angeles para el Periodo 2013-2019 de acuerdo a datos provenientes del Poder Judicial de Chile."/>
    <s v="Gráfico de Evolución"/>
    <s v="abuso sexual delitos género violencia mujer mujeres casos víctimas detenciones sentencias juzgado garantía santiago"/>
    <x v="174"/>
    <s v="200-C-13"/>
    <s v="#1774B107"/>
    <s v="300-0175"/>
    <e v="#N/A"/>
    <e v="#N/A"/>
    <e v="#N/A"/>
    <s v="FI-401"/>
    <e v="#N/A"/>
  </r>
  <r>
    <x v="175"/>
    <n v="300"/>
    <x v="0"/>
    <s v="Mujeres"/>
    <n v="75"/>
    <x v="5"/>
    <x v="1"/>
    <x v="2"/>
    <x v="77"/>
    <s v="Ninguno"/>
    <s v="Sentencias Dictadas por Delitos de Abuso Sexual"/>
    <s v="Periodo 2013-2019"/>
    <s v="Número de sentencias"/>
    <s v="Poder Judicial"/>
    <x v="161"/>
    <s v="El gráfico muestra la evolución anual de la frecuencia de Sentencias Dictadas por Delitos de Abuso Sexual en el 9° Juzgado de Garantía de Talcahuano para el Periodo 2013-2019 de acuerdo a datos provenientes del Poder Judicial de Chile."/>
    <s v="Gráfico de Evolución"/>
    <s v="abuso sexual delitos género violencia mujer mujeres casos víctimas detenciones sentencias juzgado garantía santiago"/>
    <x v="175"/>
    <s v="200-C-13"/>
    <s v="#1774B107"/>
    <s v="300-0176"/>
    <e v="#N/A"/>
    <e v="#N/A"/>
    <e v="#N/A"/>
    <s v="FI-401"/>
    <e v="#N/A"/>
  </r>
  <r>
    <x v="176"/>
    <n v="300"/>
    <x v="0"/>
    <s v="Mujeres"/>
    <n v="76"/>
    <x v="5"/>
    <x v="1"/>
    <x v="2"/>
    <x v="78"/>
    <s v="Ninguno"/>
    <s v="Sentencias Dictadas por Delitos de Abuso Sexual"/>
    <s v="Periodo 2013-2019"/>
    <s v="Número de sentencias"/>
    <s v="Poder Judicial"/>
    <x v="162"/>
    <s v="El gráfico muestra la evolución anual de la frecuencia de Sentencias Dictadas por Delitos de Abuso Sexual en el Juzgado de Garantía de Tome para el Periodo 2013-2019 de acuerdo a datos provenientes del Poder Judicial de Chile."/>
    <s v="Gráfico de Evolución"/>
    <s v="abuso sexual delitos género violencia mujer mujeres casos víctimas detenciones sentencias juzgado garantía los lagos"/>
    <x v="176"/>
    <s v="100-C-14"/>
    <s v="#1774B107"/>
    <s v="300-0177"/>
    <e v="#N/A"/>
    <e v="#N/A"/>
    <e v="#N/A"/>
    <s v="FI-401"/>
    <e v="#N/A"/>
  </r>
  <r>
    <x v="177"/>
    <n v="300"/>
    <x v="0"/>
    <s v="Mujeres"/>
    <n v="77"/>
    <x v="5"/>
    <x v="1"/>
    <x v="2"/>
    <x v="79"/>
    <s v="Ninguno"/>
    <s v="Sentencias Dictadas por Delitos de Abuso Sexual"/>
    <s v="Periodo 2013-2019"/>
    <s v="Número de sentencias"/>
    <s v="Poder Judicial"/>
    <x v="163"/>
    <s v="El gráfico muestra la evolución anual de la frecuencia de Sentencias Dictadas por Delitos de Abuso Sexual en el Juzgado de Garantía de Angol para el Periodo 2013-2019 de acuerdo a datos provenientes del Poder Judicial de Chile."/>
    <s v="Gráfico de Evolución"/>
    <s v="abuso sexual delitos género violencia mujer mujeres casos víctimas detenciones sentencias juzgado garantía mariquina"/>
    <x v="177"/>
    <s v="100-C-14"/>
    <s v="#1774B107"/>
    <s v="300-0178"/>
    <e v="#N/A"/>
    <e v="#N/A"/>
    <e v="#N/A"/>
    <s v="FI-401"/>
    <e v="#N/A"/>
  </r>
  <r>
    <x v="178"/>
    <n v="300"/>
    <x v="0"/>
    <s v="Mujeres"/>
    <n v="78"/>
    <x v="5"/>
    <x v="1"/>
    <x v="2"/>
    <x v="80"/>
    <s v="Ninguno"/>
    <s v="Sentencias Dictadas por Delitos de Abuso Sexual"/>
    <s v="Periodo 2013-2019"/>
    <s v="Número de sentencias"/>
    <s v="Poder Judicial"/>
    <x v="164"/>
    <s v="El gráfico muestra la evolución anual de la frecuencia de Sentencias Dictadas por Delitos de Abuso Sexual en el Juzgado de Garantía de Lautaro para el Periodo 2013-2019 de acuerdo a datos provenientes del Poder Judicial de Chile."/>
    <s v="Gráfico de Evolución"/>
    <s v="abuso sexual delitos género violencia mujer mujeres casos víctimas detenciones sentencias juzgado garantía valdivia"/>
    <x v="178"/>
    <s v="100-C-14"/>
    <s v="#1774B107"/>
    <s v="300-0179"/>
    <e v="#N/A"/>
    <e v="#N/A"/>
    <e v="#N/A"/>
    <s v="FI-401"/>
    <e v="#N/A"/>
  </r>
  <r>
    <x v="179"/>
    <n v="300"/>
    <x v="0"/>
    <s v="Mujeres"/>
    <n v="79"/>
    <x v="5"/>
    <x v="1"/>
    <x v="2"/>
    <x v="81"/>
    <s v="Ninguno"/>
    <s v="Sentencias Dictadas por Delitos de Abuso Sexual"/>
    <s v="Periodo 2013-2019"/>
    <s v="Número de sentencias"/>
    <s v="Poder Judicial"/>
    <x v="165"/>
    <s v="El gráfico muestra la evolución anual de la frecuencia de Sentencias Dictadas por Delitos de Abuso Sexual en el Juzgado de Garantía de Loncoche para el Periodo 2013-2019 de acuerdo a datos provenientes del Poder Judicial de Chile."/>
    <s v="Gráfico de Evolución"/>
    <s v="abuso sexual delitos género violencia mujer mujeres casos víctimas detenciones sentencias juzgado garantía arica"/>
    <x v="179"/>
    <s v="100-C-15"/>
    <s v="#1774B107"/>
    <s v="300-0180"/>
    <e v="#N/A"/>
    <e v="#N/A"/>
    <e v="#N/A"/>
    <s v="FI-401"/>
    <e v="#N/A"/>
  </r>
  <r>
    <x v="180"/>
    <n v="300"/>
    <x v="0"/>
    <s v="Mujeres"/>
    <n v="80"/>
    <x v="5"/>
    <x v="1"/>
    <x v="2"/>
    <x v="82"/>
    <s v="Ninguno"/>
    <s v="Sentencias Dictadas por Delitos de Abuso Sexual"/>
    <s v="Periodo 2013-2019"/>
    <s v="Número de sentencias"/>
    <s v="Poder Judicial"/>
    <x v="166"/>
    <s v="El gráfico muestra la evolución anual de la frecuencia de Sentencias Dictadas por Delitos de Abuso Sexual en el Juzgado de Garantía de Nueva Imperial para el Periodo 2013-2019 de acuerdo a datos provenientes del Poder Judicial de Chile."/>
    <s v="Gráfico de Evolución"/>
    <s v="abuso sexual delitos género violencia mujer mujeres casos víctimas detenciones sentencias juzgado garantía chillan"/>
    <x v="180"/>
    <s v="100-C-16"/>
    <s v="#1774B107"/>
    <s v="300-0181"/>
    <e v="#N/A"/>
    <e v="#N/A"/>
    <e v="#N/A"/>
    <s v="FI-401"/>
    <e v="#N/A"/>
  </r>
  <r>
    <x v="181"/>
    <n v="300"/>
    <x v="0"/>
    <s v="Mujeres"/>
    <n v="81"/>
    <x v="5"/>
    <x v="1"/>
    <x v="2"/>
    <x v="83"/>
    <s v="Ninguno"/>
    <s v="Sentencias Dictadas por Delitos de Abuso Sexual"/>
    <s v="Periodo 2013-2019"/>
    <s v="Número de sentencias"/>
    <s v="Poder Judicial"/>
    <x v="167"/>
    <s v="El gráfico muestra la evolución anual de la frecuencia de Sentencias Dictadas por Delitos de Abuso Sexual en el Juzgado de Garantía de Pitrufquen para el Periodo 2013-2019 de acuerdo a datos provenientes del Poder Judicial de Chile."/>
    <s v="Gráfico de Evolución"/>
    <s v="abuso sexual delitos género violencia mujer mujeres casos víctimas detenciones sentencias juzgado garantía san carlos"/>
    <x v="181"/>
    <s v="100-C-16"/>
    <s v="#1774B107"/>
    <s v="300-0182"/>
    <e v="#N/A"/>
    <e v="#N/A"/>
    <e v="#N/A"/>
    <s v="FI-401"/>
    <e v="#N/A"/>
  </r>
  <r>
    <x v="182"/>
    <n v="300"/>
    <x v="0"/>
    <s v="Mujeres"/>
    <n v="82"/>
    <x v="5"/>
    <x v="1"/>
    <x v="2"/>
    <x v="84"/>
    <s v="Ninguno"/>
    <s v="Sentencias Dictadas por Delitos de Abuso Sexual"/>
    <s v="Periodo 2013-2019"/>
    <s v="Número de sentencias"/>
    <s v="Poder Judicial"/>
    <x v="168"/>
    <s v="El gráfico muestra la evolución anual de la frecuencia de Sentencias Dictadas por Delitos de Abuso Sexual en el Juzgado de Garantía de Temuco para el Periodo 2013-2019 de acuerdo a datos provenientes del Poder Judicial de Chile."/>
    <s v="Gráfico de Evolución"/>
    <s v="abuso sexual delitos género violencia mujer mujeres casos víctimas detenciones sentencias juzgado garantía yungay"/>
    <x v="182"/>
    <s v="100-C-16"/>
    <s v="#1774B107"/>
    <s v="300-0183"/>
    <e v="#N/A"/>
    <e v="#N/A"/>
    <e v="#N/A"/>
    <s v="FI-401"/>
    <e v="#N/A"/>
  </r>
  <r>
    <x v="183"/>
    <n v="300"/>
    <x v="0"/>
    <s v="Mujeres"/>
    <n v="1"/>
    <x v="5"/>
    <x v="1"/>
    <x v="2"/>
    <x v="17"/>
    <s v="Ninguno"/>
    <s v="Sentencias Dictadas por Delitos de Abuso Sexual"/>
    <s v="Periodo 2013-2019"/>
    <s v="Número de sentencias"/>
    <s v="Poder Judicial"/>
    <x v="169"/>
    <s v="Gráfico que muestra la evolución anual de la frecuencia de Sentencias Dictadas por Delitos de Abuso Sexual por Delito en el  Juzgado de Garantía de Victoria para el Periodo 2013-2019 de acuerdo a datos provenientes del Poder Judicial de Chile."/>
    <s v="Gráfico de Evolución"/>
    <s v="abuso sexual delitos género violencia mujer mujeres casos víctimas detenciones sentencias juzgado garantía iquique"/>
    <x v="183"/>
    <s v="100-C-1"/>
    <s v="#1774B107"/>
    <s v="300-0184"/>
    <e v="#N/A"/>
    <e v="#N/A"/>
    <e v="#N/A"/>
    <s v="FI-401"/>
    <e v="#N/A"/>
  </r>
  <r>
    <x v="184"/>
    <n v="300"/>
    <x v="0"/>
    <s v="Mujeres"/>
    <n v="2"/>
    <x v="5"/>
    <x v="1"/>
    <x v="2"/>
    <x v="18"/>
    <s v="Ninguno"/>
    <s v="Sentencias Dictadas por Delitos de Abuso Sexual"/>
    <s v="Periodo 2013-2019"/>
    <s v="Número de sentencias"/>
    <s v="Poder Judicial"/>
    <x v="170"/>
    <s v="Gráfico que muestra la evolución anual de la frecuencia de Sentencias Dictadas por Delitos de Abuso Sexual por Delito en el  Juzgado de Garantía de Villarrica para el Periodo 2013-2019 de acuerdo a datos provenientes del Poder Judicial de Chile."/>
    <s v="Gráfico de Evolución"/>
    <s v="abuso sexual delitos género violencia mujer mujeres casos víctimas detenciones sentencias juzgado garantía antofagasta"/>
    <x v="184"/>
    <s v="100-C-2"/>
    <s v="#1774B107"/>
    <s v="300-0185"/>
    <e v="#N/A"/>
    <e v="#N/A"/>
    <e v="#N/A"/>
    <s v="FI-401"/>
    <e v="#N/A"/>
  </r>
  <r>
    <x v="185"/>
    <n v="300"/>
    <x v="0"/>
    <s v="Mujeres"/>
    <n v="3"/>
    <x v="5"/>
    <x v="1"/>
    <x v="2"/>
    <x v="19"/>
    <s v="Ninguno"/>
    <s v="Sentencias Dictadas por Delitos de Abuso Sexual"/>
    <s v="Periodo 2013-2019"/>
    <s v="Número de sentencias"/>
    <s v="Poder Judicial"/>
    <x v="171"/>
    <s v="Gráfico que muestra la evolución anual de la frecuencia de Sentencias Dictadas por Delitos de Abuso Sexual por Delito en el  Juzgado de Garantía de Ancud para el Periodo 2013-2019 de acuerdo a datos provenientes del Poder Judicial de Chile."/>
    <s v="Gráfico de Evolución"/>
    <s v="abuso sexual delitos género violencia mujer mujeres casos víctimas detenciones sentencias juzgado garantía calama"/>
    <x v="185"/>
    <s v="100-C-2"/>
    <s v="#1774B107"/>
    <s v="300-0186"/>
    <e v="#N/A"/>
    <e v="#N/A"/>
    <e v="#N/A"/>
    <s v="FI-401"/>
    <e v="#N/A"/>
  </r>
  <r>
    <x v="186"/>
    <n v="300"/>
    <x v="0"/>
    <s v="Mujeres"/>
    <n v="4"/>
    <x v="5"/>
    <x v="1"/>
    <x v="2"/>
    <x v="20"/>
    <s v="Ninguno"/>
    <s v="Sentencias Dictadas por Delitos de Abuso Sexual"/>
    <s v="Periodo 2013-2019"/>
    <s v="Número de sentencias"/>
    <s v="Poder Judicial"/>
    <x v="172"/>
    <s v="Gráfico que muestra la evolución anual de la frecuencia de Sentencias Dictadas por Delitos de Abuso Sexual por Delito en el  Juzgado de Garantía de Castro para el Periodo 2013-2019 de acuerdo a datos provenientes del Poder Judicial de Chile."/>
    <s v="Gráfico de Evolución"/>
    <s v="abuso sexual delitos género violencia mujer mujeres casos víctimas detenciones sentencias juzgado garantía tocopilla"/>
    <x v="186"/>
    <s v="100-C-2"/>
    <s v="#1774B107"/>
    <s v="300-0187"/>
    <e v="#N/A"/>
    <e v="#N/A"/>
    <e v="#N/A"/>
    <s v="FI-401"/>
    <e v="#N/A"/>
  </r>
  <r>
    <x v="187"/>
    <n v="300"/>
    <x v="0"/>
    <s v="Mujeres"/>
    <n v="5"/>
    <x v="5"/>
    <x v="1"/>
    <x v="2"/>
    <x v="21"/>
    <s v="Ninguno"/>
    <s v="Sentencias Dictadas por Delitos de Abuso Sexual"/>
    <s v="Periodo 2013-2019"/>
    <s v="Número de sentencias"/>
    <s v="Poder Judicial"/>
    <x v="173"/>
    <s v="Gráfico que muestra la evolución anual de la frecuencia de Sentencias Dictadas por Delitos de Abuso Sexual por Delito en el  Juzgado de Garantía de Osorno para el Periodo 2013-2019 de acuerdo a datos provenientes del Poder Judicial de Chile."/>
    <s v="Gráfico de Evolución"/>
    <s v="abuso sexual delitos género violencia mujer mujeres casos víctimas detenciones sentencias juzgado garantía copiapo"/>
    <x v="187"/>
    <s v="100-C-3"/>
    <s v="#1774B107"/>
    <s v="300-0188"/>
    <e v="#N/A"/>
    <e v="#N/A"/>
    <e v="#N/A"/>
    <s v="FI-401"/>
    <e v="#N/A"/>
  </r>
  <r>
    <x v="188"/>
    <n v="300"/>
    <x v="0"/>
    <s v="Mujeres"/>
    <n v="6"/>
    <x v="5"/>
    <x v="1"/>
    <x v="2"/>
    <x v="22"/>
    <s v="Ninguno"/>
    <s v="Sentencias Dictadas por Delitos de Abuso Sexual"/>
    <s v="Periodo 2013-2019"/>
    <s v="Número de sentencias"/>
    <s v="Poder Judicial"/>
    <x v="174"/>
    <s v="Gráfico que muestra la evolución anual de la frecuencia de Sentencias Dictadas por Delitos de Abuso Sexual por Delito en el  Juzgado de Garantía de Puerto Montt para el Periodo 2013-2019 de acuerdo a datos provenientes del Poder Judicial de Chile."/>
    <s v="Gráfico de Evolución"/>
    <s v="abuso sexual delitos género violencia mujer mujeres casos víctimas detenciones sentencias juzgado garantía diego de almagro"/>
    <x v="188"/>
    <s v="100-C-3"/>
    <s v="#1774B107"/>
    <s v="300-0189"/>
    <e v="#N/A"/>
    <e v="#N/A"/>
    <e v="#N/A"/>
    <s v="FI-401"/>
    <e v="#N/A"/>
  </r>
  <r>
    <x v="189"/>
    <n v="300"/>
    <x v="0"/>
    <s v="Mujeres"/>
    <n v="7"/>
    <x v="5"/>
    <x v="1"/>
    <x v="2"/>
    <x v="23"/>
    <s v="Ninguno"/>
    <s v="Sentencias Dictadas por Delitos de Abuso Sexual"/>
    <s v="Periodo 2013-2019"/>
    <s v="Número de sentencias"/>
    <s v="Poder Judicial"/>
    <x v="175"/>
    <s v="Gráfico que muestra la evolución anual de la frecuencia de Sentencias Dictadas por Delitos de Abuso Sexual por Delito en el  Juzgado de Garantía de Puerto Varas para el Periodo 2013-2019 de acuerdo a datos provenientes del Poder Judicial de Chile."/>
    <s v="Gráfico de Evolución"/>
    <s v="abuso sexual delitos género violencia mujer mujeres casos víctimas detenciones sentencias juzgado garantía vallenar"/>
    <x v="189"/>
    <s v="100-C-3"/>
    <s v="#1774B107"/>
    <s v="300-0190"/>
    <e v="#N/A"/>
    <e v="#N/A"/>
    <e v="#N/A"/>
    <s v="FI-401"/>
    <e v="#N/A"/>
  </r>
  <r>
    <x v="190"/>
    <n v="300"/>
    <x v="0"/>
    <s v="Mujeres"/>
    <n v="8"/>
    <x v="5"/>
    <x v="1"/>
    <x v="2"/>
    <x v="24"/>
    <s v="Ninguno"/>
    <s v="Sentencias Dictadas por Delitos de Abuso Sexual"/>
    <s v="Periodo 2013-2019"/>
    <s v="Número de sentencias"/>
    <s v="Poder Judicial"/>
    <x v="176"/>
    <s v="Gráfico que muestra la evolución anual de la frecuencia de Sentencias Dictadas por Delitos de Abuso Sexual por Delito en el  Juzgado de Garantía de Rio Negro para el Periodo 2013-2019 de acuerdo a datos provenientes del Poder Judicial de Chile."/>
    <s v="Gráfico de Evolución"/>
    <s v="abuso sexual delitos género violencia mujer mujeres casos víctimas detenciones sentencias juzgado garantía coquimbo"/>
    <x v="190"/>
    <s v="100-C-4"/>
    <s v="#1774B107"/>
    <s v="300-0191"/>
    <e v="#N/A"/>
    <e v="#N/A"/>
    <e v="#N/A"/>
    <s v="FI-401"/>
    <e v="#N/A"/>
  </r>
  <r>
    <x v="191"/>
    <n v="300"/>
    <x v="0"/>
    <s v="Mujeres"/>
    <n v="9"/>
    <x v="5"/>
    <x v="1"/>
    <x v="2"/>
    <x v="25"/>
    <s v="Ninguno"/>
    <s v="Sentencias Dictadas por Delitos de Abuso Sexual"/>
    <s v="Periodo 2013-2019"/>
    <s v="Número de sentencias"/>
    <s v="Poder Judicial"/>
    <x v="177"/>
    <s v="Gráfico que muestra la evolución anual de la frecuencia de Sentencias Dictadas por Delitos de Abuso Sexual por Delito en el  Juzgado de Garantía de Coyhaique para el Periodo 2013-2019 de acuerdo a datos provenientes del Poder Judicial de Chile."/>
    <s v="Gráfico de Evolución"/>
    <s v="abuso sexual delitos género violencia mujer mujeres casos víctimas detenciones sentencias juzgado garantía illapel"/>
    <x v="191"/>
    <s v="100-C-4"/>
    <s v="#1774B107"/>
    <s v="300-0192"/>
    <e v="#N/A"/>
    <e v="#N/A"/>
    <e v="#N/A"/>
    <s v="FI-401"/>
    <e v="#N/A"/>
  </r>
  <r>
    <x v="192"/>
    <n v="300"/>
    <x v="0"/>
    <s v="Mujeres"/>
    <n v="10"/>
    <x v="5"/>
    <x v="1"/>
    <x v="2"/>
    <x v="26"/>
    <s v="Ninguno"/>
    <s v="Sentencias Dictadas por Delitos de Abuso Sexual"/>
    <s v="Periodo 2013-2019"/>
    <s v="Número de sentencias"/>
    <s v="Poder Judicial"/>
    <x v="178"/>
    <s v="Gráfico que muestra la evolución anual de la frecuencia de Sentencias Dictadas por Delitos de Abuso Sexual por Delito en el  Juzgado de Garantía de Punta Arenas para el Periodo 2013-2019 de acuerdo a datos provenientes del Poder Judicial de Chile."/>
    <s v="Gráfico de Evolución"/>
    <s v="abuso sexual delitos género violencia mujer mujeres casos víctimas detenciones sentencias juzgado garantía la serena"/>
    <x v="192"/>
    <s v="100-C-4"/>
    <s v="#1774B107"/>
    <s v="300-0193"/>
    <e v="#N/A"/>
    <e v="#N/A"/>
    <e v="#N/A"/>
    <s v="FI-401"/>
    <e v="#N/A"/>
  </r>
  <r>
    <x v="193"/>
    <n v="300"/>
    <x v="0"/>
    <s v="Mujeres"/>
    <n v="11"/>
    <x v="5"/>
    <x v="1"/>
    <x v="2"/>
    <x v="27"/>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ovalle"/>
    <x v="193"/>
    <s v="100-C-4"/>
    <s v="#1774B107"/>
    <s v="300-0194"/>
    <e v="#N/A"/>
    <e v="#N/A"/>
    <e v="#N/A"/>
    <s v="FI-401"/>
    <e v="#N/A"/>
  </r>
  <r>
    <x v="194"/>
    <n v="300"/>
    <x v="0"/>
    <s v="Mujeres"/>
    <n v="12"/>
    <x v="5"/>
    <x v="1"/>
    <x v="2"/>
    <x v="28"/>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icuña"/>
    <x v="194"/>
    <s v="100-C-4"/>
    <s v="#1774B107"/>
    <s v="300-0195"/>
    <e v="#N/A"/>
    <e v="#N/A"/>
    <e v="#N/A"/>
    <s v="FI-401"/>
    <e v="#N/A"/>
  </r>
  <r>
    <x v="195"/>
    <n v="300"/>
    <x v="0"/>
    <s v="Mujeres"/>
    <n v="13"/>
    <x v="5"/>
    <x v="1"/>
    <x v="2"/>
    <x v="29"/>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calera"/>
    <x v="195"/>
    <s v="100-C-5"/>
    <s v="#1774B107"/>
    <s v="300-0196"/>
    <e v="#N/A"/>
    <e v="#N/A"/>
    <e v="#N/A"/>
    <s v="FI-401"/>
    <e v="#N/A"/>
  </r>
  <r>
    <x v="196"/>
    <n v="300"/>
    <x v="0"/>
    <s v="Mujeres"/>
    <n v="14"/>
    <x v="5"/>
    <x v="1"/>
    <x v="2"/>
    <x v="30"/>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la ligua"/>
    <x v="196"/>
    <s v="100-C-5"/>
    <s v="#1774B107"/>
    <s v="300-0197"/>
    <e v="#N/A"/>
    <e v="#N/A"/>
    <e v="#N/A"/>
    <s v="FI-401"/>
    <e v="#N/A"/>
  </r>
  <r>
    <x v="197"/>
    <n v="300"/>
    <x v="0"/>
    <s v="Mujeres"/>
    <n v="15"/>
    <x v="5"/>
    <x v="1"/>
    <x v="2"/>
    <x v="31"/>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limache"/>
    <x v="197"/>
    <s v="100-C-5"/>
    <s v="#1774B107"/>
    <s v="300-0198"/>
    <e v="#N/A"/>
    <e v="#N/A"/>
    <e v="#N/A"/>
    <s v="FI-401"/>
    <e v="#N/A"/>
  </r>
  <r>
    <x v="198"/>
    <n v="300"/>
    <x v="0"/>
    <s v="Mujeres"/>
    <n v="16"/>
    <x v="5"/>
    <x v="1"/>
    <x v="2"/>
    <x v="32"/>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los andes"/>
    <x v="198"/>
    <s v="100-C-5"/>
    <s v="#1774B107"/>
    <s v="300-0199"/>
    <e v="#N/A"/>
    <e v="#N/A"/>
    <e v="#N/A"/>
    <s v="FI-401"/>
    <e v="#N/A"/>
  </r>
  <r>
    <x v="199"/>
    <n v="300"/>
    <x v="0"/>
    <s v="Mujeres"/>
    <n v="17"/>
    <x v="5"/>
    <x v="1"/>
    <x v="2"/>
    <x v="33"/>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quillota"/>
    <x v="199"/>
    <s v="100-C-5"/>
    <s v="#1774B107"/>
    <s v="300-0200"/>
    <e v="#N/A"/>
    <e v="#N/A"/>
    <e v="#N/A"/>
    <s v="FI-401"/>
    <e v="#N/A"/>
  </r>
  <r>
    <x v="200"/>
    <n v="300"/>
    <x v="0"/>
    <s v="Mujeres"/>
    <n v="18"/>
    <x v="5"/>
    <x v="1"/>
    <x v="2"/>
    <x v="34"/>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quilpue"/>
    <x v="200"/>
    <s v="100-C-5"/>
    <s v="#1774B107"/>
    <s v="300-0201"/>
    <e v="#N/A"/>
    <e v="#N/A"/>
    <e v="#N/A"/>
    <s v="FI-401"/>
    <e v="#N/A"/>
  </r>
  <r>
    <x v="201"/>
    <n v="300"/>
    <x v="0"/>
    <s v="Mujeres"/>
    <n v="19"/>
    <x v="5"/>
    <x v="1"/>
    <x v="2"/>
    <x v="35"/>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san Felipe"/>
    <x v="201"/>
    <s v="100-C-5"/>
    <s v="#1774B107"/>
    <s v="300-0202"/>
    <e v="#N/A"/>
    <e v="#N/A"/>
    <e v="#N/A"/>
    <s v="FI-401"/>
    <e v="#N/A"/>
  </r>
  <r>
    <x v="202"/>
    <n v="300"/>
    <x v="0"/>
    <s v="Mujeres"/>
    <n v="20"/>
    <x v="5"/>
    <x v="1"/>
    <x v="2"/>
    <x v="36"/>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alparaiso"/>
    <x v="202"/>
    <s v="100-C-5"/>
    <s v="#1774B107"/>
    <s v="300-0203"/>
    <e v="#N/A"/>
    <e v="#N/A"/>
    <e v="#N/A"/>
    <s v="FI-401"/>
    <e v="#N/A"/>
  </r>
  <r>
    <x v="203"/>
    <n v="300"/>
    <x v="0"/>
    <s v="Mujeres"/>
    <n v="21"/>
    <x v="5"/>
    <x v="1"/>
    <x v="2"/>
    <x v="37"/>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illa alemana"/>
    <x v="203"/>
    <s v="100-C-5"/>
    <s v="#1774B107"/>
    <s v="300-0204"/>
    <e v="#N/A"/>
    <e v="#N/A"/>
    <e v="#N/A"/>
    <s v="FI-401"/>
    <e v="#N/A"/>
  </r>
  <r>
    <x v="204"/>
    <n v="300"/>
    <x v="0"/>
    <s v="Mujeres"/>
    <n v="22"/>
    <x v="5"/>
    <x v="1"/>
    <x v="2"/>
    <x v="38"/>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iña del mar"/>
    <x v="204"/>
    <s v="100-C-5"/>
    <s v="#1774B107"/>
    <s v="300-0205"/>
    <e v="#N/A"/>
    <e v="#N/A"/>
    <e v="#N/A"/>
    <s v="FI-401"/>
    <e v="#N/A"/>
  </r>
  <r>
    <x v="205"/>
    <n v="300"/>
    <x v="0"/>
    <s v="Mujeres"/>
    <n v="23"/>
    <x v="5"/>
    <x v="1"/>
    <x v="2"/>
    <x v="39"/>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graneros"/>
    <x v="205"/>
    <s v="100-C-6"/>
    <s v="#1774B107"/>
    <s v="300-0206"/>
    <e v="#N/A"/>
    <e v="#N/A"/>
    <e v="#N/A"/>
    <s v="FI-401"/>
    <e v="#N/A"/>
  </r>
  <r>
    <x v="206"/>
    <n v="300"/>
    <x v="0"/>
    <s v="Mujeres"/>
    <n v="24"/>
    <x v="5"/>
    <x v="1"/>
    <x v="2"/>
    <x v="40"/>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rancagua"/>
    <x v="206"/>
    <s v="100-C-6"/>
    <s v="#1774B107"/>
    <s v="300-0207"/>
    <e v="#N/A"/>
    <e v="#N/A"/>
    <e v="#N/A"/>
    <s v="FI-401"/>
    <e v="#N/A"/>
  </r>
  <r>
    <x v="207"/>
    <n v="300"/>
    <x v="0"/>
    <s v="Mujeres"/>
    <n v="25"/>
    <x v="5"/>
    <x v="1"/>
    <x v="2"/>
    <x v="41"/>
    <s v="Ninguno"/>
    <s v="Sentencias Dictadas por Delitos de Abuso Sexual"/>
    <s v="Periodo 2013-2019"/>
    <s v="Número de sentencias"/>
    <s v="Poder Judicial"/>
    <x v="17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rengo"/>
    <x v="207"/>
    <s v="100-C-6"/>
    <s v="#1774B107"/>
    <s v="300-0208"/>
    <e v="#N/A"/>
    <e v="#N/A"/>
    <e v="#N/A"/>
    <s v="FI-401"/>
    <e v="#N/A"/>
  </r>
  <r>
    <x v="208"/>
    <n v="300"/>
    <x v="0"/>
    <s v="Mujeres"/>
    <n v="26"/>
    <x v="5"/>
    <x v="1"/>
    <x v="2"/>
    <x v="42"/>
    <s v="Ninguno"/>
    <s v="Sentencias Dictadas por Delitos de Abuso Sexual"/>
    <s v="Periodo 2013-2019"/>
    <s v="Número de sentencias"/>
    <s v="Poder Judicial"/>
    <x v="180"/>
    <s v="Gráfico que muestra la evolución anual de la frecuencia de Sentencias Dictadas por Delitos de Abuso Sexual por Delito en el  Juzgado de Garantía de Los Lagos para el Periodo 2013-2019 de acuerdo a datos provenientes del Poder Judicial de Chile."/>
    <s v="Gráfico de Evolución"/>
    <s v="abuso sexual delitos género violencia mujer mujeres casos víctimas detenciones sentencias juzgado garantía san Fernando"/>
    <x v="208"/>
    <s v="100-C-6"/>
    <s v="#1774B107"/>
    <s v="300-0209"/>
    <e v="#N/A"/>
    <e v="#N/A"/>
    <e v="#N/A"/>
    <s v="FI-401"/>
    <e v="#N/A"/>
  </r>
  <r>
    <x v="209"/>
    <n v="300"/>
    <x v="0"/>
    <s v="Mujeres"/>
    <n v="27"/>
    <x v="5"/>
    <x v="1"/>
    <x v="2"/>
    <x v="43"/>
    <s v="Ninguno"/>
    <s v="Sentencias Dictadas por Delitos de Abuso Sexual"/>
    <s v="Periodo 2013-2019"/>
    <s v="Número de sentencias"/>
    <s v="Poder Judicial"/>
    <x v="181"/>
    <s v="Gráfico que muestra la evolución anual de la frecuencia de Sentencias Dictadas por Delitos de Abuso Sexual por Delito en el  Juzgado de Garantía de Mariquina para el Periodo 2013-2019 de acuerdo a datos provenientes del Poder Judicial de Chile."/>
    <s v="Gráfico de Evolución"/>
    <s v="abuso sexual delitos género violencia mujer mujeres casos víctimas detenciones sentencias juzgado garantía san vicente"/>
    <x v="209"/>
    <s v="100-C-6"/>
    <s v="#1774B107"/>
    <s v="300-0210"/>
    <e v="#N/A"/>
    <e v="#N/A"/>
    <e v="#N/A"/>
    <s v="FI-401"/>
    <e v="#N/A"/>
  </r>
  <r>
    <x v="210"/>
    <n v="300"/>
    <x v="0"/>
    <s v="Mujeres"/>
    <n v="28"/>
    <x v="5"/>
    <x v="1"/>
    <x v="2"/>
    <x v="44"/>
    <s v="Ninguno"/>
    <s v="Sentencias Dictadas por Delitos de Abuso Sexual"/>
    <s v="Periodo 2013-2019"/>
    <s v="Número de sentencias"/>
    <s v="Poder Judicial"/>
    <x v="182"/>
    <s v="Gráfico que muestra la evolución anual de la frecuencia de Sentencias Dictadas por Delitos de Abuso Sexual por Delito en el  Juzgado de Garantía de Valdivia para el Periodo 2013-2019 de acuerdo a datos provenientes del Poder Judicial de Chile."/>
    <s v="Gráfico de Evolución"/>
    <s v="abuso sexual delitos género violencia mujer mujeres casos víctimas detenciones sentencias juzgado garantía santa cruz"/>
    <x v="210"/>
    <s v="100-C-6"/>
    <s v="#1774B107"/>
    <s v="300-0211"/>
    <e v="#N/A"/>
    <e v="#N/A"/>
    <e v="#N/A"/>
    <s v="FI-401"/>
    <e v="#N/A"/>
  </r>
  <r>
    <x v="211"/>
    <n v="300"/>
    <x v="0"/>
    <s v="Mujeres"/>
    <n v="29"/>
    <x v="5"/>
    <x v="1"/>
    <x v="2"/>
    <x v="45"/>
    <s v="Ninguno"/>
    <s v="Sentencias Dictadas por Delitos de Abuso Sexual"/>
    <s v="Periodo 2013-2019"/>
    <s v="Número de sentencias"/>
    <s v="Poder Judicial"/>
    <x v="183"/>
    <s v="Gráfico que muestra la evolución anual de la frecuencia de Sentencias Dictadas por Delitos de Abuso Sexual por Delito en el  Juzgado de Garantía de Arica para el Periodo 2013-2019 de acuerdo a datos provenientes del Poder Judicial de Chile."/>
    <s v="Gráfico de Evolución"/>
    <s v="abuso sexual delitos género violencia mujer mujeres casos víctimas detenciones sentencias juzgado garantía cauquenes"/>
    <x v="211"/>
    <s v="100-C-7"/>
    <s v="#1774B107"/>
    <s v="300-0212"/>
    <e v="#N/A"/>
    <e v="#N/A"/>
    <e v="#N/A"/>
    <s v="FI-401"/>
    <e v="#N/A"/>
  </r>
  <r>
    <x v="212"/>
    <n v="300"/>
    <x v="0"/>
    <s v="Mujeres"/>
    <n v="30"/>
    <x v="5"/>
    <x v="1"/>
    <x v="2"/>
    <x v="46"/>
    <s v="Ninguno"/>
    <s v="Sentencias Dictadas por Delitos de Abuso Sexual"/>
    <s v="Periodo 2013-2019"/>
    <s v="Número de sentencias"/>
    <s v="Poder Judicial"/>
    <x v="184"/>
    <s v="Gráfico que muestra la evolución anual de la frecuencia de Sentencias Dictadas por Delitos de Abuso Sexual por Delito en el  Juzgado de Garantía de Chillan para el Periodo 2013-2019 de acuerdo a datos provenientes del Poder Judicial de Chile."/>
    <s v="Gráfico de Evolución"/>
    <s v="abuso sexual delitos género violencia mujer mujeres casos víctimas detenciones sentencias juzgado garantía constitucion"/>
    <x v="212"/>
    <s v="100-C-7"/>
    <s v="#1774B107"/>
    <s v="300-0213"/>
    <e v="#N/A"/>
    <e v="#N/A"/>
    <e v="#N/A"/>
    <s v="FI-401"/>
    <e v="#N/A"/>
  </r>
  <r>
    <x v="213"/>
    <n v="300"/>
    <x v="0"/>
    <s v="Mujeres"/>
    <n v="31"/>
    <x v="5"/>
    <x v="1"/>
    <x v="2"/>
    <x v="47"/>
    <s v="Ninguno"/>
    <s v="Sentencias Dictadas por Delitos de Abuso Sexual"/>
    <s v="Periodo 2013-2019"/>
    <s v="Número de sentencias"/>
    <s v="Poder Judicial"/>
    <x v="185"/>
    <s v="Gráfico que muestra la evolución anual de la frecuencia de Sentencias Dictadas por Delitos de Abuso Sexual por Delito en el  Juzgado de Garantía de San Carlos para el Periodo 2013-2019 de acuerdo a datos provenientes del Poder Judicial de Chile."/>
    <s v="Gráfico de Evolución"/>
    <s v="abuso sexual delitos género violencia mujer mujeres casos víctimas detenciones sentencias juzgado garantía curico"/>
    <x v="213"/>
    <s v="100-C-7"/>
    <s v="#1774B107"/>
    <s v="300-0214"/>
    <e v="#N/A"/>
    <e v="#N/A"/>
    <e v="#N/A"/>
    <s v="FI-401"/>
    <e v="#N/A"/>
  </r>
  <r>
    <x v="214"/>
    <n v="300"/>
    <x v="0"/>
    <s v="Mujeres"/>
    <n v="32"/>
    <x v="5"/>
    <x v="1"/>
    <x v="2"/>
    <x v="48"/>
    <s v="Ninguno"/>
    <s v="Sentencias Dictadas por Delitos de Abuso Sexual"/>
    <s v="Periodo 2013-2019"/>
    <s v="Número de sentencias"/>
    <s v="Poder Judicial"/>
    <x v="186"/>
    <s v="Gráfico que muestra la evolución anual de la frecuencia de Sentencias Dictadas por Delitos de Abuso Sexual por Delito en el  Juzgado de Garantía de Yungay para el Periodo 2013-2019 de acuerdo a datos provenientes del Poder Judicial de Chile."/>
    <s v="Gráfico de Evolución"/>
    <s v="abuso sexual delitos género violencia mujer mujeres casos víctimas detenciones sentencias juzgado garantía linares"/>
    <x v="214"/>
    <s v="100-C-7"/>
    <s v="#1774B107"/>
    <s v="300-0215"/>
    <e v="#N/A"/>
    <e v="#N/A"/>
    <e v="#N/A"/>
    <s v="FI-401"/>
    <e v="#N/A"/>
  </r>
  <r>
    <x v="215"/>
    <n v="300"/>
    <x v="0"/>
    <s v="Mujeres"/>
    <n v="33"/>
    <x v="5"/>
    <x v="1"/>
    <x v="2"/>
    <x v="49"/>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molina"/>
    <x v="215"/>
    <s v="100-C-7"/>
    <s v="#1774B107"/>
    <s v="300-0216"/>
    <e v="#N/A"/>
    <e v="#N/A"/>
    <e v="#N/A"/>
    <s v="FI-401"/>
    <e v="#N/A"/>
  </r>
  <r>
    <x v="216"/>
    <n v="300"/>
    <x v="0"/>
    <s v="Mujeres"/>
    <n v="34"/>
    <x v="5"/>
    <x v="1"/>
    <x v="2"/>
    <x v="50"/>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parral"/>
    <x v="216"/>
    <s v="100-C-7"/>
    <s v="#1774B107"/>
    <s v="300-0217"/>
    <e v="#N/A"/>
    <e v="#N/A"/>
    <e v="#N/A"/>
    <s v="FI-401"/>
    <e v="#N/A"/>
  </r>
  <r>
    <x v="217"/>
    <n v="300"/>
    <x v="0"/>
    <s v="Mujeres"/>
    <n v="35"/>
    <x v="5"/>
    <x v="1"/>
    <x v="2"/>
    <x v="51"/>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san Javier"/>
    <x v="217"/>
    <s v="100-C-7"/>
    <s v="#1774B107"/>
    <s v="300-0218"/>
    <e v="#N/A"/>
    <e v="#N/A"/>
    <e v="#N/A"/>
    <s v="FI-401"/>
    <e v="#N/A"/>
  </r>
  <r>
    <x v="218"/>
    <n v="300"/>
    <x v="0"/>
    <s v="Mujeres"/>
    <n v="36"/>
    <x v="5"/>
    <x v="1"/>
    <x v="2"/>
    <x v="52"/>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talca"/>
    <x v="218"/>
    <s v="100-C-7"/>
    <s v="#1774B107"/>
    <s v="300-0219"/>
    <e v="#N/A"/>
    <e v="#N/A"/>
    <e v="#N/A"/>
    <s v="FI-401"/>
    <e v="#N/A"/>
  </r>
  <r>
    <x v="219"/>
    <n v="300"/>
    <x v="0"/>
    <s v="Mujeres"/>
    <n v="37"/>
    <x v="5"/>
    <x v="1"/>
    <x v="2"/>
    <x v="53"/>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arauco"/>
    <x v="219"/>
    <s v="100-C-8"/>
    <s v="#1774B107"/>
    <s v="300-0220"/>
    <e v="#N/A"/>
    <e v="#N/A"/>
    <e v="#N/A"/>
    <s v="FI-401"/>
    <e v="#N/A"/>
  </r>
  <r>
    <x v="220"/>
    <n v="300"/>
    <x v="0"/>
    <s v="Mujeres"/>
    <n v="38"/>
    <x v="5"/>
    <x v="1"/>
    <x v="2"/>
    <x v="54"/>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añete"/>
    <x v="220"/>
    <s v="100-C-8"/>
    <s v="#1774B107"/>
    <s v="300-0221"/>
    <e v="#N/A"/>
    <e v="#N/A"/>
    <e v="#N/A"/>
    <s v="FI-401"/>
    <e v="#N/A"/>
  </r>
  <r>
    <x v="221"/>
    <n v="300"/>
    <x v="0"/>
    <s v="Mujeres"/>
    <n v="39"/>
    <x v="5"/>
    <x v="1"/>
    <x v="2"/>
    <x v="55"/>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higuayante"/>
    <x v="221"/>
    <s v="100-C-8"/>
    <s v="#1774B107"/>
    <s v="300-0222"/>
    <e v="#N/A"/>
    <e v="#N/A"/>
    <e v="#N/A"/>
    <s v="FI-401"/>
    <e v="#N/A"/>
  </r>
  <r>
    <x v="222"/>
    <n v="300"/>
    <x v="0"/>
    <s v="Mujeres"/>
    <n v="40"/>
    <x v="5"/>
    <x v="1"/>
    <x v="2"/>
    <x v="56"/>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oncepcion"/>
    <x v="222"/>
    <s v="100-C-8"/>
    <s v="#1774B107"/>
    <s v="300-0223"/>
    <e v="#N/A"/>
    <e v="#N/A"/>
    <e v="#N/A"/>
    <s v="FI-401"/>
    <e v="#N/A"/>
  </r>
  <r>
    <x v="223"/>
    <n v="300"/>
    <x v="0"/>
    <s v="Mujeres"/>
    <n v="41"/>
    <x v="5"/>
    <x v="1"/>
    <x v="2"/>
    <x v="57"/>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oronel"/>
    <x v="223"/>
    <s v="100-C-8"/>
    <s v="#1774B107"/>
    <s v="300-0224"/>
    <e v="#N/A"/>
    <e v="#N/A"/>
    <e v="#N/A"/>
    <s v="FI-401"/>
    <e v="#N/A"/>
  </r>
  <r>
    <x v="224"/>
    <n v="300"/>
    <x v="0"/>
    <s v="Mujeres"/>
    <n v="42"/>
    <x v="5"/>
    <x v="1"/>
    <x v="2"/>
    <x v="58"/>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los angeles"/>
    <x v="224"/>
    <s v="100-C-8"/>
    <s v="#1774B107"/>
    <s v="300-0225"/>
    <e v="#N/A"/>
    <e v="#N/A"/>
    <e v="#N/A"/>
    <s v="FI-401"/>
    <e v="#N/A"/>
  </r>
  <r>
    <x v="225"/>
    <n v="300"/>
    <x v="0"/>
    <s v="Mujeres"/>
    <n v="43"/>
    <x v="5"/>
    <x v="1"/>
    <x v="2"/>
    <x v="59"/>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talcahuano"/>
    <x v="225"/>
    <s v="100-C-8"/>
    <s v="#1774B107"/>
    <s v="300-0226"/>
    <e v="#N/A"/>
    <e v="#N/A"/>
    <e v="#N/A"/>
    <s v="FI-401"/>
    <e v="#N/A"/>
  </r>
  <r>
    <x v="226"/>
    <n v="300"/>
    <x v="0"/>
    <s v="Mujeres"/>
    <n v="44"/>
    <x v="5"/>
    <x v="1"/>
    <x v="2"/>
    <x v="60"/>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tome"/>
    <x v="226"/>
    <s v="100-C-8"/>
    <s v="#1774B107"/>
    <s v="300-0227"/>
    <e v="#N/A"/>
    <e v="#N/A"/>
    <e v="#N/A"/>
    <s v="FI-401"/>
    <e v="#N/A"/>
  </r>
  <r>
    <x v="227"/>
    <n v="300"/>
    <x v="0"/>
    <s v="Mujeres"/>
    <n v="45"/>
    <x v="5"/>
    <x v="1"/>
    <x v="2"/>
    <x v="61"/>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angol"/>
    <x v="227"/>
    <s v="100-C-9"/>
    <s v="#1774B107"/>
    <s v="300-0228"/>
    <e v="#N/A"/>
    <e v="#N/A"/>
    <e v="#N/A"/>
    <s v="FI-401"/>
    <e v="#N/A"/>
  </r>
  <r>
    <x v="228"/>
    <n v="300"/>
    <x v="0"/>
    <s v="Mujeres"/>
    <n v="46"/>
    <x v="5"/>
    <x v="1"/>
    <x v="2"/>
    <x v="62"/>
    <s v="Ninguno"/>
    <s v="Sentencias Dictadas por Delitos de Abuso Sexual"/>
    <s v="Periodo 2013-2019"/>
    <s v="Número de sentencias"/>
    <s v="Poder Judicial"/>
    <x v="187"/>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lautaro"/>
    <x v="228"/>
    <s v="100-C-9"/>
    <s v="#1774B107"/>
    <s v="300-0229"/>
    <e v="#N/A"/>
    <e v="#N/A"/>
    <e v="#N/A"/>
    <s v="FI-401"/>
    <e v="#N/A"/>
  </r>
  <r>
    <x v="229"/>
    <n v="300"/>
    <x v="0"/>
    <s v="Mujeres"/>
    <n v="47"/>
    <x v="5"/>
    <x v="1"/>
    <x v="2"/>
    <x v="63"/>
    <s v="Ninguno"/>
    <s v="Sentencias Dictadas por Delitos de Abuso Sexual"/>
    <s v="Periodo 2013-2019"/>
    <s v="Número de sentencias"/>
    <s v="Poder Judicial"/>
    <x v="188"/>
    <s v="Gráfico que muestra la evolución anual de la frecuencia de Sentencias Dictadas por Delitos de Abuso Sexual por Delito en el  Juzgado de Garantía de Región de Tarapacá para el Periodo 2013-2019 de acuerdo a datos provenientes del Poder Judicial de Chile."/>
    <s v="Gráfico de Evolución"/>
    <s v="abuso sexual delitos género violencia mujer mujeres casos víctimas detenciones sentencias juzgado garantía loncoche"/>
    <x v="229"/>
    <s v="100-C-9"/>
    <s v="#1774B107"/>
    <s v="300-0230"/>
    <e v="#N/A"/>
    <e v="#N/A"/>
    <e v="#N/A"/>
    <s v="FI-401"/>
    <e v="#N/A"/>
  </r>
  <r>
    <x v="230"/>
    <n v="300"/>
    <x v="0"/>
    <s v="Mujeres"/>
    <n v="48"/>
    <x v="5"/>
    <x v="1"/>
    <x v="2"/>
    <x v="64"/>
    <s v="Ninguno"/>
    <s v="Sentencias Dictadas por Delitos de Abuso Sexual"/>
    <s v="Periodo 2013-2019"/>
    <s v="Número de sentencias"/>
    <s v="Poder Judicial"/>
    <x v="189"/>
    <s v="Gráfico que muestra la evolución anual de la frecuencia de Sentencias Dictadas por Delitos de Abuso Sexual por Delito en el  Juzgado de Garantía de Región de Antofagasta para el Periodo 2013-2019 de acuerdo a datos provenientes del Poder Judicial de Chile."/>
    <s v="Gráfico de Evolución"/>
    <s v="abuso sexual delitos género violencia mujer mujeres casos víctimas detenciones sentencias juzgado garantía nueva imperial"/>
    <x v="230"/>
    <s v="100-C-9"/>
    <s v="#1774B107"/>
    <s v="300-0231"/>
    <e v="#N/A"/>
    <e v="#N/A"/>
    <e v="#N/A"/>
    <s v="FI-401"/>
    <e v="#N/A"/>
  </r>
  <r>
    <x v="231"/>
    <n v="300"/>
    <x v="0"/>
    <s v="Mujeres"/>
    <n v="49"/>
    <x v="5"/>
    <x v="1"/>
    <x v="2"/>
    <x v="65"/>
    <s v="Ninguno"/>
    <s v="Sentencias Dictadas por Delitos de Abuso Sexual"/>
    <s v="Periodo 2013-2019"/>
    <s v="Número de sentencias"/>
    <s v="Poder Judicial"/>
    <x v="190"/>
    <s v="Gráfico que muestra la evolución anual de la frecuencia de Sentencias Dictadas por Delitos de Abuso Sexual por Delito en el  Juzgado de Garantía de Región de Atacama para el Periodo 2013-2019 de acuerdo a datos provenientes del Poder Judicial de Chile."/>
    <s v="Gráfico de Evolución"/>
    <s v="abuso sexual delitos género violencia mujer mujeres casos víctimas detenciones sentencias juzgado garantía pitrufquen"/>
    <x v="231"/>
    <s v="100-C-9"/>
    <s v="#1774B107"/>
    <s v="300-0232"/>
    <n v="40200001"/>
    <e v="#N/A"/>
    <e v="#N/A"/>
    <s v="FI-401"/>
    <e v="#N/A"/>
  </r>
  <r>
    <x v="232"/>
    <n v="300"/>
    <x v="0"/>
    <s v="Mujeres"/>
    <n v="50"/>
    <x v="5"/>
    <x v="1"/>
    <x v="2"/>
    <x v="66"/>
    <s v="Ninguno"/>
    <s v="Sentencias Dictadas por Delitos de Abuso Sexual"/>
    <s v="Periodo 2013-2019"/>
    <s v="Número de sentencias"/>
    <s v="Poder Judicial"/>
    <x v="191"/>
    <s v="Gráfico que muestra la evolución anual de la frecuencia de Sentencias Dictadas por Delitos de Abuso Sexual por Delito en el  Juzgado de Garantía de Región de Coquimbo para el Periodo 2013-2019 de acuerdo a datos provenientes del Poder Judicial de Chile."/>
    <s v="Gráfico de Evolución"/>
    <s v="abuso sexual delitos género violencia mujer mujeres casos víctimas detenciones sentencias juzgado garantía temuco"/>
    <x v="232"/>
    <s v="100-C-9"/>
    <s v="#1774B107"/>
    <s v="300-0233"/>
    <n v="40200002"/>
    <e v="#N/A"/>
    <e v="#N/A"/>
    <s v="FI-401"/>
    <e v="#N/A"/>
  </r>
  <r>
    <x v="233"/>
    <n v="300"/>
    <x v="0"/>
    <s v="Mujeres"/>
    <n v="51"/>
    <x v="5"/>
    <x v="1"/>
    <x v="2"/>
    <x v="67"/>
    <s v="Ninguno"/>
    <s v="Sentencias Dictadas por Delitos de Abuso Sexual"/>
    <s v="Periodo 2013-2019"/>
    <s v="Número de sentencias"/>
    <s v="Poder Judicial"/>
    <x v="192"/>
    <s v="Gráfico que muestra la evolución anual de la frecuencia de Sentencias Dictadas por Delitos de Abuso Sexual por Delito en el  Juzgado de Garantía de Región de Valparaíso para el Periodo 2013-2019 de acuerdo a datos provenientes del Poder Judicial de Chile."/>
    <s v="Gráfico de Evolución"/>
    <s v="abuso sexual delitos género violencia mujer mujeres casos víctimas detenciones sentencias juzgado garantía victoria"/>
    <x v="233"/>
    <s v="100-C-9"/>
    <s v="#1774B107"/>
    <s v="300-0234"/>
    <n v="40200003"/>
    <e v="#N/A"/>
    <e v="#N/A"/>
    <s v="FI-401"/>
    <e v="#N/A"/>
  </r>
  <r>
    <x v="234"/>
    <n v="300"/>
    <x v="0"/>
    <s v="Mujeres"/>
    <n v="52"/>
    <x v="5"/>
    <x v="1"/>
    <x v="2"/>
    <x v="68"/>
    <s v="Ninguno"/>
    <s v="Sentencias Dictadas por Delitos de Abuso Sexual"/>
    <s v="Periodo 2013-2019"/>
    <s v="Número de sentencias"/>
    <s v="Poder Judicial"/>
    <x v="193"/>
    <s v="Gráfico que muestra la evolución anual de la frecuencia de Sentencias Dictadas por Delitos de Abuso Sexual por Delito en el  Juzgado de Garantía de Región de O'Higgins para el Periodo 2013-2019 de acuerdo a datos provenientes del Poder Judicial de Chile."/>
    <s v="Gráfico de Evolución"/>
    <s v="abuso sexual delitos género violencia mujer mujeres casos víctimas detenciones sentencias juzgado garantía villarrica"/>
    <x v="234"/>
    <s v="100-C-9"/>
    <s v="#1774B107"/>
    <s v="300-0235"/>
    <n v="40200004"/>
    <e v="#N/A"/>
    <e v="#N/A"/>
    <s v="FI-401"/>
    <e v="#N/A"/>
  </r>
  <r>
    <x v="235"/>
    <n v="300"/>
    <x v="0"/>
    <s v="Mujeres"/>
    <n v="53"/>
    <x v="5"/>
    <x v="1"/>
    <x v="2"/>
    <x v="69"/>
    <s v="Ninguno"/>
    <s v="Sentencias Dictadas por Delitos de Abuso Sexual"/>
    <s v="Periodo 2013-2019"/>
    <s v="Número de sentencias"/>
    <s v="Poder Judicial"/>
    <x v="194"/>
    <s v="Gráfico que muestra la evolución anual de la frecuencia de Sentencias Dictadas por Delitos de Abuso Sexual por Delito en el  Juzgado de Garantía de Región de Maule para el Periodo 2013-2019 de acuerdo a datos provenientes del Poder Judicial de Chile."/>
    <s v="Gráfico de Evolución"/>
    <s v="abuso sexual delitos género violencia mujer mujeres casos víctimas detenciones sentencias juzgado garantía ancud"/>
    <x v="235"/>
    <s v="100-C-10"/>
    <s v="#1774B107"/>
    <s v="300-0236"/>
    <n v="40200005"/>
    <e v="#N/A"/>
    <e v="#N/A"/>
    <s v="FI-401"/>
    <e v="#N/A"/>
  </r>
  <r>
    <x v="236"/>
    <n v="300"/>
    <x v="0"/>
    <s v="Mujeres"/>
    <n v="54"/>
    <x v="5"/>
    <x v="1"/>
    <x v="2"/>
    <x v="70"/>
    <s v="Ninguno"/>
    <s v="Sentencias Dictadas por Delitos de Abuso Sexual"/>
    <s v="Periodo 2013-2019"/>
    <s v="Número de sentencias"/>
    <s v="Poder Judicial"/>
    <x v="195"/>
    <s v="Gráfico que muestra la evolución anual de la frecuencia de Sentencias Dictadas por Delitos de Abuso Sexual por Delito en el  Juzgado de Garantía de Región del Biobío para el Periodo 2013-2019 de acuerdo a datos provenientes del Poder Judicial de Chile."/>
    <s v="Gráfico de Evolución"/>
    <s v="abuso sexual delitos género violencia mujer mujeres casos víctimas detenciones sentencias juzgado garantía castro"/>
    <x v="236"/>
    <s v="100-C-10"/>
    <s v="#1774B107"/>
    <s v="300-0237"/>
    <n v="40200006"/>
    <e v="#N/A"/>
    <e v="#N/A"/>
    <s v="FI-401"/>
    <e v="#N/A"/>
  </r>
  <r>
    <x v="237"/>
    <n v="300"/>
    <x v="0"/>
    <s v="Mujeres"/>
    <n v="55"/>
    <x v="5"/>
    <x v="1"/>
    <x v="2"/>
    <x v="71"/>
    <s v="Ninguno"/>
    <s v="Sentencias Dictadas por Delitos de Abuso Sexual"/>
    <s v="Periodo 2013-2019"/>
    <s v="Número de sentencias"/>
    <s v="Poder Judicial"/>
    <x v="196"/>
    <s v="Gráfico que muestra la evolución anual de la frecuencia de Sentencias Dictadas por Delitos de Abuso Sexual por Delito en el  Juzgado de Garantía de Región de La Araucanía para el Periodo 2013-2019 de acuerdo a datos provenientes del Poder Judicial de Chile."/>
    <s v="Gráfico de Evolución"/>
    <s v="abuso sexual delitos género violencia mujer mujeres casos víctimas detenciones sentencias juzgado garantía osorno"/>
    <x v="237"/>
    <s v="100-C-10"/>
    <s v="#1774B107"/>
    <s v="300-0238"/>
    <n v="40200007"/>
    <e v="#N/A"/>
    <e v="#N/A"/>
    <s v="FI-401"/>
    <e v="#N/A"/>
  </r>
  <r>
    <x v="238"/>
    <n v="300"/>
    <x v="0"/>
    <s v="Mujeres"/>
    <n v="56"/>
    <x v="5"/>
    <x v="1"/>
    <x v="2"/>
    <x v="72"/>
    <s v="Ninguno"/>
    <s v="Sentencias Dictadas por Delitos de Abuso Sexual"/>
    <s v="Periodo 2013-2019"/>
    <s v="Número de sentencias"/>
    <s v="Poder Judicial"/>
    <x v="197"/>
    <s v="Gráfico que muestra la evolución anual de la frecuencia de Sentencias Dictadas por Delitos de Abuso Sexual por Delito en el  Juzgado de Garantía de Región de Los Lagos para el Periodo 2013-2019 de acuerdo a datos provenientes del Poder Judicial de Chile."/>
    <s v="Gráfico de Evolución"/>
    <s v="abuso sexual delitos género violencia mujer mujeres casos víctimas detenciones sentencias juzgado garantía puerto montt"/>
    <x v="238"/>
    <s v="100-C-10"/>
    <s v="#1774B107"/>
    <s v="300-0239"/>
    <n v="40200008"/>
    <e v="#N/A"/>
    <e v="#N/A"/>
    <s v="FI-401"/>
    <e v="#N/A"/>
  </r>
  <r>
    <x v="239"/>
    <n v="300"/>
    <x v="0"/>
    <s v="Mujeres"/>
    <n v="57"/>
    <x v="5"/>
    <x v="1"/>
    <x v="2"/>
    <x v="73"/>
    <s v="Ninguno"/>
    <s v="Sentencias Dictadas por Delitos de Abuso Sexual"/>
    <s v="Periodo 2013-2019"/>
    <s v="Número de sentencias"/>
    <s v="Poder Judicial"/>
    <x v="198"/>
    <s v="Gráfico que muestra la evolución anual de la frecuencia de Sentencias Dictadas por Delitos de Abuso Sexual por Delito en el  Juzgado de Garantía de Región de Aysén para el Periodo 2013-2019 de acuerdo a datos provenientes del Poder Judicial de Chile."/>
    <s v="Gráfico de Evolución"/>
    <s v="abuso sexual delitos género violencia mujer mujeres casos víctimas detenciones sentencias juzgado garantía puerto varas"/>
    <x v="239"/>
    <s v="100-C-10"/>
    <s v="#1774B107"/>
    <s v="300-0240"/>
    <n v="40200009"/>
    <e v="#N/A"/>
    <e v="#N/A"/>
    <s v="FI-401"/>
    <e v="#N/A"/>
  </r>
  <r>
    <x v="240"/>
    <n v="300"/>
    <x v="0"/>
    <s v="Mujeres"/>
    <n v="58"/>
    <x v="5"/>
    <x v="1"/>
    <x v="2"/>
    <x v="74"/>
    <s v="Ninguno"/>
    <s v="Sentencias Dictadas por Delitos de Abuso Sexual"/>
    <s v="Periodo 2013-2019"/>
    <s v="Número de sentencias"/>
    <s v="Poder Judicial"/>
    <x v="199"/>
    <s v="Gráfico que muestra la evolución anual de la frecuencia de Sentencias Dictadas por Delitos de Abuso Sexual por Delito en el  Juzgado de Garantía de Región de Magallanes para el Periodo 2013-2019 de acuerdo a datos provenientes del Poder Judicial de Chile."/>
    <s v="Gráfico de Evolución"/>
    <s v="abuso sexual delitos género violencia mujer mujeres casos víctimas detenciones sentencias juzgado garantía rio negro"/>
    <x v="240"/>
    <s v="100-C-10"/>
    <s v="#1774B107"/>
    <s v="300-0241"/>
    <n v="40200010"/>
    <e v="#N/A"/>
    <e v="#N/A"/>
    <s v="FI-401"/>
    <e v="#N/A"/>
  </r>
  <r>
    <x v="241"/>
    <n v="300"/>
    <x v="0"/>
    <s v="Mujeres"/>
    <n v="59"/>
    <x v="5"/>
    <x v="1"/>
    <x v="2"/>
    <x v="75"/>
    <s v="Ninguno"/>
    <s v="Sentencias Dictadas por Delitos de Abuso Sexual"/>
    <s v="Periodo 2013-2019"/>
    <s v="Número de sentencias"/>
    <s v="Poder Judicial"/>
    <x v="200"/>
    <s v="Gráfico que muestra la evolución anual de la frecuencia de Sentencias Dictadas por Delitos de Abuso Sexual por Delito en el  Juzgado de Garantía de Región Metropolitana para el Periodo 2013-2019 de acuerdo a datos provenientes del Poder Judicial de Chile."/>
    <s v="Gráfico de Evolución"/>
    <s v="abuso sexual delitos género violencia mujer mujeres casos víctimas detenciones sentencias juzgado garantía coyhaique"/>
    <x v="241"/>
    <s v="100-C-11"/>
    <s v="#1774B107"/>
    <s v="300-0242"/>
    <n v="40200011"/>
    <e v="#N/A"/>
    <e v="#N/A"/>
    <s v="FI-401"/>
    <e v="#N/A"/>
  </r>
  <r>
    <x v="242"/>
    <n v="300"/>
    <x v="0"/>
    <s v="Mujeres"/>
    <n v="60"/>
    <x v="5"/>
    <x v="1"/>
    <x v="2"/>
    <x v="76"/>
    <s v="Ninguno"/>
    <s v="Sentencias Dictadas por Delitos de Abuso Sexual"/>
    <s v="Periodo 2013-2019"/>
    <s v="Número de sentencias"/>
    <s v="Poder Judicial"/>
    <x v="201"/>
    <s v="Gráfico que muestra la evolución anual de la frecuencia de Sentencias Dictadas por Delitos de Abuso Sexual por Delito en el  Juzgado de Garantía de Región de Los Ríos para el Periodo 2013-2019 de acuerdo a datos provenientes del Poder Judicial de Chile."/>
    <s v="Gráfico de Evolución"/>
    <s v="abuso sexual delitos género violencia mujer mujeres casos víctimas detenciones sentencias juzgado garantía punta arenas"/>
    <x v="242"/>
    <s v="100-C-12"/>
    <s v="#1774B107"/>
    <s v="300-0243"/>
    <n v="40200012"/>
    <e v="#N/A"/>
    <e v="#N/A"/>
    <s v="FI-401"/>
    <e v="#N/A"/>
  </r>
  <r>
    <x v="243"/>
    <n v="300"/>
    <x v="0"/>
    <s v="Mujeres"/>
    <n v="61"/>
    <x v="5"/>
    <x v="1"/>
    <x v="2"/>
    <x v="77"/>
    <s v="Ninguno"/>
    <s v="Sentencias Dictadas por Delitos de Abuso Sexual"/>
    <s v="Periodo 2013-2019"/>
    <s v="Número de sentencias"/>
    <s v="Poder Judicial"/>
    <x v="202"/>
    <s v="Gráfico que muestra la evolución anual de la frecuencia de Sentencias Dictadas por Delitos de Abuso Sexual por Delito en el 10° Juzgado de Garantía de Región de Arica y Parinacota para el Periodo 2013-2019 de acuerdo a datos provenientes del Poder Judicial de Chile."/>
    <s v="Gráfico de Evolución"/>
    <s v="abuso sexual delitos género violencia mujer mujeres casos víctimas detenciones sentencias juzgado garantía santiago"/>
    <x v="243"/>
    <s v="200-C-13"/>
    <s v="#1774B107"/>
    <s v="300-0244"/>
    <n v="40200013"/>
    <e v="#N/A"/>
    <e v="#N/A"/>
    <s v="FI-401"/>
    <e v="#N/A"/>
  </r>
  <r>
    <x v="244"/>
    <n v="300"/>
    <x v="0"/>
    <s v="Mujeres"/>
    <n v="62"/>
    <x v="5"/>
    <x v="1"/>
    <x v="2"/>
    <x v="77"/>
    <s v="Ninguno"/>
    <s v="Sentencias Dictadas por Delitos de Abuso Sexual"/>
    <s v="Periodo 2013-2019"/>
    <s v="Número de sentencias"/>
    <s v="Poder Judicial"/>
    <x v="203"/>
    <s v="Gráfico que muestra la evolución anual de la frecuencia de Sentencias Dictadas por Delitos de Abuso Sexual por Delito en el 11° Juzgado de Garantía de Región de Ñuble para el Periodo 2013-2019 de acuerdo a datos provenientes del Poder Judicial de Chile."/>
    <s v="Gráfico de Evolución"/>
    <s v="abuso sexual delitos género violencia mujer mujeres casos víctimas detenciones sentencias juzgado garantía santiago"/>
    <x v="244"/>
    <s v="200-C-13"/>
    <s v="#1774B107"/>
    <s v="300-0245"/>
    <n v="40200014"/>
    <e v="#N/A"/>
    <e v="#N/A"/>
    <s v="FI-401"/>
    <e v="#N/A"/>
  </r>
  <r>
    <x v="245"/>
    <n v="300"/>
    <x v="0"/>
    <s v="Mujeres"/>
    <n v="63"/>
    <x v="5"/>
    <x v="1"/>
    <x v="2"/>
    <x v="77"/>
    <s v="Ninguno"/>
    <s v="Sentencias Dictadas por Delitos de Abuso Sexual"/>
    <s v="Periodo 2013-2019"/>
    <s v="Número de sentencias"/>
    <s v="Poder Judicial"/>
    <x v="204"/>
    <s v="Gráfico que muestra la evolución anual de la frecuencia de Sentencias Dictadas por Delitos de Abuso Sexual por Delito en el 12° Juzgado de Garantía de Región de Tarapacá para el Periodo 2013-2019 de acuerdo a datos provenientes del Poder Judicial de Chile."/>
    <s v="Gráfico de Evolución"/>
    <s v="abuso sexual delitos género violencia mujer mujeres casos víctimas detenciones sentencias juzgado garantía santiago"/>
    <x v="245"/>
    <s v="200-C-13"/>
    <s v="#1774B107"/>
    <s v="300-0246"/>
    <n v="40200015"/>
    <e v="#N/A"/>
    <e v="#N/A"/>
    <s v="FI-401"/>
    <e v="#N/A"/>
  </r>
  <r>
    <x v="246"/>
    <n v="300"/>
    <x v="0"/>
    <s v="Mujeres"/>
    <n v="64"/>
    <x v="5"/>
    <x v="1"/>
    <x v="2"/>
    <x v="77"/>
    <s v="Ninguno"/>
    <s v="Sentencias Dictadas por Delitos de Abuso Sexual"/>
    <s v="Periodo 2013-2019"/>
    <s v="Número de sentencias"/>
    <s v="Poder Judicial"/>
    <x v="205"/>
    <s v="Gráfico que muestra la evolución anual de la frecuencia de Sentencias Dictadas por Delitos de Abuso Sexual por Delito en el 13° Juzgado de Garantía de Región de Antofagasta para el Periodo 2013-2019 de acuerdo a datos provenientes del Poder Judicial de Chile."/>
    <s v="Gráfico de Evolución"/>
    <s v="abuso sexual delitos género violencia mujer mujeres casos víctimas detenciones sentencias juzgado garantía santiago"/>
    <x v="246"/>
    <s v="200-C-13"/>
    <s v="#1774B107"/>
    <s v="300-0247"/>
    <n v="40200016"/>
    <e v="#N/A"/>
    <e v="#N/A"/>
    <s v="FI-401"/>
    <e v="#N/A"/>
  </r>
  <r>
    <x v="247"/>
    <n v="300"/>
    <x v="0"/>
    <s v="Mujeres"/>
    <n v="65"/>
    <x v="5"/>
    <x v="1"/>
    <x v="2"/>
    <x v="77"/>
    <s v="Ninguno"/>
    <s v="Sentencias Dictadas por Delitos de Abuso Sexual"/>
    <s v="Periodo 2013-2019"/>
    <s v="Número de sentencias"/>
    <s v="Poder Judicial"/>
    <x v="206"/>
    <s v="Gráfico que muestra la evolución anual de la frecuencia de Sentencias Dictadas por Delitos de Abuso Sexual por Delito en el 14° Juzgado de Garantía de Región de Atacama para el Periodo 2013-2019 de acuerdo a datos provenientes del Poder Judicial de Chile."/>
    <s v="Gráfico de Evolución"/>
    <s v="abuso sexual delitos género violencia mujer mujeres casos víctimas detenciones sentencias juzgado garantía santiago"/>
    <x v="247"/>
    <s v="200-C-13"/>
    <s v="#1774B107"/>
    <s v="300-0248"/>
    <n v="40200001"/>
    <e v="#N/A"/>
    <e v="#N/A"/>
    <s v="FI-401"/>
    <e v="#N/A"/>
  </r>
  <r>
    <x v="248"/>
    <n v="300"/>
    <x v="0"/>
    <s v="Mujeres"/>
    <n v="66"/>
    <x v="5"/>
    <x v="1"/>
    <x v="2"/>
    <x v="77"/>
    <s v="Ninguno"/>
    <s v="Sentencias Dictadas por Delitos de Abuso Sexual"/>
    <s v="Periodo 2013-2019"/>
    <s v="Número de sentencias"/>
    <s v="Poder Judicial"/>
    <x v="207"/>
    <s v="Gráfico que muestra la evolución anual de la frecuencia de Sentencias Dictadas por Delitos de Abuso Sexual por Delito en el 15° Juzgado de Garantía de Región de Coquimbo para el Periodo 2013-2019 de acuerdo a datos provenientes del Poder Judicial de Chile."/>
    <s v="Gráfico de Evolución"/>
    <s v="abuso sexual delitos género violencia mujer mujeres casos víctimas detenciones sentencias juzgado garantía santiago"/>
    <x v="248"/>
    <s v="200-C-13"/>
    <s v="#1774B107"/>
    <s v="300-0249"/>
    <n v="40200002"/>
    <e v="#N/A"/>
    <e v="#N/A"/>
    <s v="FI-401"/>
    <e v="#N/A"/>
  </r>
  <r>
    <x v="249"/>
    <n v="300"/>
    <x v="0"/>
    <s v="Mujeres"/>
    <n v="67"/>
    <x v="5"/>
    <x v="1"/>
    <x v="2"/>
    <x v="77"/>
    <s v="Ninguno"/>
    <s v="Sentencias Dictadas por Delitos de Abuso Sexual"/>
    <s v="Periodo 2013-2019"/>
    <s v="Número de sentencias"/>
    <s v="Poder Judicial"/>
    <x v="208"/>
    <s v="Gráfico que muestra la evolución anual de la frecuencia de Sentencias Dictadas por Delitos de Abuso Sexual por Delito en el 1° Juzgado de Garantía de Región de Valparaíso para el Periodo 2013-2019 de acuerdo a datos provenientes del Poder Judicial de Chile."/>
    <s v="Gráfico de Evolución"/>
    <s v="abuso sexual delitos género violencia mujer mujeres casos víctimas detenciones sentencias juzgado garantía santiago"/>
    <x v="249"/>
    <s v="200-C-13"/>
    <s v="#1774B107"/>
    <s v="300-0250"/>
    <n v="40200003"/>
    <e v="#N/A"/>
    <e v="#N/A"/>
    <s v="FI-401"/>
    <e v="#N/A"/>
  </r>
  <r>
    <x v="250"/>
    <n v="300"/>
    <x v="0"/>
    <s v="Mujeres"/>
    <n v="68"/>
    <x v="5"/>
    <x v="1"/>
    <x v="2"/>
    <x v="77"/>
    <s v="Ninguno"/>
    <s v="Sentencias Dictadas por Delitos de Abuso Sexual"/>
    <s v="Periodo 2013-2019"/>
    <s v="Número de sentencias"/>
    <s v="Poder Judicial"/>
    <x v="209"/>
    <s v="Gráfico que muestra la evolución anual de la frecuencia de Sentencias Dictadas por Delitos de Abuso Sexual por Delito en el 2° Juzgado de Garantía de Región de O'Higgins para el Periodo 2013-2019 de acuerdo a datos provenientes del Poder Judicial de Chile."/>
    <s v="Gráfico de Evolución"/>
    <s v="abuso sexual delitos género violencia mujer mujeres casos víctimas detenciones sentencias juzgado garantía santiago"/>
    <x v="250"/>
    <s v="200-C-13"/>
    <s v="#1774B107"/>
    <s v="300-0251"/>
    <n v="40200004"/>
    <e v="#N/A"/>
    <e v="#N/A"/>
    <s v="FI-401"/>
    <e v="#N/A"/>
  </r>
  <r>
    <x v="251"/>
    <n v="300"/>
    <x v="0"/>
    <s v="Mujeres"/>
    <n v="69"/>
    <x v="5"/>
    <x v="1"/>
    <x v="2"/>
    <x v="77"/>
    <s v="Ninguno"/>
    <s v="Sentencias Dictadas por Delitos de Abuso Sexual"/>
    <s v="Periodo 2013-2019"/>
    <s v="Número de sentencias"/>
    <s v="Poder Judicial"/>
    <x v="210"/>
    <s v="Gráfico que muestra la evolución anual de la frecuencia de Sentencias Dictadas por Delitos de Abuso Sexual por Delito en el 3° Juzgado de Garantía de Región de Maule para el Periodo 2013-2019 de acuerdo a datos provenientes del Poder Judicial de Chile."/>
    <s v="Gráfico de Evolución"/>
    <s v="abuso sexual delitos género violencia mujer mujeres casos víctimas detenciones sentencias juzgado garantía santiago"/>
    <x v="251"/>
    <s v="200-C-13"/>
    <s v="#1774B107"/>
    <s v="300-0252"/>
    <n v="40200005"/>
    <e v="#N/A"/>
    <e v="#N/A"/>
    <s v="FI-401"/>
    <e v="#N/A"/>
  </r>
  <r>
    <x v="252"/>
    <n v="300"/>
    <x v="0"/>
    <s v="Mujeres"/>
    <n v="70"/>
    <x v="5"/>
    <x v="1"/>
    <x v="2"/>
    <x v="77"/>
    <s v="Ninguno"/>
    <s v="Sentencias Dictadas por Delitos de Abuso Sexual"/>
    <s v="Periodo 2013-2019"/>
    <s v="Número de sentencias"/>
    <s v="Poder Judicial"/>
    <x v="211"/>
    <s v="Gráfico que muestra la evolución anual de la frecuencia de Sentencias Dictadas por Delitos de Abuso Sexual por Delito en el 4° Juzgado de Garantía de Región del Biobío para el Periodo 2013-2019 de acuerdo a datos provenientes del Poder Judicial de Chile."/>
    <s v="Gráfico de Evolución"/>
    <s v="abuso sexual delitos género violencia mujer mujeres casos víctimas detenciones sentencias juzgado garantía santiago"/>
    <x v="252"/>
    <s v="200-C-13"/>
    <s v="#1774B107"/>
    <s v="300-0253"/>
    <n v="40200006"/>
    <e v="#N/A"/>
    <e v="#N/A"/>
    <s v="FI-401"/>
    <e v="#N/A"/>
  </r>
  <r>
    <x v="253"/>
    <n v="300"/>
    <x v="0"/>
    <s v="Mujeres"/>
    <n v="71"/>
    <x v="5"/>
    <x v="1"/>
    <x v="2"/>
    <x v="77"/>
    <s v="Ninguno"/>
    <s v="Sentencias Dictadas por Delitos de Abuso Sexual"/>
    <s v="Periodo 2013-2019"/>
    <s v="Número de sentencias"/>
    <s v="Poder Judicial"/>
    <x v="212"/>
    <s v="Gráfico que muestra la evolución anual de la frecuencia de Sentencias Dictadas por Delitos de Abuso Sexual por Delito en el 5° Juzgado de Garantía de Región de La Araucanía para el Periodo 2013-2019 de acuerdo a datos provenientes del Poder Judicial de Chile."/>
    <s v="Gráfico de Evolución"/>
    <s v="abuso sexual delitos género violencia mujer mujeres casos víctimas detenciones sentencias juzgado garantía santiago"/>
    <x v="253"/>
    <s v="200-C-13"/>
    <s v="#1774B107"/>
    <s v="300-0254"/>
    <n v="40200007"/>
    <e v="#N/A"/>
    <e v="#N/A"/>
    <s v="FI-401"/>
    <e v="#N/A"/>
  </r>
  <r>
    <x v="254"/>
    <n v="300"/>
    <x v="0"/>
    <s v="Mujeres"/>
    <n v="72"/>
    <x v="5"/>
    <x v="1"/>
    <x v="2"/>
    <x v="77"/>
    <s v="Ninguno"/>
    <s v="Sentencias Dictadas por Delitos de Abuso Sexual"/>
    <s v="Periodo 2013-2019"/>
    <s v="Número de sentencias"/>
    <s v="Poder Judicial"/>
    <x v="213"/>
    <s v="Gráfico que muestra la evolución anual de la frecuencia de Sentencias Dictadas por Delitos de Abuso Sexual por Delito en el 6° Juzgado de Garantía de Región de Los Lagos para el Periodo 2013-2019 de acuerdo a datos provenientes del Poder Judicial de Chile."/>
    <s v="Gráfico de Evolución"/>
    <s v="abuso sexual delitos género violencia mujer mujeres casos víctimas detenciones sentencias juzgado garantía santiago"/>
    <x v="254"/>
    <s v="200-C-13"/>
    <s v="#1774B107"/>
    <s v="300-0255"/>
    <n v="40200008"/>
    <e v="#N/A"/>
    <e v="#N/A"/>
    <s v="FI-401"/>
    <e v="#N/A"/>
  </r>
  <r>
    <x v="255"/>
    <n v="300"/>
    <x v="0"/>
    <s v="Mujeres"/>
    <n v="73"/>
    <x v="5"/>
    <x v="1"/>
    <x v="2"/>
    <x v="77"/>
    <s v="Ninguno"/>
    <s v="Sentencias Dictadas por Delitos de Abuso Sexual"/>
    <s v="Periodo 2013-2019"/>
    <s v="Número de sentencias"/>
    <s v="Poder Judicial"/>
    <x v="214"/>
    <s v="Gráfico que muestra la evolución anual de la frecuencia de Sentencias Dictadas por Delitos de Abuso Sexual por Delito en el 7° Juzgado de Garantía de Región de Aysén para el Periodo 2013-2019 de acuerdo a datos provenientes del Poder Judicial de Chile."/>
    <s v="Gráfico de Evolución"/>
    <s v="abuso sexual delitos género violencia mujer mujeres casos víctimas detenciones sentencias juzgado garantía santiago"/>
    <x v="255"/>
    <s v="200-C-13"/>
    <s v="#1774B107"/>
    <s v="300-0256"/>
    <n v="40200009"/>
    <e v="#N/A"/>
    <e v="#N/A"/>
    <s v="FI-401"/>
    <e v="#N/A"/>
  </r>
  <r>
    <x v="256"/>
    <n v="300"/>
    <x v="0"/>
    <s v="Mujeres"/>
    <n v="74"/>
    <x v="5"/>
    <x v="1"/>
    <x v="2"/>
    <x v="77"/>
    <s v="Ninguno"/>
    <s v="Sentencias Dictadas por Delitos de Abuso Sexual"/>
    <s v="Periodo 2013-2019"/>
    <s v="Número de sentencias"/>
    <s v="Poder Judicial"/>
    <x v="215"/>
    <s v="Gráfico que muestra la evolución anual de la frecuencia de Sentencias Dictadas por Delitos de Abuso Sexual por Delito en el 8° Juzgado de Garantía de Región de Magallanes para el Periodo 2013-2019 de acuerdo a datos provenientes del Poder Judicial de Chile."/>
    <s v="Gráfico de Evolución"/>
    <s v="abuso sexual delitos género violencia mujer mujeres casos víctimas detenciones sentencias juzgado garantía santiago"/>
    <x v="256"/>
    <s v="200-C-13"/>
    <s v="#1774B107"/>
    <s v="300-0257"/>
    <n v="40200010"/>
    <e v="#N/A"/>
    <e v="#N/A"/>
    <s v="FI-401"/>
    <e v="#N/A"/>
  </r>
  <r>
    <x v="257"/>
    <n v="300"/>
    <x v="0"/>
    <s v="Mujeres"/>
    <n v="75"/>
    <x v="5"/>
    <x v="1"/>
    <x v="2"/>
    <x v="77"/>
    <s v="Ninguno"/>
    <s v="Sentencias Dictadas por Delitos de Abuso Sexual"/>
    <s v="Periodo 2013-2019"/>
    <s v="Número de sentencias"/>
    <s v="Poder Judicial"/>
    <x v="216"/>
    <s v="Gráfico que muestra la evolución anual de la frecuencia de Sentencias Dictadas por Delitos de Abuso Sexual por Delito en el 9° Juzgado de Garantía de Región Metropolitana para el Periodo 2013-2019 de acuerdo a datos provenientes del Poder Judicial de Chile."/>
    <s v="Gráfico de Evolución"/>
    <s v="abuso sexual delitos género violencia mujer mujeres casos víctimas detenciones sentencias juzgado garantía santiago"/>
    <x v="257"/>
    <s v="200-C-13"/>
    <s v="#1774B107"/>
    <s v="300-0258"/>
    <n v="40200011"/>
    <e v="#N/A"/>
    <e v="#N/A"/>
    <s v="FI-401"/>
    <e v="#N/A"/>
  </r>
  <r>
    <x v="258"/>
    <n v="300"/>
    <x v="0"/>
    <s v="Mujeres"/>
    <n v="76"/>
    <x v="5"/>
    <x v="1"/>
    <x v="2"/>
    <x v="78"/>
    <s v="Ninguno"/>
    <s v="Sentencias Dictadas por Delitos de Abuso Sexual"/>
    <s v="Periodo 2013-2019"/>
    <s v="Número de sentencias"/>
    <s v="Poder Judicial"/>
    <x v="217"/>
    <s v="Gráfico que muestra la evolución anual de la frecuencia de Sentencias Dictadas por Delitos de Abuso Sexual por Delito en el Juzgado de Garantía de Región de Los Ríos para el Periodo 2013-2019 de acuerdo a datos provenientes del Poder Judicial de Chile."/>
    <s v="Gráfico de Evolución"/>
    <s v="abuso sexual delitos género violencia mujer mujeres casos víctimas detenciones sentencias juzgado garantía los lagos"/>
    <x v="258"/>
    <s v="100-C-14"/>
    <s v="#1774B107"/>
    <s v="300-0259"/>
    <n v="40200012"/>
    <e v="#N/A"/>
    <e v="#N/A"/>
    <s v="FI-401"/>
    <e v="#N/A"/>
  </r>
  <r>
    <x v="259"/>
    <n v="300"/>
    <x v="0"/>
    <s v="Mujeres"/>
    <n v="77"/>
    <x v="5"/>
    <x v="1"/>
    <x v="2"/>
    <x v="79"/>
    <s v="Ninguno"/>
    <s v="Sentencias Dictadas por Delitos de Abuso Sexual"/>
    <s v="Periodo 2013-2019"/>
    <s v="Número de sentencias"/>
    <s v="Poder Judicial"/>
    <x v="218"/>
    <s v="Gráfico que muestra la evolución anual de la frecuencia de Sentencias Dictadas por Delitos de Abuso Sexual por Delito en el Juzgado de Garantía de Región de Arica y Parinacota para el Periodo 2013-2019 de acuerdo a datos provenientes del Poder Judicial de Chile."/>
    <s v="Gráfico de Evolución"/>
    <s v="abuso sexual delitos género violencia mujer mujeres casos víctimas detenciones sentencias juzgado garantía mariquina"/>
    <x v="259"/>
    <s v="100-C-14"/>
    <s v="#1774B107"/>
    <s v="300-0260"/>
    <n v="40200013"/>
    <e v="#N/A"/>
    <e v="#N/A"/>
    <s v="FI-401"/>
    <e v="#N/A"/>
  </r>
  <r>
    <x v="260"/>
    <n v="300"/>
    <x v="0"/>
    <s v="Mujeres"/>
    <n v="78"/>
    <x v="5"/>
    <x v="1"/>
    <x v="2"/>
    <x v="80"/>
    <s v="Ninguno"/>
    <s v="Sentencias Dictadas por Delitos de Abuso Sexual"/>
    <s v="Periodo 2013-2019"/>
    <s v="Número de sentencias"/>
    <s v="Poder Judicial"/>
    <x v="219"/>
    <s v="Gráfico que muestra la evolución anual de la frecuencia de Sentencias Dictadas por Delitos de Abuso Sexual por Delito en el Juzgado de Garantía de Región de Ñuble para el Periodo 2013-2019 de acuerdo a datos provenientes del Poder Judicial de Chile."/>
    <s v="Gráfico de Evolución"/>
    <s v="abuso sexual delitos género violencia mujer mujeres casos víctimas detenciones sentencias juzgado garantía valdivia"/>
    <x v="260"/>
    <s v="100-C-14"/>
    <s v="#1774B107"/>
    <s v="300-0261"/>
    <n v="40200014"/>
    <e v="#N/A"/>
    <e v="#N/A"/>
    <s v="FI-401"/>
    <e v="#N/A"/>
  </r>
  <r>
    <x v="261"/>
    <n v="300"/>
    <x v="0"/>
    <s v="Mujeres"/>
    <n v="79"/>
    <x v="5"/>
    <x v="1"/>
    <x v="2"/>
    <x v="81"/>
    <s v="Ninguno"/>
    <s v="Sentencias Dictadas por Delitos de Abuso Sexual"/>
    <s v="Periodo 2013-2019"/>
    <s v="Número de sentencias"/>
    <s v="Poder Judicial"/>
    <x v="220"/>
    <s v="Gráfico que muestra la evolución anual de la frecuencia de Sentencias Dictadas por Delitos de Abuso Sexual por Delito en el Juzgado de Garantía de Región de Tarapacá para el Periodo 2013-2019 de acuerdo a datos provenientes del Poder Judicial de Chile."/>
    <s v="Gráfico de Evolución"/>
    <s v="abuso sexual delitos género violencia mujer mujeres casos víctimas detenciones sentencias juzgado garantía arica"/>
    <x v="261"/>
    <s v="100-C-15"/>
    <s v="#1774B107"/>
    <s v="300-0262"/>
    <n v="40200015"/>
    <e v="#N/A"/>
    <e v="#N/A"/>
    <s v="FI-401"/>
    <e v="#N/A"/>
  </r>
  <r>
    <x v="262"/>
    <n v="300"/>
    <x v="0"/>
    <s v="Mujeres"/>
    <n v="80"/>
    <x v="5"/>
    <x v="1"/>
    <x v="2"/>
    <x v="82"/>
    <s v="Ninguno"/>
    <s v="Sentencias Dictadas por Delitos de Abuso Sexual"/>
    <s v="Periodo 2013-2019"/>
    <s v="Número de sentencias"/>
    <s v="Poder Judicial"/>
    <x v="221"/>
    <s v="Gráfico que muestra la evolución anual de la frecuencia de Sentencias Dictadas por Delitos de Abuso Sexual por Delito en el Juzgado de Garantía de Región de Antofagasta para el Periodo 2013-2019 de acuerdo a datos provenientes del Poder Judicial de Chile."/>
    <s v="Gráfico de Evolución"/>
    <s v="abuso sexual delitos género violencia mujer mujeres casos víctimas detenciones sentencias juzgado garantía chillan"/>
    <x v="262"/>
    <s v="100-C-16"/>
    <s v="#1774B107"/>
    <s v="300-0263"/>
    <n v="40200016"/>
    <e v="#N/A"/>
    <e v="#N/A"/>
    <s v="FI-401"/>
    <e v="#N/A"/>
  </r>
  <r>
    <x v="263"/>
    <n v="300"/>
    <x v="0"/>
    <s v="Mujeres"/>
    <n v="81"/>
    <x v="5"/>
    <x v="1"/>
    <x v="2"/>
    <x v="83"/>
    <s v="Ninguno"/>
    <s v="Sentencias Dictadas por Delitos de Abuso Sexual"/>
    <s v="Periodo 2013-2019"/>
    <s v="Número de sentencias"/>
    <s v="Poder Judicial"/>
    <x v="222"/>
    <s v="Gráfico que muestra la evolución anual de la frecuencia de Sentencias Dictadas por Delitos de Abuso Sexual por Delito en el Juzgado de Garantía de Región de Atacama para el Periodo 2013-2019 de acuerdo a datos provenientes del Poder Judicial de Chile."/>
    <s v="Gráfico de Evolución"/>
    <s v="abuso sexual delitos género violencia mujer mujeres casos víctimas detenciones sentencias juzgado garantía san carlos"/>
    <x v="263"/>
    <s v="100-C-16"/>
    <s v="#1774B107"/>
    <s v="300-0264"/>
    <n v="40200001"/>
    <e v="#N/A"/>
    <e v="#N/A"/>
    <s v="FI-401"/>
    <e v="#N/A"/>
  </r>
  <r>
    <x v="264"/>
    <n v="300"/>
    <x v="0"/>
    <s v="Mujeres"/>
    <n v="82"/>
    <x v="5"/>
    <x v="1"/>
    <x v="2"/>
    <x v="84"/>
    <s v="Ninguno"/>
    <s v="Sentencias Dictadas por Delitos de Abuso Sexual"/>
    <s v="Periodo 2013-2019"/>
    <s v="Número de sentencias"/>
    <s v="Poder Judicial"/>
    <x v="223"/>
    <s v="Gráfico que muestra la evolución anual de la frecuencia de Sentencias Dictadas por Delitos de Abuso Sexual por Delito en el Juzgado de Garantía de Región de Coquimbo para el Periodo 2013-2019 de acuerdo a datos provenientes del Poder Judicial de Chile."/>
    <s v="Gráfico de Evolución"/>
    <s v="abuso sexual delitos género violencia mujer mujeres casos víctimas detenciones sentencias juzgado garantía yungay"/>
    <x v="264"/>
    <s v="100-C-16"/>
    <s v="#1774B107"/>
    <s v="300-0265"/>
    <n v="40200002"/>
    <e v="#N/A"/>
    <e v="#N/A"/>
    <s v="FI-401"/>
    <e v="#N/A"/>
  </r>
  <r>
    <x v="265"/>
    <n v="300"/>
    <x v="0"/>
    <s v="Mujeres"/>
    <n v="270102004"/>
    <x v="5"/>
    <x v="1"/>
    <x v="0"/>
    <x v="0"/>
    <s v="Región"/>
    <s v="Sentencias Dictadas por Delitos de Abuso Sexual"/>
    <s v="Periodo 2013-2019"/>
    <s v="Número de sentencias"/>
    <s v="Poder Judicial"/>
    <x v="224"/>
    <s v="El gráfico muestra la evolución anual de la frecuencia de Sentencias Dictadas por Delitos de Abuso Sexual por región para el delito de Abuso Sexual Adulto, durante el Periodo 2013-2019 de acuerdo a datos provenientes del Poder Judicial de Chile."/>
    <s v="Gráfico de Evolución"/>
    <s v="abuso sexual delitos género violencia mujer mujeres casos víctimas detenciones sentencias"/>
    <x v="265"/>
    <s v="300-R"/>
    <e v="#REF!"/>
    <s v="300-0266"/>
    <n v="40200003"/>
    <e v="#N/A"/>
    <e v="#N/A"/>
    <s v="FI-401"/>
    <e v="#N/A"/>
  </r>
  <r>
    <x v="266"/>
    <n v="300"/>
    <x v="0"/>
    <s v="Mujeres"/>
    <n v="270102005"/>
    <x v="5"/>
    <x v="1"/>
    <x v="0"/>
    <x v="0"/>
    <s v="Región"/>
    <s v="Sentencias Dictadas por Delitos de Abuso Sexual"/>
    <s v="Periodo 2013-2019"/>
    <s v="Número de sentencias"/>
    <s v="Poder Judicial"/>
    <x v="225"/>
    <s v="El gráfico muestra la evolución anual de la frecuencia de Sentencias Dictadas por Delitos de Abuso Sexual por región para el delito de Abuso Sexual Calificado c/Introduccion Objetos O Uso Animal, durante el Periodo 2013-2019 de acuerdo a datos provenientes del Poder Judicial de Chile."/>
    <s v="Gráfico de Evolución"/>
    <s v="abuso sexual delitos género violencia mujer mujeres casos víctimas detenciones sentencias"/>
    <x v="266"/>
    <s v="300-R"/>
    <e v="#REF!"/>
    <s v="300-0267"/>
    <n v="40200004"/>
    <e v="#N/A"/>
    <e v="#N/A"/>
    <s v="FI-401"/>
    <e v="#N/A"/>
  </r>
  <r>
    <x v="267"/>
    <n v="300"/>
    <x v="0"/>
    <s v="Mujeres"/>
    <n v="270102006"/>
    <x v="5"/>
    <x v="1"/>
    <x v="0"/>
    <x v="0"/>
    <s v="Región"/>
    <s v="Sentencias Dictadas por Delitos de Abuso Sexual"/>
    <s v="Periodo 2013-2019"/>
    <s v="Número de sentencias"/>
    <s v="Poder Judicial"/>
    <x v="226"/>
    <s v="El gráfico muestra la evolución anual de la frecuencia de Sentencias Dictadas por Delitos de Abuso Sexual por región para el delito de Abuso Sexual Con Contacto De Menor De 14 Años, durante el Periodo 2013-2019 de acuerdo a datos provenientes del Poder Judicial de Chile."/>
    <s v="Gráfico de Evolución"/>
    <s v="abuso sexual delitos género violencia mujer mujeres casos víctimas detenciones sentencias"/>
    <x v="267"/>
    <s v="300-R"/>
    <e v="#REF!"/>
    <s v="300-0268"/>
    <n v="40200005"/>
    <e v="#N/A"/>
    <e v="#N/A"/>
    <s v="FI-401"/>
    <e v="#N/A"/>
  </r>
  <r>
    <x v="268"/>
    <n v="300"/>
    <x v="0"/>
    <s v="Mujeres"/>
    <n v="270102007"/>
    <x v="5"/>
    <x v="1"/>
    <x v="0"/>
    <x v="0"/>
    <s v="Región"/>
    <s v="Sentencias Dictadas por Delitos de Abuso Sexual"/>
    <s v="Periodo 2013-2019"/>
    <s v="Número de sentencias"/>
    <s v="Poder Judicial"/>
    <x v="227"/>
    <s v="El gráfico muestra la evolución anual de la frecuencia de Sentencias Dictadas por Delitos de Abuso Sexual por región para el delito de Abuso Sexual De 14 Años A Menor De 18 Años Con Circunstancia Estupro, durante el Periodo 2013-2019 de acuerdo a datos provenientes del Poder Judicial de Chile."/>
    <s v="Gráfico de Evolución"/>
    <s v="abuso sexual delitos género violencia mujer mujeres casos víctimas detenciones sentencias"/>
    <x v="268"/>
    <s v="300-R"/>
    <e v="#REF!"/>
    <s v="300-0269"/>
    <n v="40200006"/>
    <e v="#N/A"/>
    <e v="#N/A"/>
    <s v="FI-401"/>
    <e v="#N/A"/>
  </r>
  <r>
    <x v="269"/>
    <n v="300"/>
    <x v="0"/>
    <s v="Mujeres"/>
    <n v="270102008"/>
    <x v="5"/>
    <x v="1"/>
    <x v="0"/>
    <x v="0"/>
    <s v="Región"/>
    <s v="Sentencias Dictadas por Delitos de Abuso Sexual"/>
    <s v="Periodo 2013-2019"/>
    <s v="Número de sentencias"/>
    <s v="Poder Judicial"/>
    <x v="228"/>
    <s v="El gráfico muestra la evolución anual de la frecuencia de Sentencias Dictadas por Delitos de Abuso Sexual por región para el delito de Abuso Sexual De Mayor De 14 (Con Circunstancias De Violación), durante el Periodo 2013-2019 de acuerdo a datos provenientes del Poder Judicial de Chile."/>
    <s v="Gráfico de Evolución"/>
    <s v="abuso sexual delitos género violencia mujer mujeres casos víctimas detenciones sentencias"/>
    <x v="269"/>
    <s v="300-R"/>
    <e v="#REF!"/>
    <s v="300-0270"/>
    <n v="40200007"/>
    <e v="#N/A"/>
    <e v="#N/A"/>
    <s v="FI-401"/>
    <e v="#N/A"/>
  </r>
  <r>
    <x v="270"/>
    <n v="300"/>
    <x v="0"/>
    <s v="Mujeres"/>
    <n v="270102009"/>
    <x v="5"/>
    <x v="1"/>
    <x v="0"/>
    <x v="0"/>
    <s v="Región"/>
    <s v="Sentencias Dictadas por Delitos de Abuso Sexual"/>
    <s v="Periodo 2013-2019"/>
    <s v="Número de sentencias"/>
    <s v="Poder Judicial"/>
    <x v="229"/>
    <s v="El gráfico muestra la evolución anual de la frecuencia de Sentencias Dictadas por Delitos de Abuso Sexual por región para el delito de Abuso Sexual Mayor 14 /Sorpresa Sin Consentimiento, durante el Periodo 2013-2019 de acuerdo a datos provenientes del Poder Judicial de Chile."/>
    <s v="Gráfico de Evolución"/>
    <s v="abuso sexual delitos género violencia mujer mujeres casos víctimas detenciones sentencias"/>
    <x v="270"/>
    <s v="300-R"/>
    <e v="#REF!"/>
    <s v="300-0271"/>
    <n v="40200008"/>
    <e v="#N/A"/>
    <e v="#N/A"/>
    <s v="FI-401"/>
    <e v="#N/A"/>
  </r>
  <r>
    <x v="271"/>
    <n v="300"/>
    <x v="0"/>
    <s v="Mujeres"/>
    <n v="270102010"/>
    <x v="5"/>
    <x v="1"/>
    <x v="0"/>
    <x v="0"/>
    <s v="Región"/>
    <s v="Sentencias Dictadas por Delitos de Abuso Sexual"/>
    <s v="Periodo 2013-2019"/>
    <s v="Número de sentencias"/>
    <s v="Poder Judicial"/>
    <x v="230"/>
    <s v="El gráfico muestra la evolución anual de la frecuencia de Sentencias Dictadas por Delitos de Abuso Sexual por región para el delito de Abuso Sexual Sin Contacto, durante el Periodo 2013-2019 de acuerdo a datos provenientes del Poder Judicial de Chile."/>
    <s v="Gráfico de Evolución"/>
    <s v="abuso sexual delitos género violencia mujer mujeres casos víctimas detenciones sentencias"/>
    <x v="271"/>
    <s v="300-R"/>
    <e v="#REF!"/>
    <s v="300-0272"/>
    <n v="40200009"/>
    <e v="#N/A"/>
    <e v="#N/A"/>
    <s v="FI-401"/>
    <e v="#N/A"/>
  </r>
  <r>
    <x v="272"/>
    <n v="300"/>
    <x v="0"/>
    <s v="Mujeres"/>
    <n v="270102004"/>
    <x v="5"/>
    <x v="1"/>
    <x v="0"/>
    <x v="0"/>
    <s v="Ninguno"/>
    <s v="Sentencias Dictadas por Delitos de Abuso Sexual"/>
    <s v="Periodo 2013-2019"/>
    <s v="Número de sentencias"/>
    <s v="Poder Judicial"/>
    <x v="231"/>
    <s v="El gráfico muestra la evolución anual de la frecuencia de Sentencias Dictadas por Delitos de Abuso Sexual por Juzgado de Garantía para el delito de Abuso Sexual Adulto, durante el Periodo 2013-2019 de acuerdo a datos provenientes del Poder Judicial de Chile."/>
    <s v="Gráfico de Evolución"/>
    <s v="abuso sexual delitos género violencia mujer mujeres casos víctimas detenciones sentencias juzgado garantía"/>
    <x v="272"/>
    <s v="300-C"/>
    <e v="#REF!"/>
    <s v="300-0273"/>
    <n v="40200010"/>
    <e v="#N/A"/>
    <e v="#N/A"/>
    <s v="FI-401"/>
    <e v="#N/A"/>
  </r>
  <r>
    <x v="273"/>
    <n v="300"/>
    <x v="0"/>
    <s v="Mujeres"/>
    <n v="270102005"/>
    <x v="5"/>
    <x v="1"/>
    <x v="0"/>
    <x v="0"/>
    <s v="Ninguno"/>
    <s v="Sentencias Dictadas por Delitos de Abuso Sexual"/>
    <s v="Periodo 2013-2019"/>
    <s v="Número de sentencias"/>
    <s v="Poder Judicial"/>
    <x v="232"/>
    <s v="El gráfico muestra la evolución anual de la frecuencia de Sentencias Dictadas por Delitos de Abuso Sexual por Juzgado de Garantía para el delito de Abuso Sexual Calificado c/Introduccion Objetos O Uso Animal, durante el Periodo 2013-2019 de acuerdo a datos provenientes del Poder Judicial de Chile."/>
    <s v="Gráfico de Evolución"/>
    <s v="abuso sexual delitos género violencia mujer mujeres casos víctimas detenciones sentencias juzgado garantía"/>
    <x v="273"/>
    <s v="300-C"/>
    <e v="#REF!"/>
    <s v="300-0274"/>
    <n v="40200011"/>
    <e v="#N/A"/>
    <e v="#N/A"/>
    <s v="FI-401"/>
    <e v="#N/A"/>
  </r>
  <r>
    <x v="274"/>
    <n v="300"/>
    <x v="0"/>
    <s v="Mujeres"/>
    <n v="270102006"/>
    <x v="5"/>
    <x v="1"/>
    <x v="0"/>
    <x v="0"/>
    <s v="Ninguno"/>
    <s v="Sentencias Dictadas por Delitos de Abuso Sexual"/>
    <s v="Periodo 2013-2019"/>
    <s v="Número de sentencias"/>
    <s v="Poder Judicial"/>
    <x v="233"/>
    <s v="El gráfico muestra la evolución anual de la frecuencia de Sentencias Dictadas por Delitos de Abuso Sexual por Juzgado de Garantía para el delito de Abuso Sexual Con Contacto De Menor De 14 Años, durante el Periodo 2013-2019 de acuerdo a datos provenientes del Poder Judicial de Chile."/>
    <s v="Gráfico de Evolución"/>
    <s v="abuso sexual delitos género violencia mujer mujeres casos víctimas detenciones sentencias juzgado garantía"/>
    <x v="274"/>
    <s v="300-C"/>
    <e v="#REF!"/>
    <s v="300-0275"/>
    <n v="40200012"/>
    <e v="#N/A"/>
    <e v="#N/A"/>
    <s v="FI-401"/>
    <e v="#N/A"/>
  </r>
  <r>
    <x v="275"/>
    <n v="300"/>
    <x v="0"/>
    <s v="Mujeres"/>
    <n v="270102007"/>
    <x v="5"/>
    <x v="1"/>
    <x v="0"/>
    <x v="0"/>
    <s v="Ninguno"/>
    <s v="Sentencias Dictadas por Delitos de Abuso Sexual"/>
    <s v="Periodo 2013-2019"/>
    <s v="Número de sentencias"/>
    <s v="Poder Judicial"/>
    <x v="234"/>
    <s v="El gráfico muestra la evolución anual de la frecuencia de Sentencias Dictadas por Delitos de Abuso Sexual por Juzgado de Garantía para el delito de Abuso Sexual De 14 Años A Menor De 18 Años Con Circunstancia Estupro, durante el Periodo 2013-2019 de acuerdo a datos provenientes del Poder Judicial de Chile."/>
    <s v="Gráfico de Evolución"/>
    <s v="abuso sexual delitos género violencia mujer mujeres casos víctimas detenciones sentencias juzgado garantía"/>
    <x v="275"/>
    <s v="300-C"/>
    <e v="#REF!"/>
    <s v="300-0276"/>
    <n v="40200013"/>
    <e v="#N/A"/>
    <e v="#N/A"/>
    <s v="FI-401"/>
    <e v="#N/A"/>
  </r>
  <r>
    <x v="276"/>
    <n v="300"/>
    <x v="0"/>
    <s v="Mujeres"/>
    <n v="270102008"/>
    <x v="5"/>
    <x v="1"/>
    <x v="0"/>
    <x v="0"/>
    <s v="Ninguno"/>
    <s v="Sentencias Dictadas por Delitos de Abuso Sexual"/>
    <s v="Periodo 2013-2019"/>
    <s v="Número de sentencias"/>
    <s v="Poder Judicial"/>
    <x v="235"/>
    <s v="El gráfico muestra la evolución anual de la frecuencia de Sentencias Dictadas por Delitos de Abuso Sexual por Juzgado de Garantía para el delito de Abuso Sexual De Mayor De 14 (Con Circunstancias De Violación), durante el Periodo 2013-2019 de acuerdo a datos provenientes del Poder Judicial de Chile."/>
    <s v="Gráfico de Evolución"/>
    <s v="abuso sexual delitos género violencia mujer mujeres casos víctimas detenciones sentencias juzgado garantía"/>
    <x v="276"/>
    <s v="300-C"/>
    <e v="#REF!"/>
    <s v="300-0277"/>
    <n v="40200014"/>
    <e v="#N/A"/>
    <e v="#N/A"/>
    <s v="FI-401"/>
    <e v="#N/A"/>
  </r>
  <r>
    <x v="277"/>
    <n v="300"/>
    <x v="0"/>
    <s v="Mujeres"/>
    <n v="270102009"/>
    <x v="5"/>
    <x v="1"/>
    <x v="0"/>
    <x v="0"/>
    <s v="Ninguno"/>
    <s v="Sentencias Dictadas por Delitos de Abuso Sexual"/>
    <s v="Periodo 2013-2019"/>
    <s v="Número de sentencias"/>
    <s v="Poder Judicial"/>
    <x v="236"/>
    <s v="El gráfico muestra la evolución anual de la frecuencia de Sentencias Dictadas por Delitos de Abuso Sexual por Juzgado de Garantía para el delito de Abuso Sexual Mayor 14 /Sorpresa Sin Consentimiento, durante el Periodo 2013-2019 de acuerdo a datos provenientes del Poder Judicial de Chile."/>
    <s v="Gráfico de Evolución"/>
    <s v="abuso sexual delitos género violencia mujer mujeres casos víctimas detenciones sentencias juzgado garantía"/>
    <x v="277"/>
    <s v="300-C"/>
    <e v="#REF!"/>
    <s v="300-0278"/>
    <n v="40200015"/>
    <e v="#N/A"/>
    <e v="#N/A"/>
    <s v="FI-401"/>
    <e v="#N/A"/>
  </r>
  <r>
    <x v="278"/>
    <n v="300"/>
    <x v="0"/>
    <s v="Mujeres"/>
    <n v="270102010"/>
    <x v="5"/>
    <x v="1"/>
    <x v="0"/>
    <x v="0"/>
    <s v="Ninguno"/>
    <s v="Sentencias Dictadas por Delitos de Abuso Sexual"/>
    <s v="Periodo 2013-2019"/>
    <s v="Número de sentencias"/>
    <s v="Poder Judicial"/>
    <x v="237"/>
    <s v="El gráfico muestra la evolución anual de la frecuencia de Sentencias Dictadas por Delitos de Abuso Sexual por Juzgado de Garantía para el delito de Abuso Sexual Sin Contacto, durante el Periodo 2013-2019 de acuerdo a datos provenientes del Poder Judicial de Chile."/>
    <s v="Gráfico de Evolución"/>
    <s v="abuso sexual delitos género violencia mujer mujeres casos víctimas detenciones sentencias juzgado garantía"/>
    <x v="278"/>
    <s v="300-C"/>
    <e v="#REF!"/>
    <s v="300-0279"/>
    <n v="40200016"/>
    <e v="#N/A"/>
    <e v="#N/A"/>
    <s v="FI-401"/>
    <e v="#N/A"/>
  </r>
  <r>
    <x v="279"/>
    <n v="300"/>
    <x v="0"/>
    <s v="Mujeres"/>
    <n v="1"/>
    <x v="5"/>
    <x v="1"/>
    <x v="1"/>
    <x v="1"/>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tarapacá"/>
    <x v="279"/>
    <s v="100-R-1"/>
    <e v="#REF!"/>
    <s v="300-0280"/>
    <e v="#N/A"/>
    <e v="#N/A"/>
    <e v="#N/A"/>
    <s v="FI-401"/>
    <e v="#N/A"/>
  </r>
  <r>
    <x v="280"/>
    <n v="300"/>
    <x v="0"/>
    <s v="Mujeres"/>
    <n v="2"/>
    <x v="5"/>
    <x v="1"/>
    <x v="1"/>
    <x v="2"/>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ntofagasta"/>
    <x v="280"/>
    <s v="100-R-2"/>
    <e v="#REF!"/>
    <s v="300-0281"/>
    <e v="#N/A"/>
    <e v="#N/A"/>
    <e v="#N/A"/>
    <s v="FI-401"/>
    <e v="#N/A"/>
  </r>
  <r>
    <x v="281"/>
    <n v="300"/>
    <x v="0"/>
    <s v="Mujeres"/>
    <n v="3"/>
    <x v="5"/>
    <x v="1"/>
    <x v="1"/>
    <x v="3"/>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tacama"/>
    <x v="281"/>
    <s v="100-R-3"/>
    <e v="#REF!"/>
    <s v="300-0282"/>
    <e v="#N/A"/>
    <e v="#N/A"/>
    <e v="#N/A"/>
    <s v="FI-401"/>
    <e v="#N/A"/>
  </r>
  <r>
    <x v="282"/>
    <n v="300"/>
    <x v="0"/>
    <s v="Mujeres"/>
    <n v="4"/>
    <x v="5"/>
    <x v="1"/>
    <x v="1"/>
    <x v="4"/>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coquimbo"/>
    <x v="282"/>
    <s v="100-R-4"/>
    <e v="#REF!"/>
    <s v="300-0283"/>
    <e v="#N/A"/>
    <e v="#N/A"/>
    <e v="#N/A"/>
    <s v="FI-401"/>
    <e v="#N/A"/>
  </r>
  <r>
    <x v="283"/>
    <n v="300"/>
    <x v="0"/>
    <s v="Mujeres"/>
    <n v="5"/>
    <x v="5"/>
    <x v="1"/>
    <x v="1"/>
    <x v="5"/>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valparaíso"/>
    <x v="283"/>
    <s v="100-R-5"/>
    <e v="#REF!"/>
    <s v="300-0284"/>
    <e v="#N/A"/>
    <e v="#N/A"/>
    <e v="#N/A"/>
    <s v="FI-401"/>
    <e v="#N/A"/>
  </r>
  <r>
    <x v="284"/>
    <n v="300"/>
    <x v="0"/>
    <s v="Mujeres"/>
    <n v="6"/>
    <x v="5"/>
    <x v="1"/>
    <x v="1"/>
    <x v="6"/>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ohiggins"/>
    <x v="284"/>
    <s v="100-R-6"/>
    <e v="#REF!"/>
    <s v="300-0285"/>
    <e v="#N/A"/>
    <e v="#N/A"/>
    <e v="#N/A"/>
    <s v="FI-401"/>
    <e v="#N/A"/>
  </r>
  <r>
    <x v="285"/>
    <n v="300"/>
    <x v="0"/>
    <s v="Mujeres"/>
    <n v="7"/>
    <x v="5"/>
    <x v="1"/>
    <x v="1"/>
    <x v="7"/>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maule"/>
    <x v="285"/>
    <s v="100-R-7"/>
    <e v="#REF!"/>
    <s v="300-0286"/>
    <e v="#N/A"/>
    <e v="#N/A"/>
    <e v="#N/A"/>
    <s v="FI-401"/>
    <e v="#N/A"/>
  </r>
  <r>
    <x v="286"/>
    <n v="300"/>
    <x v="0"/>
    <s v="Mujeres"/>
    <n v="8"/>
    <x v="5"/>
    <x v="1"/>
    <x v="1"/>
    <x v="8"/>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biobío"/>
    <x v="286"/>
    <s v="100-R-8"/>
    <e v="#REF!"/>
    <s v="300-0287"/>
    <e v="#N/A"/>
    <e v="#N/A"/>
    <e v="#N/A"/>
    <s v="FI-401"/>
    <e v="#N/A"/>
  </r>
  <r>
    <x v="287"/>
    <n v="300"/>
    <x v="0"/>
    <s v="Mujeres"/>
    <n v="9"/>
    <x v="5"/>
    <x v="1"/>
    <x v="1"/>
    <x v="9"/>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raucanía"/>
    <x v="287"/>
    <s v="100-R-9"/>
    <e v="#REF!"/>
    <s v="300-0288"/>
    <e v="#N/A"/>
    <e v="#N/A"/>
    <e v="#N/A"/>
    <s v="FI-401"/>
    <e v="#N/A"/>
  </r>
  <r>
    <x v="288"/>
    <n v="300"/>
    <x v="0"/>
    <s v="Mujeres"/>
    <n v="10"/>
    <x v="5"/>
    <x v="1"/>
    <x v="1"/>
    <x v="10"/>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lagos"/>
    <x v="288"/>
    <s v="100-R-10"/>
    <e v="#REF!"/>
    <s v="300-0289"/>
    <e v="#N/A"/>
    <e v="#N/A"/>
    <e v="#N/A"/>
    <s v="FI-401"/>
    <e v="#N/A"/>
  </r>
  <r>
    <x v="289"/>
    <n v="300"/>
    <x v="0"/>
    <s v="Mujeres"/>
    <n v="11"/>
    <x v="5"/>
    <x v="1"/>
    <x v="1"/>
    <x v="11"/>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ysén"/>
    <x v="289"/>
    <s v="100-R-11"/>
    <e v="#REF!"/>
    <s v="300-0290"/>
    <e v="#N/A"/>
    <e v="#N/A"/>
    <e v="#N/A"/>
    <s v="FI-401"/>
    <e v="#N/A"/>
  </r>
  <r>
    <x v="290"/>
    <n v="300"/>
    <x v="0"/>
    <s v="Mujeres"/>
    <n v="12"/>
    <x v="5"/>
    <x v="1"/>
    <x v="1"/>
    <x v="12"/>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magallanes"/>
    <x v="290"/>
    <s v="100-R-12"/>
    <e v="#REF!"/>
    <s v="300-0291"/>
    <e v="#N/A"/>
    <e v="#N/A"/>
    <e v="#N/A"/>
    <s v="FI-401"/>
    <e v="#N/A"/>
  </r>
  <r>
    <x v="291"/>
    <n v="300"/>
    <x v="0"/>
    <s v="Mujeres"/>
    <n v="13"/>
    <x v="5"/>
    <x v="1"/>
    <x v="1"/>
    <x v="13"/>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metropolitana"/>
    <x v="291"/>
    <s v="200-R-13"/>
    <e v="#REF!"/>
    <s v="300-0292"/>
    <e v="#N/A"/>
    <e v="#N/A"/>
    <e v="#N/A"/>
    <s v="FI-401"/>
    <e v="#N/A"/>
  </r>
  <r>
    <x v="292"/>
    <n v="300"/>
    <x v="0"/>
    <s v="Mujeres"/>
    <n v="14"/>
    <x v="5"/>
    <x v="1"/>
    <x v="1"/>
    <x v="14"/>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ríos"/>
    <x v="292"/>
    <s v="100-R-14"/>
    <e v="#REF!"/>
    <s v="300-0293"/>
    <e v="#N/A"/>
    <e v="#N/A"/>
    <e v="#N/A"/>
    <s v="FI-401"/>
    <e v="#N/A"/>
  </r>
  <r>
    <x v="293"/>
    <n v="300"/>
    <x v="0"/>
    <s v="Mujeres"/>
    <n v="15"/>
    <x v="5"/>
    <x v="1"/>
    <x v="1"/>
    <x v="15"/>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rica parinacota"/>
    <x v="293"/>
    <s v="100-R-15"/>
    <e v="#REF!"/>
    <s v="300-0294"/>
    <e v="#N/A"/>
    <e v="#N/A"/>
    <e v="#N/A"/>
    <s v="FI-401"/>
    <e v="#N/A"/>
  </r>
  <r>
    <x v="294"/>
    <n v="300"/>
    <x v="0"/>
    <s v="Mujeres"/>
    <n v="16"/>
    <x v="5"/>
    <x v="1"/>
    <x v="1"/>
    <x v="16"/>
    <s v="Ninguno"/>
    <s v="Variación Trimestral de Sentencias Dictadas (%) por Delitos de Abuso Sexual "/>
    <s v="Periodo 2013-2019"/>
    <s v="Porcentaje"/>
    <s v="Poder Judicial"/>
    <x v="238"/>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ñuble"/>
    <x v="294"/>
    <s v="100-R-16"/>
    <e v="#REF!"/>
    <s v="300-0295"/>
    <n v="40100000"/>
    <e v="#N/A"/>
    <e v="#N/A"/>
    <e v="#N/A"/>
    <e v="#N/A"/>
  </r>
  <r>
    <x v="295"/>
    <n v="300"/>
    <x v="0"/>
    <s v="Mujeres"/>
    <n v="1"/>
    <x v="5"/>
    <x v="1"/>
    <x v="1"/>
    <x v="1"/>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tarapacá"/>
    <x v="295"/>
    <s v="100-R-1"/>
    <e v="#REF!"/>
    <s v="300-0296"/>
    <n v="40100000"/>
    <e v="#N/A"/>
    <e v="#N/A"/>
    <e v="#N/A"/>
    <e v="#N/A"/>
  </r>
  <r>
    <x v="296"/>
    <n v="300"/>
    <x v="0"/>
    <s v="Mujeres"/>
    <n v="2"/>
    <x v="5"/>
    <x v="1"/>
    <x v="1"/>
    <x v="2"/>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ntofagasta"/>
    <x v="296"/>
    <s v="100-R-2"/>
    <e v="#REF!"/>
    <e v="#VALUE!"/>
    <e v="#VALUE!"/>
    <e v="#VALUE!"/>
    <e v="#VALUE!"/>
    <e v="#VALUE!"/>
    <e v="#VALUE!"/>
  </r>
  <r>
    <x v="297"/>
    <n v="300"/>
    <x v="0"/>
    <s v="Mujeres"/>
    <n v="3"/>
    <x v="5"/>
    <x v="1"/>
    <x v="1"/>
    <x v="3"/>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tacama"/>
    <x v="297"/>
    <s v="100-R-3"/>
    <e v="#REF!"/>
    <e v="#VALUE!"/>
    <e v="#VALUE!"/>
    <e v="#VALUE!"/>
    <e v="#VALUE!"/>
    <e v="#VALUE!"/>
    <e v="#VALUE!"/>
  </r>
  <r>
    <x v="298"/>
    <n v="300"/>
    <x v="0"/>
    <s v="Mujeres"/>
    <n v="4"/>
    <x v="5"/>
    <x v="1"/>
    <x v="1"/>
    <x v="4"/>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coquimbo"/>
    <x v="298"/>
    <s v="100-R-4"/>
    <e v="#REF!"/>
    <e v="#VALUE!"/>
    <e v="#VALUE!"/>
    <e v="#VALUE!"/>
    <e v="#VALUE!"/>
    <e v="#VALUE!"/>
    <e v="#VALUE!"/>
  </r>
  <r>
    <x v="299"/>
    <n v="300"/>
    <x v="0"/>
    <s v="Mujeres"/>
    <n v="5"/>
    <x v="5"/>
    <x v="1"/>
    <x v="1"/>
    <x v="5"/>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valparaíso"/>
    <x v="299"/>
    <s v="100-R-5"/>
    <e v="#REF!"/>
    <e v="#VALUE!"/>
    <e v="#VALUE!"/>
    <e v="#VALUE!"/>
    <e v="#VALUE!"/>
    <e v="#VALUE!"/>
    <e v="#VALUE!"/>
  </r>
  <r>
    <x v="300"/>
    <n v="300"/>
    <x v="0"/>
    <s v="Mujeres"/>
    <n v="6"/>
    <x v="5"/>
    <x v="1"/>
    <x v="1"/>
    <x v="6"/>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ohiggins"/>
    <x v="300"/>
    <s v="100-R-6"/>
    <e v="#REF!"/>
    <e v="#VALUE!"/>
    <e v="#VALUE!"/>
    <e v="#VALUE!"/>
    <e v="#VALUE!"/>
    <e v="#VALUE!"/>
    <e v="#VALUE!"/>
  </r>
  <r>
    <x v="301"/>
    <n v="300"/>
    <x v="0"/>
    <s v="Mujeres"/>
    <n v="7"/>
    <x v="5"/>
    <x v="1"/>
    <x v="1"/>
    <x v="7"/>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maule"/>
    <x v="301"/>
    <s v="100-R-7"/>
    <e v="#REF!"/>
    <e v="#VALUE!"/>
    <e v="#VALUE!"/>
    <e v="#VALUE!"/>
    <e v="#VALUE!"/>
    <e v="#VALUE!"/>
    <e v="#VALUE!"/>
  </r>
  <r>
    <x v="302"/>
    <n v="300"/>
    <x v="0"/>
    <s v="Mujeres"/>
    <n v="8"/>
    <x v="5"/>
    <x v="1"/>
    <x v="1"/>
    <x v="8"/>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biobío"/>
    <x v="302"/>
    <s v="100-R-8"/>
    <e v="#REF!"/>
    <e v="#VALUE!"/>
    <e v="#VALUE!"/>
    <e v="#VALUE!"/>
    <e v="#VALUE!"/>
    <e v="#VALUE!"/>
    <e v="#VALUE!"/>
  </r>
  <r>
    <x v="303"/>
    <n v="300"/>
    <x v="0"/>
    <s v="Mujeres"/>
    <n v="9"/>
    <x v="5"/>
    <x v="1"/>
    <x v="1"/>
    <x v="9"/>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raucanía"/>
    <x v="303"/>
    <s v="100-R-9"/>
    <e v="#REF!"/>
    <e v="#VALUE!"/>
    <e v="#VALUE!"/>
    <e v="#VALUE!"/>
    <e v="#VALUE!"/>
    <e v="#VALUE!"/>
    <e v="#VALUE!"/>
  </r>
  <r>
    <x v="304"/>
    <n v="300"/>
    <x v="0"/>
    <s v="Mujeres"/>
    <n v="10"/>
    <x v="5"/>
    <x v="1"/>
    <x v="1"/>
    <x v="10"/>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lagos"/>
    <x v="304"/>
    <s v="100-R-10"/>
    <e v="#REF!"/>
    <e v="#VALUE!"/>
    <e v="#VALUE!"/>
    <e v="#VALUE!"/>
    <e v="#VALUE!"/>
    <e v="#VALUE!"/>
    <e v="#VALUE!"/>
  </r>
  <r>
    <x v="305"/>
    <n v="300"/>
    <x v="0"/>
    <s v="Mujeres"/>
    <n v="11"/>
    <x v="5"/>
    <x v="1"/>
    <x v="1"/>
    <x v="11"/>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ysén"/>
    <x v="305"/>
    <s v="100-R-11"/>
    <e v="#REF!"/>
    <e v="#VALUE!"/>
    <e v="#VALUE!"/>
    <e v="#VALUE!"/>
    <e v="#VALUE!"/>
    <e v="#VALUE!"/>
    <e v="#VALUE!"/>
  </r>
  <r>
    <x v="306"/>
    <n v="300"/>
    <x v="0"/>
    <s v="Mujeres"/>
    <n v="12"/>
    <x v="5"/>
    <x v="1"/>
    <x v="1"/>
    <x v="12"/>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magallanes"/>
    <x v="306"/>
    <s v="100-R-12"/>
    <e v="#REF!"/>
    <e v="#VALUE!"/>
    <e v="#VALUE!"/>
    <e v="#VALUE!"/>
    <e v="#VALUE!"/>
    <e v="#VALUE!"/>
    <e v="#VALUE!"/>
  </r>
  <r>
    <x v="307"/>
    <n v="300"/>
    <x v="0"/>
    <s v="Mujeres"/>
    <n v="13"/>
    <x v="5"/>
    <x v="1"/>
    <x v="1"/>
    <x v="13"/>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metropolitana"/>
    <x v="307"/>
    <s v="200-R-13"/>
    <e v="#REF!"/>
    <e v="#VALUE!"/>
    <e v="#VALUE!"/>
    <e v="#VALUE!"/>
    <e v="#VALUE!"/>
    <e v="#VALUE!"/>
    <e v="#VALUE!"/>
  </r>
  <r>
    <x v="308"/>
    <n v="300"/>
    <x v="0"/>
    <s v="Mujeres"/>
    <n v="14"/>
    <x v="5"/>
    <x v="1"/>
    <x v="1"/>
    <x v="14"/>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ríos"/>
    <x v="308"/>
    <s v="100-R-14"/>
    <e v="#REF!"/>
    <e v="#VALUE!"/>
    <e v="#VALUE!"/>
    <e v="#VALUE!"/>
    <e v="#VALUE!"/>
    <e v="#VALUE!"/>
    <e v="#VALUE!"/>
  </r>
  <r>
    <x v="309"/>
    <n v="300"/>
    <x v="0"/>
    <s v="Mujeres"/>
    <n v="15"/>
    <x v="5"/>
    <x v="1"/>
    <x v="1"/>
    <x v="15"/>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rica parinacota"/>
    <x v="309"/>
    <s v="100-R-15"/>
    <e v="#REF!"/>
    <e v="#VALUE!"/>
    <e v="#VALUE!"/>
    <e v="#VALUE!"/>
    <e v="#VALUE!"/>
    <e v="#VALUE!"/>
    <e v="#VALUE!"/>
  </r>
  <r>
    <x v="310"/>
    <n v="300"/>
    <x v="0"/>
    <s v="Mujeres"/>
    <n v="16"/>
    <x v="5"/>
    <x v="1"/>
    <x v="1"/>
    <x v="16"/>
    <s v="Ninguno"/>
    <s v="Variación Trimestral de Sentencias Dictadas (%) por Delitos de Abuso Sexual "/>
    <s v="Periodo 2013-2019"/>
    <s v="Porcentaje"/>
    <s v="Poder Judicial"/>
    <x v="23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ñuble"/>
    <x v="310"/>
    <s v="100-R-16"/>
    <e v="#REF!"/>
    <e v="#VALUE!"/>
    <e v="#VALUE!"/>
    <e v="#VALUE!"/>
    <e v="#VALUE!"/>
    <e v="#VALUE!"/>
    <e v="#VALUE!"/>
  </r>
  <r>
    <x v="311"/>
    <n v="300"/>
    <x v="0"/>
    <s v="Mujeres"/>
    <n v="1"/>
    <x v="5"/>
    <x v="1"/>
    <x v="1"/>
    <x v="1"/>
    <s v="Ninguno"/>
    <s v="Variación Trimestral de Sentencias Dictadas (%) por Delitos de Abuso Sexual "/>
    <s v="Periodo 2013-2019"/>
    <s v="Porcentaje"/>
    <s v="Poder Judicial"/>
    <x v="240"/>
    <s v="El gráfico muestra la tendencia de la Variación Trimestral de Sentencias Dictadas (%) en la Región de Tarapacá por Juzgado de Garantía, durante el Periodo 2013-2019 de acuerdo a datos provenientes del Poder Judicial de Chile."/>
    <s v="Gráfico de Evolución"/>
    <s v="abuso sexual delitos género violencia mujer mujeres casos víctimas detenciones sentencias tarapacá"/>
    <x v="311"/>
    <s v="100-C-1"/>
    <e v="#REF!"/>
    <e v="#VALUE!"/>
    <e v="#VALUE!"/>
    <e v="#VALUE!"/>
    <e v="#VALUE!"/>
    <e v="#VALUE!"/>
    <e v="#VALUE!"/>
  </r>
  <r>
    <x v="312"/>
    <n v="300"/>
    <x v="0"/>
    <s v="Mujeres"/>
    <n v="2"/>
    <x v="5"/>
    <x v="1"/>
    <x v="1"/>
    <x v="2"/>
    <s v="Ninguno"/>
    <s v="Variación Trimestral de Sentencias Dictadas (%) por Delitos de Abuso Sexual "/>
    <s v="Periodo 2013-2019"/>
    <s v="Porcentaje"/>
    <s v="Poder Judicial"/>
    <x v="241"/>
    <s v="El gráfico muestra la tendencia de la Variación Trimestral de Sentencias Dictadas (%) en la Región de Antofagasta por Juzgado de Garantía, durante el Periodo 2013-2019 de acuerdo a datos provenientes del Poder Judicial de Chile."/>
    <s v="Gráfico de Evolución"/>
    <s v="abuso sexual delitos género violencia mujer mujeres casos víctimas detenciones sentencias antofagasta"/>
    <x v="312"/>
    <s v="100-C-2"/>
    <e v="#REF!"/>
    <e v="#VALUE!"/>
    <e v="#VALUE!"/>
    <e v="#VALUE!"/>
    <e v="#VALUE!"/>
    <e v="#VALUE!"/>
    <e v="#VALUE!"/>
  </r>
  <r>
    <x v="313"/>
    <n v="300"/>
    <x v="0"/>
    <s v="Mujeres"/>
    <n v="3"/>
    <x v="5"/>
    <x v="1"/>
    <x v="1"/>
    <x v="3"/>
    <s v="Ninguno"/>
    <s v="Variación Trimestral de Sentencias Dictadas (%) por Delitos de Abuso Sexual "/>
    <s v="Periodo 2013-2019"/>
    <s v="Porcentaje"/>
    <s v="Poder Judicial"/>
    <x v="242"/>
    <s v="El gráfico muestra la tendencia de la Variación Trimestral de Sentencias Dictadas (%) en la Región de Atacama por Juzgado de Garantía, durante el Periodo 2013-2019 de acuerdo a datos provenientes del Poder Judicial de Chile."/>
    <s v="Gráfico de Evolución"/>
    <s v="abuso sexual delitos género violencia mujer mujeres casos víctimas detenciones sentencias atacama"/>
    <x v="313"/>
    <s v="100-C-3"/>
    <e v="#REF!"/>
    <e v="#VALUE!"/>
    <e v="#VALUE!"/>
    <e v="#VALUE!"/>
    <e v="#VALUE!"/>
    <e v="#VALUE!"/>
    <e v="#VALUE!"/>
  </r>
  <r>
    <x v="314"/>
    <n v="300"/>
    <x v="0"/>
    <s v="Mujeres"/>
    <n v="4"/>
    <x v="5"/>
    <x v="1"/>
    <x v="1"/>
    <x v="4"/>
    <s v="Ninguno"/>
    <s v="Variación Trimestral de Sentencias Dictadas (%) por Delitos de Abuso Sexual "/>
    <s v="Periodo 2013-2019"/>
    <s v="Porcentaje"/>
    <s v="Poder Judicial"/>
    <x v="243"/>
    <s v="El gráfico muestra la tendencia de la Variación Trimestral de Sentencias Dictadas (%) en la Región de Coquimbo por Juzgado de Garantía, durante el Periodo 2013-2019 de acuerdo a datos provenientes del Poder Judicial de Chile."/>
    <s v="Gráfico de Evolución"/>
    <s v="abuso sexual delitos género violencia mujer mujeres casos víctimas detenciones sentencias coquimbo"/>
    <x v="314"/>
    <s v="100-C-4"/>
    <e v="#REF!"/>
    <e v="#VALUE!"/>
    <e v="#VALUE!"/>
    <e v="#VALUE!"/>
    <e v="#VALUE!"/>
    <e v="#VALUE!"/>
    <e v="#VALUE!"/>
  </r>
  <r>
    <x v="315"/>
    <n v="300"/>
    <x v="0"/>
    <s v="Mujeres"/>
    <n v="5"/>
    <x v="5"/>
    <x v="1"/>
    <x v="1"/>
    <x v="5"/>
    <s v="Ninguno"/>
    <s v="Variación Trimestral de Sentencias Dictadas (%) por Delitos de Abuso Sexual "/>
    <s v="Periodo 2013-2019"/>
    <s v="Porcentaje"/>
    <s v="Poder Judicial"/>
    <x v="244"/>
    <s v="El gráfico muestra la tendencia de la Variación Trimestral de Sentencias Dictadas (%) en la Región de Valparaíso por Juzgado de Garantía, durante el Periodo 2013-2019 de acuerdo a datos provenientes del Poder Judicial de Chile."/>
    <s v="Gráfico de Evolución"/>
    <s v="abuso sexual delitos género violencia mujer mujeres casos víctimas detenciones sentencias valparaíso"/>
    <x v="315"/>
    <s v="100-C-5"/>
    <e v="#REF!"/>
    <e v="#VALUE!"/>
    <e v="#VALUE!"/>
    <e v="#VALUE!"/>
    <e v="#VALUE!"/>
    <e v="#VALUE!"/>
    <e v="#VALUE!"/>
  </r>
  <r>
    <x v="316"/>
    <n v="300"/>
    <x v="0"/>
    <s v="Mujeres"/>
    <n v="6"/>
    <x v="5"/>
    <x v="1"/>
    <x v="1"/>
    <x v="6"/>
    <s v="Ninguno"/>
    <s v="Variación Trimestral de Sentencias Dictadas (%) por Delitos de Abuso Sexual "/>
    <s v="Periodo 2013-2019"/>
    <s v="Porcentaje"/>
    <s v="Poder Judicial"/>
    <x v="245"/>
    <s v="El gráfico muestra la tendencia de la Variación Trimestral de Sentencias Dictadas (%) en la Región de O'Higgins por Juzgado de Garantía, durante el Periodo 2013-2019 de acuerdo a datos provenientes del Poder Judicial de Chile."/>
    <s v="Gráfico de Evolución"/>
    <s v="abuso sexual delitos género violencia mujer mujeres casos víctimas detenciones sentencias ohiggins"/>
    <x v="316"/>
    <s v="100-C-6"/>
    <e v="#REF!"/>
    <e v="#VALUE!"/>
    <e v="#VALUE!"/>
    <e v="#VALUE!"/>
    <e v="#VALUE!"/>
    <e v="#VALUE!"/>
    <e v="#VALUE!"/>
  </r>
  <r>
    <x v="317"/>
    <n v="300"/>
    <x v="0"/>
    <s v="Mujeres"/>
    <n v="7"/>
    <x v="5"/>
    <x v="1"/>
    <x v="1"/>
    <x v="7"/>
    <s v="Ninguno"/>
    <s v="Variación Trimestral de Sentencias Dictadas (%) por Delitos de Abuso Sexual "/>
    <s v="Periodo 2013-2019"/>
    <s v="Porcentaje"/>
    <s v="Poder Judicial"/>
    <x v="246"/>
    <s v="El gráfico muestra la tendencia de la Variación Trimestral de Sentencias Dictadas (%) en la Región de Maule por Juzgado de Garantía, durante el Periodo 2013-2019 de acuerdo a datos provenientes del Poder Judicial de Chile."/>
    <s v="Gráfico de Evolución"/>
    <s v="abuso sexual delitos género violencia mujer mujeres casos víctimas detenciones sentencias maule"/>
    <x v="317"/>
    <s v="100-C-7"/>
    <e v="#REF!"/>
    <e v="#VALUE!"/>
    <e v="#VALUE!"/>
    <e v="#VALUE!"/>
    <e v="#VALUE!"/>
    <e v="#VALUE!"/>
    <e v="#VALUE!"/>
  </r>
  <r>
    <x v="318"/>
    <n v="300"/>
    <x v="0"/>
    <s v="Mujeres"/>
    <n v="8"/>
    <x v="5"/>
    <x v="1"/>
    <x v="1"/>
    <x v="8"/>
    <s v="Ninguno"/>
    <s v="Variación Trimestral de Sentencias Dictadas (%) por Delitos de Abuso Sexual "/>
    <s v="Periodo 2013-2019"/>
    <s v="Porcentaje"/>
    <s v="Poder Judicial"/>
    <x v="247"/>
    <s v="El gráfico muestra la tendencia de la Variación Trimestral de Sentencias Dictadas (%) en la Región del Biobío por Juzgado de Garantía, durante el Periodo 2013-2019 de acuerdo a datos provenientes del Poder Judicial de Chile."/>
    <s v="Gráfico de Evolución"/>
    <s v="abuso sexual delitos género violencia mujer mujeres casos víctimas detenciones sentencias biobío"/>
    <x v="318"/>
    <s v="100-C-8"/>
    <e v="#REF!"/>
    <e v="#VALUE!"/>
    <e v="#VALUE!"/>
    <e v="#VALUE!"/>
    <e v="#VALUE!"/>
    <e v="#VALUE!"/>
    <e v="#VALUE!"/>
  </r>
  <r>
    <x v="319"/>
    <n v="300"/>
    <x v="0"/>
    <s v="Mujeres"/>
    <n v="9"/>
    <x v="5"/>
    <x v="1"/>
    <x v="1"/>
    <x v="9"/>
    <s v="Ninguno"/>
    <s v="Variación Trimestral de Sentencias Dictadas (%) por Delitos de Abuso Sexual "/>
    <s v="Periodo 2013-2019"/>
    <s v="Porcentaje"/>
    <s v="Poder Judicial"/>
    <x v="248"/>
    <s v="El gráfico muestra la tendencia de la Variación Trimestral de Sentencias Dictadas (%) en la Región de La Araucanía por Juzgado de Garantía, durante el Periodo 2013-2019 de acuerdo a datos provenientes del Poder Judicial de Chile."/>
    <s v="Gráfico de Evolución"/>
    <s v="abuso sexual delitos género violencia mujer mujeres casos víctimas detenciones sentencias araucanía"/>
    <x v="319"/>
    <s v="100-C-9"/>
    <e v="#REF!"/>
    <e v="#VALUE!"/>
    <e v="#VALUE!"/>
    <e v="#VALUE!"/>
    <e v="#VALUE!"/>
    <e v="#VALUE!"/>
    <e v="#VALUE!"/>
  </r>
  <r>
    <x v="320"/>
    <n v="300"/>
    <x v="0"/>
    <s v="Mujeres"/>
    <n v="10"/>
    <x v="5"/>
    <x v="1"/>
    <x v="1"/>
    <x v="10"/>
    <s v="Ninguno"/>
    <s v="Variación Trimestral de Sentencias Dictadas (%) por Delitos de Abuso Sexual "/>
    <s v="Periodo 2013-2019"/>
    <s v="Porcentaje"/>
    <s v="Poder Judicial"/>
    <x v="249"/>
    <s v="El gráfico muestra la tendencia de la Variación Trimestral de Sentencias Dictadas (%) en la Región de Los Lagos por Juzgado de Garantía, durante el Periodo 2013-2019 de acuerdo a datos provenientes del Poder Judicial de Chile."/>
    <s v="Gráfico de Evolución"/>
    <s v="abuso sexual delitos género violencia mujer mujeres casos víctimas detenciones sentencias lagos"/>
    <x v="320"/>
    <s v="100-C-10"/>
    <e v="#REF!"/>
    <e v="#VALUE!"/>
    <e v="#VALUE!"/>
    <e v="#VALUE!"/>
    <e v="#VALUE!"/>
    <e v="#VALUE!"/>
    <e v="#VALUE!"/>
  </r>
  <r>
    <x v="321"/>
    <n v="300"/>
    <x v="0"/>
    <s v="Mujeres"/>
    <n v="11"/>
    <x v="5"/>
    <x v="1"/>
    <x v="1"/>
    <x v="11"/>
    <s v="Ninguno"/>
    <s v="Variación Trimestral de Sentencias Dictadas (%) por Delitos de Abuso Sexual "/>
    <s v="Periodo 2013-2019"/>
    <s v="Porcentaje"/>
    <s v="Poder Judicial"/>
    <x v="250"/>
    <s v="El gráfico muestra la tendencia de la Variación Trimestral de Sentencias Dictadas (%) en la Región de Aysén por Juzgado de Garantía, durante el Periodo 2013-2019 de acuerdo a datos provenientes del Poder Judicial de Chile."/>
    <s v="Gráfico de Evolución"/>
    <s v="abuso sexual delitos género violencia mujer mujeres casos víctimas detenciones sentencias aysén"/>
    <x v="321"/>
    <s v="100-C-11"/>
    <e v="#REF!"/>
    <e v="#VALUE!"/>
    <e v="#VALUE!"/>
    <e v="#VALUE!"/>
    <e v="#VALUE!"/>
    <e v="#VALUE!"/>
    <e v="#VALUE!"/>
  </r>
  <r>
    <x v="322"/>
    <n v="300"/>
    <x v="0"/>
    <s v="Mujeres"/>
    <n v="12"/>
    <x v="5"/>
    <x v="1"/>
    <x v="1"/>
    <x v="12"/>
    <s v="Ninguno"/>
    <s v="Variación Trimestral de Sentencias Dictadas (%) por Delitos de Abuso Sexual "/>
    <s v="Periodo 2013-2019"/>
    <s v="Porcentaje"/>
    <s v="Poder Judicial"/>
    <x v="251"/>
    <s v="El gráfico muestra la tendencia de la Variación Trimestral de Sentencias Dictadas (%) en la Región de Magallanes por Juzgado de Garantía, durante el Periodo 2013-2019 de acuerdo a datos provenientes del Poder Judicial de Chile."/>
    <s v="Gráfico de Evolución"/>
    <s v="abuso sexual delitos género violencia mujer mujeres casos víctimas detenciones sentencias magallanes"/>
    <x v="322"/>
    <s v="100-C-12"/>
    <e v="#REF!"/>
    <e v="#VALUE!"/>
    <e v="#VALUE!"/>
    <e v="#VALUE!"/>
    <e v="#VALUE!"/>
    <e v="#VALUE!"/>
    <e v="#VALUE!"/>
  </r>
  <r>
    <x v="323"/>
    <n v="300"/>
    <x v="0"/>
    <s v="Mujeres"/>
    <n v="13"/>
    <x v="5"/>
    <x v="1"/>
    <x v="1"/>
    <x v="13"/>
    <s v="Ninguno"/>
    <s v="Variación Trimestral de Sentencias Dictadas (%) por Delitos de Abuso Sexual "/>
    <s v="Periodo 2013-2019"/>
    <s v="Porcentaje"/>
    <s v="Poder Judicial"/>
    <x v="252"/>
    <s v="El gráfico muestra la tendencia de la Variación Trimestral de Sentencias Dictadas (%) en la Región Metropolitana por Juzgado de Garantía, durante el Periodo 2013-2019 de acuerdo a datos provenientes del Poder Judicial de Chile."/>
    <s v="Gráfico de Evolución"/>
    <s v="abuso sexual delitos género violencia mujer mujeres casos víctimas detenciones sentencias metropolitana"/>
    <x v="323"/>
    <s v="200-C-13"/>
    <e v="#REF!"/>
    <e v="#VALUE!"/>
    <e v="#VALUE!"/>
    <e v="#VALUE!"/>
    <e v="#VALUE!"/>
    <e v="#VALUE!"/>
    <e v="#VALUE!"/>
  </r>
  <r>
    <x v="324"/>
    <n v="300"/>
    <x v="0"/>
    <s v="Mujeres"/>
    <n v="14"/>
    <x v="5"/>
    <x v="1"/>
    <x v="1"/>
    <x v="14"/>
    <s v="Ninguno"/>
    <s v="Variación Trimestral de Sentencias Dictadas (%) por Delitos de Abuso Sexual "/>
    <s v="Periodo 2013-2019"/>
    <s v="Porcentaje"/>
    <s v="Poder Judicial"/>
    <x v="253"/>
    <s v="El gráfico muestra la tendencia de la Variación Trimestral de Sentencias Dictadas (%) en la Región de Los Ríos por Juzgado de Garantía, durante el Periodo 2013-2019 de acuerdo a datos provenientes del Poder Judicial de Chile."/>
    <s v="Gráfico de Evolución"/>
    <s v="abuso sexual delitos género violencia mujer mujeres casos víctimas detenciones sentencias ríos"/>
    <x v="324"/>
    <s v="100-C-14"/>
    <e v="#REF!"/>
    <e v="#VALUE!"/>
    <e v="#VALUE!"/>
    <e v="#VALUE!"/>
    <e v="#VALUE!"/>
    <e v="#VALUE!"/>
    <e v="#VALUE!"/>
  </r>
  <r>
    <x v="325"/>
    <n v="300"/>
    <x v="0"/>
    <s v="Mujeres"/>
    <n v="15"/>
    <x v="5"/>
    <x v="1"/>
    <x v="1"/>
    <x v="15"/>
    <s v="Ninguno"/>
    <s v="Variación Trimestral de Sentencias Dictadas (%) por Delitos de Abuso Sexual "/>
    <s v="Periodo 2013-2019"/>
    <s v="Porcentaje"/>
    <s v="Poder Judicial"/>
    <x v="254"/>
    <s v="El gráfico muestra la tendencia de la Variación Trimestral de Sentencias Dictadas (%) en la Región de Arica y Parinacota por Juzgado de Garantía, durante el Periodo 2013-2019 de acuerdo a datos provenientes del Poder Judicial de Chile."/>
    <s v="Gráfico de Evolución"/>
    <s v="abuso sexual delitos género violencia mujer mujeres casos víctimas detenciones sentencias arica parinacota"/>
    <x v="325"/>
    <s v="100-C-15"/>
    <e v="#REF!"/>
    <e v="#VALUE!"/>
    <e v="#VALUE!"/>
    <e v="#VALUE!"/>
    <e v="#VALUE!"/>
    <e v="#VALUE!"/>
    <e v="#VALUE!"/>
  </r>
  <r>
    <x v="326"/>
    <n v="300"/>
    <x v="0"/>
    <s v="Mujeres"/>
    <n v="16"/>
    <x v="5"/>
    <x v="1"/>
    <x v="1"/>
    <x v="16"/>
    <s v="Ninguno"/>
    <s v="Variación Trimestral de Sentencias Dictadas (%) por Delitos de Abuso Sexual "/>
    <s v="Periodo 2013-2019"/>
    <s v="Porcentaje"/>
    <s v="Poder Judicial"/>
    <x v="255"/>
    <s v="El gráfico muestra la tendencia de la Variación Trimestral de Sentencias Dictadas (%) en la Región de Ñuble por Juzgado de Garantía, durante el Periodo 2013-2019 de acuerdo a datos provenientes del Poder Judicial de Chile."/>
    <s v="Gráfico de Evolución"/>
    <s v="abuso sexual delitos género violencia mujer mujeres casos víctimas detenciones sentencias ñuble"/>
    <x v="326"/>
    <s v="100-C-16"/>
    <e v="#REF!"/>
    <e v="#VALUE!"/>
    <e v="#VALUE!"/>
    <e v="#VALUE!"/>
    <e v="#VALUE!"/>
    <e v="#VALUE!"/>
    <e v="#VALUE!"/>
  </r>
  <r>
    <x v="327"/>
    <n v="300"/>
    <x v="0"/>
    <s v="Mujeres"/>
    <n v="270102004"/>
    <x v="5"/>
    <x v="1"/>
    <x v="0"/>
    <x v="0"/>
    <s v="Región"/>
    <s v="Variación Trimestral de Sentencias Dictadas (%) por Delitos de Abuso Sexual "/>
    <s v="Periodo 2013-2019"/>
    <s v="Porcentaje"/>
    <s v="Poder Judicial"/>
    <x v="256"/>
    <s v="El gráfico muestra la evolución temporal de la Variación Trimestral de Sentencias Dictadas (%) para el Delito de Abuso Sexual Adulto por región, durante el Periodo 2013-2019 de acuerdo a datos provenientes del Poder Judicial de Chile."/>
    <s v="Gráfico de Evolución"/>
    <s v="abuso sexual delitos género violencia mujer mujeres casos víctimas detenciones sentencias"/>
    <x v="327"/>
    <s v="300-R"/>
    <e v="#REF!"/>
    <e v="#VALUE!"/>
    <e v="#VALUE!"/>
    <e v="#VALUE!"/>
    <e v="#VALUE!"/>
    <e v="#VALUE!"/>
    <e v="#VALUE!"/>
  </r>
  <r>
    <x v="328"/>
    <n v="300"/>
    <x v="0"/>
    <s v="Mujeres"/>
    <n v="270102005"/>
    <x v="5"/>
    <x v="1"/>
    <x v="0"/>
    <x v="0"/>
    <s v="Región"/>
    <s v="Variación Trimestral de Sentencias Dictadas (%) por Delitos de Abuso Sexual "/>
    <s v="Periodo 2013-2019"/>
    <s v="Porcentaje"/>
    <s v="Poder Judicial"/>
    <x v="257"/>
    <s v="El gráfico muestra la evolución temporal de la Variación Trimestral de Sentencias Dictadas (%) para el Delito de Abuso Sexual Calificado c/Introduccion Objetos O Uso Animal por región, durante el Periodo 2013-2019 de acuerdo a datos provenientes del Poder Judicial de Chile."/>
    <s v="Gráfico de Evolución"/>
    <s v="abuso sexual delitos género violencia mujer mujeres casos víctimas detenciones sentencias"/>
    <x v="328"/>
    <s v="300-R"/>
    <e v="#REF!"/>
    <e v="#VALUE!"/>
    <e v="#VALUE!"/>
    <e v="#VALUE!"/>
    <e v="#VALUE!"/>
    <e v="#VALUE!"/>
    <e v="#VALUE!"/>
  </r>
  <r>
    <x v="329"/>
    <n v="300"/>
    <x v="0"/>
    <s v="Mujeres"/>
    <n v="270102006"/>
    <x v="5"/>
    <x v="1"/>
    <x v="0"/>
    <x v="0"/>
    <s v="Región"/>
    <s v="Variación Trimestral de Sentencias Dictadas (%) por Delitos de Abuso Sexual "/>
    <s v="Periodo 2013-2019"/>
    <s v="Porcentaje"/>
    <s v="Poder Judicial"/>
    <x v="258"/>
    <s v="El gráfico muestra la evolución temporal de la Variación Trimestral de Sentencias Dictadas (%) para el Delito de Abuso Sexual Con Contacto De Menor De 14 Años por región, durante el Periodo 2013-2019 de acuerdo a datos provenientes del Poder Judicial de Chile."/>
    <s v="Gráfico de Evolución"/>
    <s v="abuso sexual delitos género violencia mujer mujeres casos víctimas detenciones sentencias"/>
    <x v="329"/>
    <s v="300-R"/>
    <e v="#REF!"/>
    <e v="#VALUE!"/>
    <e v="#VALUE!"/>
    <e v="#VALUE!"/>
    <e v="#VALUE!"/>
    <e v="#VALUE!"/>
    <e v="#VALUE!"/>
  </r>
  <r>
    <x v="330"/>
    <n v="300"/>
    <x v="0"/>
    <s v="Mujeres"/>
    <n v="270102007"/>
    <x v="5"/>
    <x v="1"/>
    <x v="0"/>
    <x v="0"/>
    <s v="Región"/>
    <s v="Variación Trimestral de Sentencias Dictadas (%) por Delitos de Abuso Sexual "/>
    <s v="Periodo 2013-2019"/>
    <s v="Porcentaje"/>
    <s v="Poder Judicial"/>
    <x v="259"/>
    <s v="El gráfico muestra la evolución temporal de la Variación Trimestral de Sentencias Dictadas (%) para el Delito de Abuso Sexual De 14 Años A Menor De 18 Años Con Circunstancia Estupro por región, durante el Periodo 2013-2019 de acuerdo a datos provenientes del Poder Judicial de Chile."/>
    <s v="Gráfico de Evolución"/>
    <s v="abuso sexual delitos género violencia mujer mujeres casos víctimas detenciones sentencias"/>
    <x v="330"/>
    <s v="300-R"/>
    <e v="#REF!"/>
    <e v="#VALUE!"/>
    <e v="#VALUE!"/>
    <e v="#VALUE!"/>
    <e v="#VALUE!"/>
    <e v="#VALUE!"/>
    <e v="#VALUE!"/>
  </r>
  <r>
    <x v="331"/>
    <n v="300"/>
    <x v="0"/>
    <s v="Mujeres"/>
    <n v="270102008"/>
    <x v="5"/>
    <x v="1"/>
    <x v="0"/>
    <x v="0"/>
    <s v="Región"/>
    <s v="Variación Trimestral de Sentencias Dictadas (%) por Delitos de Abuso Sexual "/>
    <s v="Periodo 2013-2019"/>
    <s v="Porcentaje"/>
    <s v="Poder Judicial"/>
    <x v="260"/>
    <s v="El gráfico muestra la evolución temporal de la Variación Trimestral de Sentencias Dictadas (%) para el Delito de Abuso Sexual De Mayor De 14 (Con Circunstancias De Violación) por región, durante el Periodo 2013-2019 de acuerdo a datos provenientes del Poder Judicial de Chile."/>
    <s v="Gráfico de Evolución"/>
    <s v="abuso sexual delitos género violencia mujer mujeres casos víctimas detenciones sentencias"/>
    <x v="331"/>
    <s v="300-R"/>
    <e v="#REF!"/>
    <e v="#VALUE!"/>
    <e v="#VALUE!"/>
    <e v="#VALUE!"/>
    <e v="#VALUE!"/>
    <e v="#VALUE!"/>
    <e v="#VALUE!"/>
  </r>
  <r>
    <x v="332"/>
    <n v="300"/>
    <x v="0"/>
    <s v="Mujeres"/>
    <n v="270102009"/>
    <x v="5"/>
    <x v="1"/>
    <x v="0"/>
    <x v="0"/>
    <s v="Región"/>
    <s v="Variación Trimestral de Sentencias Dictadas (%) por Delitos de Abuso Sexual "/>
    <s v="Periodo 2013-2019"/>
    <s v="Porcentaje"/>
    <s v="Poder Judicial"/>
    <x v="261"/>
    <s v="El gráfico muestra la evolución temporal de la Variación Trimestral de Sentencias Dictadas (%) para el Delito de Abuso Sexual Mayor 14 /Sorpresa Sin Consentimiento por región, durante el Periodo 2013-2019 de acuerdo a datos provenientes del Poder Judicial de Chile."/>
    <s v="Gráfico de Evolución"/>
    <s v="abuso sexual delitos género violencia mujer mujeres casos víctimas detenciones sentencias"/>
    <x v="332"/>
    <s v="300-R"/>
    <e v="#REF!"/>
    <e v="#VALUE!"/>
    <e v="#VALUE!"/>
    <e v="#VALUE!"/>
    <e v="#VALUE!"/>
    <e v="#VALUE!"/>
    <e v="#VALUE!"/>
  </r>
  <r>
    <x v="333"/>
    <n v="300"/>
    <x v="0"/>
    <s v="Mujeres"/>
    <n v="270102010"/>
    <x v="5"/>
    <x v="1"/>
    <x v="0"/>
    <x v="0"/>
    <s v="Región"/>
    <s v="Variación Trimestral de Sentencias Dictadas (%) por Delitos de Abuso Sexual "/>
    <s v="Periodo 2013-2019"/>
    <s v="Porcentaje"/>
    <s v="Poder Judicial"/>
    <x v="262"/>
    <s v="El gráfico muestra la evolución temporal de la Variación Trimestral de Sentencias Dictadas (%) para el Delito de Abuso Sexual Sin Contacto por región, durante el Periodo 2013-2019 de acuerdo a datos provenientes del Poder Judicial de Chile."/>
    <s v="Gráfico de Evolución"/>
    <s v="abuso sexual delitos género violencia mujer mujeres casos víctimas detenciones sentencias"/>
    <x v="333"/>
    <s v="300-R"/>
    <e v="#REF!"/>
    <e v="#VALUE!"/>
    <e v="#VALUE!"/>
    <e v="#VALUE!"/>
    <e v="#VALUE!"/>
    <e v="#VALUE!"/>
    <e v="#VALUE!"/>
  </r>
  <r>
    <x v="334"/>
    <n v="300"/>
    <x v="0"/>
    <s v="Mujeres"/>
    <n v="270102016"/>
    <x v="5"/>
    <x v="1"/>
    <x v="0"/>
    <x v="0"/>
    <s v="Región"/>
    <s v="Variación Trimestral de Sentencias Dictadas (%) por Delitos de Abuso Sexual "/>
    <s v="Periodo 2013-2019"/>
    <s v="Porcentaje"/>
    <s v="Poder Judicial"/>
    <x v="263"/>
    <s v="El gráfico muestra la evolución temporal de la Variación Trimestral de Sentencias Dictadas (%) para el Delito de Acoso Sexual Lugares Públicos /Libre Acceso Público por región, durante el Periodo 2013-2019 de acuerdo a datos provenientes del Poder Judicial de Chile."/>
    <s v="Gráfico de Evolución"/>
    <s v="abuso sexual delitos género violencia mujer mujeres casos víctimas detenciones sentencias"/>
    <x v="334"/>
    <s v="300-R"/>
    <e v="#REF!"/>
    <e v="#VALUE!"/>
    <e v="#VALUE!"/>
    <e v="#VALUE!"/>
    <e v="#VALUE!"/>
    <e v="#VALUE!"/>
    <e v="#VALUE!"/>
  </r>
  <r>
    <x v="335"/>
    <n v="300"/>
    <x v="0"/>
    <s v="Mujeres"/>
    <n v="270102004"/>
    <x v="5"/>
    <x v="1"/>
    <x v="0"/>
    <x v="0"/>
    <s v="Ninguno"/>
    <s v="Variación Trimestral de Sentencias Dictadas (%) por Delitos de Abuso Sexual "/>
    <s v="Periodo 2013-2019"/>
    <s v="Porcentaje"/>
    <s v="Poder Judicial"/>
    <x v="264"/>
    <s v="El gráfico muestra la evolución temporal de la Variación Trimestral de Sentencias Dictadas (%) para el Delito de Abuso Sexual Adulto por Juzgado de Garantía, durante el Periodo 2013-2019 de acuerdo a datos provenientes del Poder Judicial de Chile."/>
    <s v="Gráfico de Evolución"/>
    <s v="abuso sexual delitos género violencia mujer mujeres casos víctimas detenciones sentencias juzgado garantía"/>
    <x v="335"/>
    <s v="300-C"/>
    <e v="#REF!"/>
    <e v="#VALUE!"/>
    <e v="#VALUE!"/>
    <e v="#VALUE!"/>
    <e v="#VALUE!"/>
    <e v="#VALUE!"/>
    <e v="#VALUE!"/>
  </r>
  <r>
    <x v="336"/>
    <n v="300"/>
    <x v="0"/>
    <s v="Mujeres"/>
    <n v="270102005"/>
    <x v="5"/>
    <x v="1"/>
    <x v="0"/>
    <x v="0"/>
    <s v="Ninguno"/>
    <s v="Variación Trimestral de Sentencias Dictadas (%) por Delitos de Abuso Sexual "/>
    <s v="Periodo 2013-2019"/>
    <s v="Porcentaje"/>
    <s v="Poder Judicial"/>
    <x v="265"/>
    <s v="El gráfico muestra la evolución temporal de la Variación Trimestral de Sentencias Dictadas (%) para el Delito de Abuso Sexual Calificado c/Introduccion Objetos O Uso Animal por Juzgado de Garantía, durante el Periodo 2013-2019 de acuerdo a datos provenientes del Poder Judicial de Chile."/>
    <s v="Gráfico de Evolución"/>
    <s v="abuso sexual delitos género violencia mujer mujeres casos víctimas detenciones sentencias juzgado garantía"/>
    <x v="336"/>
    <s v="300-C"/>
    <e v="#REF!"/>
    <e v="#VALUE!"/>
    <e v="#VALUE!"/>
    <e v="#VALUE!"/>
    <e v="#VALUE!"/>
    <e v="#VALUE!"/>
    <e v="#VALUE!"/>
  </r>
  <r>
    <x v="337"/>
    <n v="300"/>
    <x v="0"/>
    <s v="Mujeres"/>
    <n v="270102006"/>
    <x v="5"/>
    <x v="1"/>
    <x v="0"/>
    <x v="0"/>
    <s v="Ninguno"/>
    <s v="Variación Trimestral de Sentencias Dictadas (%) por Delitos de Abuso Sexual "/>
    <s v="Periodo 2013-2019"/>
    <s v="Porcentaje"/>
    <s v="Poder Judicial"/>
    <x v="266"/>
    <s v="El gráfico muestra la evolución temporal de la Variación Trimestral de Sentencias Dictadas (%) para el Delito de Abuso Sexual Con Contacto De Menor De 14 Años por Juzgado de Garantía, durante el Periodo 2013-2019 de acuerdo a datos provenientes del Poder Judicial de Chile."/>
    <s v="Gráfico de Evolución"/>
    <s v="abuso sexual delitos género violencia mujer mujeres casos víctimas detenciones sentencias juzgado garantía"/>
    <x v="337"/>
    <s v="300-C"/>
    <e v="#REF!"/>
    <e v="#VALUE!"/>
    <e v="#VALUE!"/>
    <e v="#VALUE!"/>
    <e v="#VALUE!"/>
    <e v="#VALUE!"/>
    <e v="#VALUE!"/>
  </r>
  <r>
    <x v="338"/>
    <n v="300"/>
    <x v="0"/>
    <s v="Mujeres"/>
    <n v="270102007"/>
    <x v="5"/>
    <x v="1"/>
    <x v="0"/>
    <x v="0"/>
    <s v="Ninguno"/>
    <s v="Variación Trimestral de Sentencias Dictadas (%) por Delitos de Abuso Sexual "/>
    <s v="Periodo 2013-2019"/>
    <s v="Porcentaje"/>
    <s v="Poder Judicial"/>
    <x v="267"/>
    <s v="El gráfico muestra la evolución temporal de la Variación Trimestral de Sentencias Dictadas (%) para el Delito de Abuso Sexual De 14 Años A Menor De 18 Años Con Circunstancia Estupro por Juzgado de Garantía, durante el Periodo 2013-2019 de acuerdo a datos provenientes del Poder Judicial de Chile."/>
    <s v="Gráfico de Evolución"/>
    <s v="abuso sexual delitos género violencia mujer mujeres casos víctimas detenciones sentencias juzgado garantía"/>
    <x v="338"/>
    <s v="300-C"/>
    <e v="#REF!"/>
    <e v="#VALUE!"/>
    <e v="#VALUE!"/>
    <e v="#VALUE!"/>
    <e v="#VALUE!"/>
    <e v="#VALUE!"/>
    <e v="#VALUE!"/>
  </r>
  <r>
    <x v="339"/>
    <n v="300"/>
    <x v="0"/>
    <s v="Mujeres"/>
    <n v="270102008"/>
    <x v="5"/>
    <x v="1"/>
    <x v="0"/>
    <x v="0"/>
    <s v="Ninguno"/>
    <s v="Variación Trimestral de Sentencias Dictadas (%) por Delitos de Abuso Sexual "/>
    <s v="Periodo 2013-2019"/>
    <s v="Porcentaje"/>
    <s v="Poder Judicial"/>
    <x v="268"/>
    <s v="El gráfico muestra la evolución temporal de la Variación Trimestral de Sentencias Dictadas (%) para el Delito de Abuso Sexual De Mayor De 14 (Con Circunstancias De Violación) por Juzgado de Garantía, durante el Periodo 2013-2019 de acuerdo a datos provenientes del Poder Judicial de Chile."/>
    <s v="Gráfico de Evolución"/>
    <s v="abuso sexual delitos género violencia mujer mujeres casos víctimas detenciones sentencias juzgado garantía"/>
    <x v="339"/>
    <s v="300-C"/>
    <e v="#REF!"/>
    <e v="#VALUE!"/>
    <e v="#VALUE!"/>
    <e v="#VALUE!"/>
    <e v="#VALUE!"/>
    <e v="#VALUE!"/>
    <e v="#VALUE!"/>
  </r>
  <r>
    <x v="340"/>
    <n v="300"/>
    <x v="0"/>
    <s v="Mujeres"/>
    <n v="270102009"/>
    <x v="5"/>
    <x v="1"/>
    <x v="0"/>
    <x v="0"/>
    <s v="Ninguno"/>
    <s v="Variación Trimestral de Sentencias Dictadas (%) por Delitos de Abuso Sexual "/>
    <s v="Periodo 2013-2019"/>
    <s v="Porcentaje"/>
    <s v="Poder Judicial"/>
    <x v="269"/>
    <s v="El gráfico muestra la evolución temporal de la Variación Trimestral de Sentencias Dictadas (%) para el Delito de Abuso Sexual Mayor 14 /Sorpresa Sin Consentimiento por Juzgado de Garantía, durante el Periodo 2013-2019 de acuerdo a datos provenientes del Poder Judicial de Chile."/>
    <s v="Gráfico de Evolución"/>
    <s v="abuso sexual delitos género violencia mujer mujeres casos víctimas detenciones sentencias juzgado garantía"/>
    <x v="340"/>
    <s v="300-C"/>
    <e v="#REF!"/>
    <e v="#VALUE!"/>
    <e v="#VALUE!"/>
    <e v="#VALUE!"/>
    <e v="#VALUE!"/>
    <e v="#VALUE!"/>
    <e v="#VALUE!"/>
  </r>
  <r>
    <x v="341"/>
    <n v="300"/>
    <x v="0"/>
    <s v="Mujeres"/>
    <n v="270102010"/>
    <x v="5"/>
    <x v="1"/>
    <x v="0"/>
    <x v="0"/>
    <s v="Ninguno"/>
    <s v="Variación Trimestral de Sentencias Dictadas (%) por Delitos de Abuso Sexual "/>
    <s v="Periodo 2013-2019"/>
    <s v="Porcentaje"/>
    <s v="Poder Judicial"/>
    <x v="270"/>
    <s v="El gráfico muestra la evolución temporal de la Variación Trimestral de Sentencias Dictadas (%) para el Delito de Abuso Sexual Sin Contacto por Juzgado de Garantía, durante el Periodo 2013-2019 de acuerdo a datos provenientes del Poder Judicial de Chile."/>
    <s v="Gráfico de Evolución"/>
    <s v="abuso sexual delitos género violencia mujer mujeres casos víctimas detenciones sentencias juzgado garantía"/>
    <x v="341"/>
    <s v="300-C"/>
    <e v="#REF!"/>
    <e v="#VALUE!"/>
    <e v="#VALUE!"/>
    <e v="#VALUE!"/>
    <e v="#VALUE!"/>
    <e v="#VALUE!"/>
    <e v="#VALUE!"/>
  </r>
  <r>
    <x v="342"/>
    <n v="300"/>
    <x v="0"/>
    <s v="Mujeres"/>
    <n v="270102016"/>
    <x v="5"/>
    <x v="1"/>
    <x v="0"/>
    <x v="0"/>
    <s v="Ninguno"/>
    <s v="Variación Trimestral de Sentencias Dictadas (%) por Delitos de Abuso Sexual "/>
    <s v="Periodo 2013-2019"/>
    <s v="Porcentaje"/>
    <s v="Poder Judicial"/>
    <x v="271"/>
    <s v="El gráfico muestra la evolución temporal de la Variación Trimestral de Sentencias Dictadas (%) para el Delito de Acoso Sexual Lugares Públicos /Libre Acceso Público por Juzgado de Garantía, durante el Periodo 2013-2019 de acuerdo a datos provenientes del Poder Judicial de Chile."/>
    <s v="Gráfico de Evolución"/>
    <s v="abuso sexual delitos género violencia mujer mujeres casos víctimas detenciones sentencias juzgado garantía"/>
    <x v="342"/>
    <s v="300-C"/>
    <e v="#REF!"/>
    <e v="#VALUE!"/>
    <e v="#VALUE!"/>
    <e v="#VALUE!"/>
    <e v="#VALUE!"/>
    <e v="#VALUE!"/>
    <e v="#VALUE!"/>
  </r>
  <r>
    <x v="343"/>
    <n v="300"/>
    <x v="0"/>
    <s v="Mujeres"/>
    <n v="270102003"/>
    <x v="5"/>
    <x v="1"/>
    <x v="0"/>
    <x v="0"/>
    <s v="Región"/>
    <s v="Mapa de Sentencias Dictadas Acumuladas"/>
    <s v="Periodo 2013-2019"/>
    <s v="Número de sentencias"/>
    <s v="Poder Judicial"/>
    <x v="272"/>
    <s v="Se presenta la distribución geográfica de la frecuencia de sentencias para el periodo a través del Mapa de Sentencias Dictadas Acumuladas para el Delito de Abuso Sexual (Sólo Crimen) por región, durante el Periodo 2013-2019 de acuerdo a datos provenientes del Poder Judicial de Chile."/>
    <s v="Mapa de calor"/>
    <s v="abuso sexual delitos género violencia mujer mujeres casos víctimas detenciones sentencias mapa"/>
    <x v="343"/>
    <s v="300-R"/>
    <e v="#REF!"/>
    <e v="#VALUE!"/>
    <e v="#VALUE!"/>
    <e v="#VALUE!"/>
    <e v="#VALUE!"/>
    <e v="#VALUE!"/>
    <e v="#VALUE!"/>
  </r>
  <r>
    <x v="344"/>
    <n v="300"/>
    <x v="0"/>
    <s v="Mujeres"/>
    <n v="270102004"/>
    <x v="5"/>
    <x v="1"/>
    <x v="0"/>
    <x v="0"/>
    <s v="Región"/>
    <s v="Mapa de Sentencias Dictadas Acumuladas"/>
    <s v="Periodo 2013-2019"/>
    <s v="Número de sentencias"/>
    <s v="Poder Judicial"/>
    <x v="273"/>
    <s v="Se presenta la distribución geográfica de la frecuencia de sentencias para el periodo a través del Mapa de Sentencias Dictadas Acumuladas para el Delito de Abuso Sexual Adulto por región, durante el Periodo 2013-2019 de acuerdo a datos provenientes del Poder Judicial de Chile."/>
    <s v="Mapa de calor"/>
    <s v="abuso sexual delitos género violencia mujer mujeres casos víctimas detenciones sentencias mapa"/>
    <x v="344"/>
    <s v="300-R"/>
    <e v="#REF!"/>
    <e v="#VALUE!"/>
    <e v="#VALUE!"/>
    <e v="#VALUE!"/>
    <e v="#VALUE!"/>
    <e v="#VALUE!"/>
    <e v="#VALUE!"/>
  </r>
  <r>
    <x v="345"/>
    <n v="300"/>
    <x v="0"/>
    <s v="Mujeres"/>
    <n v="270102005"/>
    <x v="5"/>
    <x v="1"/>
    <x v="0"/>
    <x v="0"/>
    <s v="Región"/>
    <s v="Mapa de Sentencias Dictadas Acumuladas"/>
    <s v="Periodo 2013-2019"/>
    <s v="Número de sentencias"/>
    <s v="Poder Judicial"/>
    <x v="274"/>
    <s v="Se presenta la distribución geográfica de la frecuencia de sentencias para el periodo a través del Mapa de Sentencias Dictadas Acumuladas para el Delito de Abuso Sexual Calificado c/Introduccion Objetos O Uso Animal por región, durante el Periodo 2013-2019 de acuerdo a datos provenientes del Poder Judicial de Chile."/>
    <s v="Mapa de calor"/>
    <s v="abuso sexual delitos género violencia mujer mujeres casos víctimas detenciones sentencias mapa"/>
    <x v="345"/>
    <s v="300-R"/>
    <e v="#REF!"/>
    <e v="#VALUE!"/>
    <e v="#VALUE!"/>
    <e v="#VALUE!"/>
    <e v="#VALUE!"/>
    <e v="#VALUE!"/>
    <e v="#VALUE!"/>
  </r>
  <r>
    <x v="346"/>
    <n v="300"/>
    <x v="0"/>
    <s v="Mujeres"/>
    <n v="270102006"/>
    <x v="5"/>
    <x v="1"/>
    <x v="0"/>
    <x v="0"/>
    <s v="Región"/>
    <s v="Mapa de Sentencias Dictadas Acumuladas"/>
    <s v="Periodo 2013-2019"/>
    <s v="Número de sentencias"/>
    <s v="Poder Judicial"/>
    <x v="275"/>
    <s v="Se presenta la distribución geográfica de la frecuencia de sentencias para el periodo a través del Mapa de Sentencias Dictadas Acumuladas para el Delito de Abuso Sexual Con Contacto De Menor De 14 Años por región, durante el Periodo 2013-2019 de acuerdo a datos provenientes del Poder Judicial de Chile."/>
    <s v="Mapa de calor"/>
    <s v="abuso sexual delitos género violencia mujer mujeres casos víctimas detenciones sentencias mapa"/>
    <x v="346"/>
    <s v="300-R"/>
    <e v="#REF!"/>
    <e v="#VALUE!"/>
    <e v="#VALUE!"/>
    <e v="#VALUE!"/>
    <e v="#VALUE!"/>
    <e v="#VALUE!"/>
    <e v="#VALUE!"/>
  </r>
  <r>
    <x v="347"/>
    <n v="300"/>
    <x v="0"/>
    <s v="Mujeres"/>
    <n v="270102007"/>
    <x v="5"/>
    <x v="1"/>
    <x v="0"/>
    <x v="0"/>
    <s v="Región"/>
    <s v="Mapa de Sentencias Dictadas Acumuladas"/>
    <s v="Periodo 2013-2019"/>
    <s v="Número de sentencias"/>
    <s v="Poder Judicial"/>
    <x v="276"/>
    <s v="Se presenta la distribución geográfica de la frecuencia de sentencias para el periodo a través del Mapa de Sentencias Dictadas Acumuladas para el Delito de  Abuso Sexual De 14 Años A Menor De 18 Años Con Circunstancia Estupro por región, durante el Periodo 2013-2019 de acuerdo a datos provenientes del Poder Judicial de Chile."/>
    <s v="Mapa de calor"/>
    <s v="abuso sexual delitos género violencia mujer mujeres casos víctimas detenciones sentencias mapa"/>
    <x v="347"/>
    <s v="300-R"/>
    <e v="#REF!"/>
    <e v="#VALUE!"/>
    <e v="#VALUE!"/>
    <e v="#VALUE!"/>
    <e v="#VALUE!"/>
    <e v="#VALUE!"/>
    <e v="#VALUE!"/>
  </r>
  <r>
    <x v="348"/>
    <n v="300"/>
    <x v="0"/>
    <s v="Mujeres"/>
    <n v="270102008"/>
    <x v="5"/>
    <x v="1"/>
    <x v="0"/>
    <x v="0"/>
    <s v="Región"/>
    <s v="Mapa de Sentencias Dictadas Acumuladas"/>
    <s v="Periodo 2013-2019"/>
    <s v="Número de sentencias"/>
    <s v="Poder Judicial"/>
    <x v="277"/>
    <s v="Se presenta la distribución geográfica de la frecuencia de sentencias para el periodo a través del Mapa de Sentencias Dictadas Acumuladas para el Delito de Abuso Sexual De Mayor De 14 (Con Circunstancias De Violación) por región, durante el Periodo 2013-2019 de acuerdo a datos provenientes del Poder Judicial de Chile."/>
    <s v="Mapa de calor"/>
    <s v="abuso sexual delitos género violencia mujer mujeres casos víctimas detenciones sentencias mapa"/>
    <x v="348"/>
    <s v="300-R"/>
    <e v="#REF!"/>
    <e v="#VALUE!"/>
    <e v="#VALUE!"/>
    <e v="#VALUE!"/>
    <e v="#VALUE!"/>
    <e v="#VALUE!"/>
    <e v="#VALUE!"/>
  </r>
  <r>
    <x v="349"/>
    <n v="300"/>
    <x v="0"/>
    <s v="Mujeres"/>
    <n v="270102009"/>
    <x v="5"/>
    <x v="1"/>
    <x v="0"/>
    <x v="0"/>
    <s v="Región"/>
    <s v="Mapa de Sentencias Dictadas Acumuladas"/>
    <s v="Periodo 2013-2019"/>
    <s v="Número de sentencias"/>
    <s v="Poder Judicial"/>
    <x v="278"/>
    <s v="Se presenta la distribución geográfica de la frecuencia de sentencias para el periodo a través del Mapa de Sentencias Dictadas Acumuladas para el Delito de Abuso Sexual Mayor 14 /Sorpresa Sin Consentimiento por región, durante el Periodo 2013-2019 de acuerdo a datos provenientes del Poder Judicial de Chile."/>
    <s v="Mapa de calor"/>
    <s v="abuso sexual delitos género violencia mujer mujeres casos víctimas detenciones sentencias mapa"/>
    <x v="349"/>
    <s v="300-R"/>
    <e v="#REF!"/>
    <e v="#VALUE!"/>
    <e v="#VALUE!"/>
    <e v="#VALUE!"/>
    <e v="#VALUE!"/>
    <e v="#VALUE!"/>
    <e v="#VALUE!"/>
  </r>
  <r>
    <x v="350"/>
    <n v="300"/>
    <x v="0"/>
    <s v="Mujeres"/>
    <n v="270102010"/>
    <x v="5"/>
    <x v="1"/>
    <x v="0"/>
    <x v="0"/>
    <s v="Región"/>
    <s v="Mapa de Sentencias Dictadas Acumuladas"/>
    <s v="Periodo 2013-2019"/>
    <s v="Número de sentencias"/>
    <s v="Poder Judicial"/>
    <x v="279"/>
    <s v="Se presenta la distribución geográfica de la frecuencia de sentencias para el periodo a través del Mapa de Sentencias Dictadas Acumuladas para el Delito de Abuso Sexual Sin Contacto por región, durante el Periodo 2013-2019 de acuerdo a datos provenientes del Poder Judicial de Chile."/>
    <s v="Mapa de calor"/>
    <s v="abuso sexual delitos género violencia mujer mujeres casos víctimas detenciones sentencias mapa"/>
    <x v="350"/>
    <s v="300-R"/>
    <e v="#REF!"/>
    <e v="#VALUE!"/>
    <e v="#VALUE!"/>
    <e v="#VALUE!"/>
    <e v="#VALUE!"/>
    <e v="#VALUE!"/>
    <e v="#VALUE!"/>
  </r>
  <r>
    <x v="351"/>
    <n v="300"/>
    <x v="0"/>
    <s v="Mujeres"/>
    <n v="270102016"/>
    <x v="5"/>
    <x v="1"/>
    <x v="0"/>
    <x v="0"/>
    <s v="Región"/>
    <s v="Mapa de Sentencias Dictadas Acumuladas"/>
    <s v="Periodo 2013-2019"/>
    <s v="Número de sentencias"/>
    <s v="Poder Judicial"/>
    <x v="280"/>
    <s v="Se presenta la distribución geográfica de la frecuencia de sentencias para el periodo a través del Mapa de Sentencias Dictadas Acumuladas para el Delito de Acoso Sexual Lugares Públicos /Libre Acceso Público por región, durante el Periodo 2013-2019 de acuerdo a datos provenientes del Poder Judicial de Chile."/>
    <s v="Mapa de calor"/>
    <s v="abuso sexual delitos género violencia mujer mujeres casos víctimas detenciones sentencias mapa"/>
    <x v="351"/>
    <s v="300-R"/>
    <e v="#REF!"/>
    <e v="#VALUE!"/>
    <e v="#VALUE!"/>
    <e v="#VALUE!"/>
    <e v="#VALUE!"/>
    <e v="#VALUE!"/>
    <e v="#VALUE!"/>
  </r>
  <r>
    <x v="352"/>
    <n v="300"/>
    <x v="0"/>
    <s v="Mujeres"/>
    <n v="270102005"/>
    <x v="5"/>
    <x v="1"/>
    <x v="0"/>
    <x v="0"/>
    <s v="Región"/>
    <s v="Mapa de Sentencias Dictadas"/>
    <s v="Año 2019"/>
    <s v="Número de sentencias"/>
    <s v="Poder Judicial"/>
    <x v="281"/>
    <s v="Se presenta la distribución geográfica de la frecuencia de sentencias para el último año informado a través del Mapa de Sentencias Dictadas para el Delito de Abuso Sexual Calificado c/Introduccion Objetos O Uso Animal por región, durante el Año 2019 de acuerdo a datos provenientes del Poder Judicial de Chile."/>
    <s v="Mapa de calor"/>
    <s v="abuso sexual delitos género violencia mujer mujeres casos víctimas detenciones sentencias mapa"/>
    <x v="352"/>
    <s v="300-R"/>
    <e v="#REF!"/>
    <e v="#VALUE!"/>
    <e v="#VALUE!"/>
    <e v="#VALUE!"/>
    <e v="#VALUE!"/>
    <e v="#VALUE!"/>
    <e v="#VALUE!"/>
  </r>
  <r>
    <x v="353"/>
    <n v="300"/>
    <x v="0"/>
    <s v="Mujeres"/>
    <n v="270102006"/>
    <x v="5"/>
    <x v="1"/>
    <x v="0"/>
    <x v="0"/>
    <s v="Región"/>
    <s v="Mapa de Sentencias Dictadas"/>
    <s v="Año 2019"/>
    <s v="Número de sentencias"/>
    <s v="Poder Judicial"/>
    <x v="282"/>
    <s v="Se presenta la distribución geográfica de la frecuencia de sentencias para el último año informado a través del Mapa de Sentencias Dictadas para el Delito de Abuso Sexual Con Contacto De Menor De 14 Años por región, durante el Año 2019 de acuerdo a datos provenientes del Poder Judicial de Chile."/>
    <s v="Mapa de calor"/>
    <s v="abuso sexual delitos género violencia mujer mujeres casos víctimas detenciones sentencias mapa"/>
    <x v="353"/>
    <s v="300-R"/>
    <e v="#REF!"/>
    <e v="#VALUE!"/>
    <e v="#VALUE!"/>
    <e v="#VALUE!"/>
    <e v="#VALUE!"/>
    <e v="#VALUE!"/>
    <e v="#VALUE!"/>
  </r>
  <r>
    <x v="354"/>
    <n v="300"/>
    <x v="0"/>
    <s v="Mujeres"/>
    <n v="270102007"/>
    <x v="5"/>
    <x v="1"/>
    <x v="0"/>
    <x v="0"/>
    <s v="Región"/>
    <s v="Mapa de Sentencias Dictadas"/>
    <s v="Año 2019"/>
    <s v="Número de sentencias"/>
    <s v="Poder Judicial"/>
    <x v="283"/>
    <s v="Se presenta la distribución geográfica de la frecuencia de sentencias para el último año informado a través del Mapa de Sentencias Dictadas para el Delito de Abuso Sexual De 14 Años A Menor De 18 Años Con Circunstancia Estupro por región, durante el Año 2019 de acuerdo a datos provenientes del Poder Judicial de Chile."/>
    <s v="Mapa de calor"/>
    <s v="abuso sexual delitos género violencia mujer mujeres casos víctimas detenciones sentencias mapa"/>
    <x v="354"/>
    <s v="300-R"/>
    <e v="#REF!"/>
    <e v="#VALUE!"/>
    <e v="#VALUE!"/>
    <e v="#VALUE!"/>
    <e v="#VALUE!"/>
    <e v="#VALUE!"/>
    <e v="#VALUE!"/>
  </r>
  <r>
    <x v="355"/>
    <n v="300"/>
    <x v="0"/>
    <s v="Mujeres"/>
    <n v="270102008"/>
    <x v="5"/>
    <x v="1"/>
    <x v="0"/>
    <x v="0"/>
    <s v="Región"/>
    <s v="Mapa de Sentencias Dictadas"/>
    <s v="Año 2019"/>
    <s v="Número de sentencias"/>
    <s v="Poder Judicial"/>
    <x v="284"/>
    <s v="Se presenta la distribución geográfica de la frecuencia de sentencias para el último año informado a través del Mapa de Sentencias Dictadas para el Delito de Abuso Sexual De Mayor De 14 (Con Circunstancias De Violación) por región, durante el Año 2019 de acuerdo a datos provenientes del Poder Judicial de Chile."/>
    <s v="Mapa de calor"/>
    <s v="abuso sexual delitos género violencia mujer mujeres casos víctimas detenciones sentencias mapa"/>
    <x v="355"/>
    <s v="300-R"/>
    <e v="#REF!"/>
    <e v="#VALUE!"/>
    <e v="#VALUE!"/>
    <e v="#VALUE!"/>
    <e v="#VALUE!"/>
    <e v="#VALUE!"/>
    <e v="#VALUE!"/>
  </r>
  <r>
    <x v="356"/>
    <n v="300"/>
    <x v="0"/>
    <s v="Mujeres"/>
    <n v="270102009"/>
    <x v="5"/>
    <x v="1"/>
    <x v="0"/>
    <x v="0"/>
    <s v="Región"/>
    <s v="Mapa de Sentencias Dictadas"/>
    <s v="Año 2019"/>
    <s v="Número de sentencias"/>
    <s v="Poder Judicial"/>
    <x v="285"/>
    <s v="Se presenta la distribución geográfica de la frecuencia de sentencias para el último año informado a través del Mapa de Sentencias Dictadas para el Delito de Abuso Sexual Mayor 14 /Sorpresa Sin Consentimiento por región, durante el Año 2019 de acuerdo a datos provenientes del Poder Judicial de Chile."/>
    <s v="Mapa de calor"/>
    <s v="abuso sexual delitos género violencia mujer mujeres casos víctimas detenciones sentencias mapa"/>
    <x v="356"/>
    <s v="300-R"/>
    <e v="#REF!"/>
    <e v="#VALUE!"/>
    <e v="#VALUE!"/>
    <e v="#VALUE!"/>
    <e v="#VALUE!"/>
    <e v="#VALUE!"/>
    <e v="#VALUE!"/>
  </r>
  <r>
    <x v="357"/>
    <n v="300"/>
    <x v="0"/>
    <s v="Mujeres"/>
    <n v="270102010"/>
    <x v="5"/>
    <x v="1"/>
    <x v="0"/>
    <x v="0"/>
    <s v="Región"/>
    <s v="Mapa de Sentencias Dictadas"/>
    <s v="Año 2019"/>
    <s v="Número de sentencias"/>
    <s v="Poder Judicial"/>
    <x v="286"/>
    <s v="Se presenta la distribución geográfica de la frecuencia de sentencias para el último año informado a través del Mapa de Sentencias Dictadas para el Delito de Abuso Sexual Sin Contacto por región, durante el Año 2019 de acuerdo a datos provenientes del Poder Judicial de Chile."/>
    <s v="Mapa de calor"/>
    <s v="abuso sexual delitos género violencia mujer mujeres casos víctimas detenciones sentencias mapa"/>
    <x v="357"/>
    <s v="300-R"/>
    <e v="#REF!"/>
    <e v="#VALUE!"/>
    <e v="#VALUE!"/>
    <e v="#VALUE!"/>
    <e v="#VALUE!"/>
    <e v="#VALUE!"/>
    <e v="#VALUE!"/>
  </r>
  <r>
    <x v="358"/>
    <n v="300"/>
    <x v="0"/>
    <s v="Mujeres"/>
    <n v="270102016"/>
    <x v="5"/>
    <x v="1"/>
    <x v="0"/>
    <x v="0"/>
    <s v="Región"/>
    <s v="Mapa de Sentencias Dictadas"/>
    <s v="Año 2019"/>
    <s v="Número de sentencias"/>
    <s v="Poder Judicial"/>
    <x v="287"/>
    <s v="Se presenta la distribución geográfica de la frecuencia de sentencias para el último año informado a través del Mapa de Sentencias Dictadas para el Delito de Acoso Sexual Lugares Públicos /Libre Acceso Público por región, durante el Año 2019 de acuerdo a datos provenientes del Poder Judicial de Chile."/>
    <s v="Mapa de calor"/>
    <s v="abuso sexual delitos género violencia mujer mujeres casos víctimas detenciones sentencias mapa"/>
    <x v="358"/>
    <s v="300-R"/>
    <e v="#REF!"/>
    <e v="#VALUE!"/>
    <e v="#VALUE!"/>
    <e v="#VALUE!"/>
    <e v="#VALUE!"/>
    <e v="#VALUE!"/>
    <e v="#VALUE!"/>
  </r>
  <r>
    <x v="359"/>
    <n v="300"/>
    <x v="0"/>
    <s v="Mujeres"/>
    <s v="0"/>
    <x v="5"/>
    <x v="1"/>
    <x v="0"/>
    <x v="0"/>
    <s v="Región"/>
    <s v="Mapa de Sentencias Dictadas Acumuladas"/>
    <s v="Periodo 2013-2019"/>
    <s v="Número de sentencias"/>
    <s v="Poder Judicial"/>
    <x v="288"/>
    <s v="Se presenta la distribución geográfica de la frecuencia de sentencias para el periodo a través del Mapa de Sentencias Dictadas Acumuladas para la tipología de Delitos Sexuales por región, durante el Periodo 2013-2019, de acuerdo a datos provenientes del Poder Judicial de Chile."/>
    <s v="Mapa de calor"/>
    <s v="abuso sexual delitos género violencia mujer mujeres casos víctimas detenciones sentencias mapa"/>
    <x v="359"/>
    <s v="300-R"/>
    <e v="#REF!"/>
    <e v="#VALUE!"/>
    <e v="#VALUE!"/>
    <e v="#VALUE!"/>
    <e v="#VALUE!"/>
    <e v="#VALUE!"/>
    <e v="#VALUE!"/>
  </r>
  <r>
    <x v="360"/>
    <n v="300"/>
    <x v="0"/>
    <s v="Mujeres"/>
    <s v="1"/>
    <x v="5"/>
    <x v="1"/>
    <x v="0"/>
    <x v="0"/>
    <s v="Región"/>
    <s v="Mapa de Sentencias Dictadas"/>
    <s v="Año 2019"/>
    <s v="Número de sentencias"/>
    <s v="Poder Judicial"/>
    <x v="289"/>
    <s v="Se presenta la distribución geográfica de la frecuencia de sentencias para el último año informado a través del Mapa de Sentencias Dictadas para la tipología de Delitos Sexuales por región, durante el Año 2019, de acuerdo a datos provenientes del Poder Judicial de Chile."/>
    <s v="Mapa de calor"/>
    <s v="abuso sexual delitos género violencia mujer mujeres casos víctimas detenciones sentencias mapa"/>
    <x v="360"/>
    <s v="300-R"/>
    <e v="#REF!"/>
    <e v="#VALUE!"/>
    <e v="#VALUE!"/>
    <e v="#VALUE!"/>
    <e v="#VALUE!"/>
    <e v="#VALUE!"/>
    <e v="#VALUE!"/>
  </r>
  <r>
    <x v="361"/>
    <n v="300"/>
    <x v="0"/>
    <s v="Mujeres"/>
    <n v="270103"/>
    <x v="6"/>
    <x v="2"/>
    <x v="0"/>
    <x v="0"/>
    <s v="Ninguno"/>
    <s v="Sentencias Dictadas por Delitos Vinculados a la Mujer"/>
    <s v="Periodo 2013-2019"/>
    <s v="Número de sentencias"/>
    <s v="Poder Judicial"/>
    <x v="290"/>
    <s v="El gráfico muestra la evolución anual de la frecuencia de Sentencias Dictadas por Delitos Vinculados a la Mujer por región en la tipología de Delitos Violentos, para el Periodo 2013-2019 de acuerdo a datos provenientes del Poder Judicial de Chile."/>
    <s v="Gráfico de Evolución"/>
    <s v="sociedad delincuencia delitos frecuencia sentencias violentos secuestro homicidio tortura abuso lesiones mujer violencia femicidio violación regional"/>
    <x v="361"/>
    <s v="300-R"/>
    <s v="#1774B9"/>
    <e v="#VALUE!"/>
    <e v="#VALUE!"/>
    <e v="#VALUE!"/>
    <e v="#VALUE!"/>
    <e v="#VALUE!"/>
    <e v="#VALUE!"/>
  </r>
  <r>
    <x v="362"/>
    <n v="300"/>
    <x v="0"/>
    <s v="Mujeres"/>
    <n v="270104"/>
    <x v="7"/>
    <x v="2"/>
    <x v="0"/>
    <x v="0"/>
    <s v="Ninguno"/>
    <s v="Sentencias Dictadas por Delitos Vinculados a la Mujer"/>
    <s v="Periodo 2013-2019"/>
    <s v="Número de sentencias"/>
    <s v="Poder Judicial"/>
    <x v="291"/>
    <s v="El gráfico muestra la evolución anual de la frecuencia de Sentencias Dictadas por Delitos Vinculados a la Mujer por región en la tipología de Delitos Contra el Estado Civil y la Familia, para el Periodo 2013-2019 de acuerdo a datos provenientes del Poder Judicial de Chile."/>
    <s v="Gráfico de Evolución"/>
    <s v="sociedad delincuencia delitos frecuencia sentencias violentos maltrato intrafamiliar mujer violencia regional"/>
    <x v="362"/>
    <s v="300-R"/>
    <s v="#1774B10"/>
    <e v="#VALUE!"/>
    <e v="#VALUE!"/>
    <e v="#VALUE!"/>
    <e v="#VALUE!"/>
    <e v="#VALUE!"/>
    <e v="#VALUE!"/>
  </r>
  <r>
    <x v="363"/>
    <n v="300"/>
    <x v="0"/>
    <s v="Mujeres"/>
    <n v="270105"/>
    <x v="8"/>
    <x v="2"/>
    <x v="0"/>
    <x v="0"/>
    <s v="Ninguno"/>
    <s v="Sentencias Dictadas por Delitos Vinculados a la Mujer"/>
    <s v="Periodo 2013-2019"/>
    <s v="Número de sentencias"/>
    <s v="Poder Judicial"/>
    <x v="292"/>
    <s v="El gráfico muestra la evolución anual de la frecuencia de Sentencias Dictadas por Delitos Vinculados a la Mujer por región en la tipología de Delitos Contra la Vida, Integridad o Dignidad Personal, para el Periodo 2013-2019 de acuerdo a datos provenientes del Poder Judicial de Chile."/>
    <s v="Gráfico de Evolución"/>
    <s v="sociedad delincuencia delitos frecuencia sentencias violentos aborto causales mujer violencia consentimiento consentido regional"/>
    <x v="363"/>
    <s v="300-R"/>
    <s v="#1774B11"/>
    <e v="#VALUE!"/>
    <e v="#VALUE!"/>
    <e v="#VALUE!"/>
    <e v="#VALUE!"/>
    <e v="#VALUE!"/>
    <e v="#VALUE!"/>
  </r>
  <r>
    <x v="364"/>
    <n v="300"/>
    <x v="0"/>
    <s v="Mujeres"/>
    <n v="1"/>
    <x v="9"/>
    <x v="2"/>
    <x v="1"/>
    <x v="1"/>
    <s v="Ninguno"/>
    <s v="Sentencias Dictadas por Delitos Vinculados a la Mujer"/>
    <s v="Periodo 2013-2019"/>
    <s v="Número de sentencias"/>
    <s v="Poder Judicial"/>
    <x v="293"/>
    <s v="Gráfico que muestra la frecuencia mensual de Sentencias Dictadas por Delitos Vinculados a la Mujer por Tipo de Delito en la Región de Tarapacá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tarapacá"/>
    <x v="364"/>
    <s v="100-R-1"/>
    <s v="#1774B12"/>
    <e v="#VALUE!"/>
    <e v="#VALUE!"/>
    <e v="#VALUE!"/>
    <e v="#VALUE!"/>
    <e v="#VALUE!"/>
    <e v="#VALUE!"/>
  </r>
  <r>
    <x v="365"/>
    <n v="300"/>
    <x v="0"/>
    <s v="Mujeres"/>
    <n v="2"/>
    <x v="9"/>
    <x v="2"/>
    <x v="1"/>
    <x v="2"/>
    <s v="Ninguno"/>
    <s v="Sentencias Dictadas por Delitos Vinculados a la Mujer"/>
    <s v="Periodo 2013-2019"/>
    <s v="Número de sentencias"/>
    <s v="Poder Judicial"/>
    <x v="294"/>
    <s v="Gráfico que muestra la frecuencia mensual de Sentencias Dictadas por Delitos Vinculados a la Mujer por Tipo de Delito en la Región de Antofagast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ntofagasta"/>
    <x v="365"/>
    <s v="100-R-2"/>
    <s v="#1774B13"/>
    <e v="#VALUE!"/>
    <e v="#VALUE!"/>
    <e v="#VALUE!"/>
    <e v="#VALUE!"/>
    <e v="#VALUE!"/>
    <e v="#VALUE!"/>
  </r>
  <r>
    <x v="366"/>
    <n v="300"/>
    <x v="0"/>
    <s v="Mujeres"/>
    <n v="3"/>
    <x v="9"/>
    <x v="2"/>
    <x v="1"/>
    <x v="3"/>
    <s v="Ninguno"/>
    <s v="Sentencias Dictadas por Delitos Vinculados a la Mujer"/>
    <s v="Periodo 2013-2019"/>
    <s v="Número de sentencias"/>
    <s v="Poder Judicial"/>
    <x v="295"/>
    <s v="Gráfico que muestra la frecuencia mensual de Sentencias Dictadas por Delitos Vinculados a la Mujer por Tipo de Delito en la Región de Atacam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tacama"/>
    <x v="366"/>
    <s v="100-R-3"/>
    <s v="#1774B14"/>
    <e v="#VALUE!"/>
    <e v="#VALUE!"/>
    <e v="#VALUE!"/>
    <e v="#VALUE!"/>
    <e v="#VALUE!"/>
    <e v="#VALUE!"/>
  </r>
  <r>
    <x v="367"/>
    <n v="300"/>
    <x v="0"/>
    <s v="Mujeres"/>
    <n v="4"/>
    <x v="9"/>
    <x v="2"/>
    <x v="1"/>
    <x v="4"/>
    <s v="Ninguno"/>
    <s v="Sentencias Dictadas por Delitos Vinculados a la Mujer"/>
    <s v="Periodo 2013-2019"/>
    <s v="Número de sentencias"/>
    <s v="Poder Judicial"/>
    <x v="296"/>
    <s v="Gráfico que muestra la frecuencia mensual de Sentencias Dictadas por Delitos Vinculados a la Mujer por Tipo de Delito en la Región de Coquimb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coquimbo"/>
    <x v="367"/>
    <s v="100-R-4"/>
    <s v="#1774B15"/>
    <e v="#VALUE!"/>
    <e v="#VALUE!"/>
    <e v="#VALUE!"/>
    <e v="#VALUE!"/>
    <e v="#VALUE!"/>
    <e v="#VALUE!"/>
  </r>
  <r>
    <x v="368"/>
    <n v="300"/>
    <x v="0"/>
    <s v="Mujeres"/>
    <n v="5"/>
    <x v="9"/>
    <x v="2"/>
    <x v="1"/>
    <x v="5"/>
    <s v="Ninguno"/>
    <s v="Sentencias Dictadas por Delitos Vinculados a la Mujer"/>
    <s v="Periodo 2013-2019"/>
    <s v="Número de sentencias"/>
    <s v="Poder Judicial"/>
    <x v="297"/>
    <s v="Gráfico que muestra la frecuencia mensual de Sentencias Dictadas por Delitos Vinculados a la Mujer por Tipo de Delito en la Región de Valparaís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valparaíso"/>
    <x v="368"/>
    <s v="100-R-5"/>
    <s v="#1774B16"/>
    <e v="#VALUE!"/>
    <e v="#VALUE!"/>
    <e v="#VALUE!"/>
    <e v="#VALUE!"/>
    <e v="#VALUE!"/>
    <e v="#VALUE!"/>
  </r>
  <r>
    <x v="369"/>
    <n v="300"/>
    <x v="0"/>
    <s v="Mujeres"/>
    <n v="6"/>
    <x v="9"/>
    <x v="2"/>
    <x v="1"/>
    <x v="6"/>
    <s v="Ninguno"/>
    <s v="Sentencias Dictadas por Delitos Vinculados a la Mujer"/>
    <s v="Periodo 2013-2019"/>
    <s v="Número de sentencias"/>
    <s v="Poder Judicial"/>
    <x v="298"/>
    <s v="Gráfico que muestra la frecuencia mensual de Sentencias Dictadas por Delitos Vinculados a la Mujer por Tipo de Delito en la Región de O'Higgin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ohiggins"/>
    <x v="369"/>
    <s v="100-R-6"/>
    <s v="#1774B17"/>
    <e v="#VALUE!"/>
    <e v="#VALUE!"/>
    <e v="#VALUE!"/>
    <e v="#VALUE!"/>
    <e v="#VALUE!"/>
    <e v="#VALUE!"/>
  </r>
  <r>
    <x v="370"/>
    <n v="300"/>
    <x v="0"/>
    <s v="Mujeres"/>
    <n v="7"/>
    <x v="9"/>
    <x v="2"/>
    <x v="1"/>
    <x v="7"/>
    <s v="Ninguno"/>
    <s v="Sentencias Dictadas por Delitos Vinculados a la Mujer"/>
    <s v="Periodo 2013-2019"/>
    <s v="Número de sentencias"/>
    <s v="Poder Judicial"/>
    <x v="299"/>
    <s v="Gráfico que muestra la frecuencia mensual de Sentencias Dictadas por Delitos Vinculados a la Mujer por Tipo de Delito en la Región de Maule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ule"/>
    <x v="370"/>
    <s v="100-R-7"/>
    <s v="#1774B18"/>
    <e v="#VALUE!"/>
    <e v="#VALUE!"/>
    <e v="#VALUE!"/>
    <e v="#VALUE!"/>
    <e v="#VALUE!"/>
    <e v="#VALUE!"/>
  </r>
  <r>
    <x v="371"/>
    <n v="300"/>
    <x v="0"/>
    <s v="Mujeres"/>
    <n v="8"/>
    <x v="9"/>
    <x v="2"/>
    <x v="1"/>
    <x v="8"/>
    <s v="Ninguno"/>
    <s v="Sentencias Dictadas por Delitos Vinculados a la Mujer"/>
    <s v="Periodo 2013-2019"/>
    <s v="Número de sentencias"/>
    <s v="Poder Judicial"/>
    <x v="300"/>
    <s v="Gráfico que muestra la frecuencia mensual de Sentencias Dictadas por Delitos Vinculados a la Mujer por Tipo de Delito en la Región del Biobí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biobío"/>
    <x v="371"/>
    <s v="100-R-8"/>
    <s v="#1774B19"/>
    <e v="#VALUE!"/>
    <e v="#VALUE!"/>
    <e v="#VALUE!"/>
    <e v="#VALUE!"/>
    <e v="#VALUE!"/>
    <e v="#VALUE!"/>
  </r>
  <r>
    <x v="372"/>
    <n v="300"/>
    <x v="0"/>
    <s v="Mujeres"/>
    <n v="9"/>
    <x v="9"/>
    <x v="2"/>
    <x v="1"/>
    <x v="9"/>
    <s v="Ninguno"/>
    <s v="Sentencias Dictadas por Delitos Vinculados a la Mujer"/>
    <s v="Periodo 2013-2019"/>
    <s v="Número de sentencias"/>
    <s v="Poder Judicial"/>
    <x v="301"/>
    <s v="Gráfico que muestra la frecuencia mensual de Sentencias Dictadas por Delitos Vinculados a la Mujer por Tipo de Delito en la Región de La Araucaní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aucanía"/>
    <x v="372"/>
    <s v="100-R-9"/>
    <s v="#1774B20"/>
    <e v="#VALUE!"/>
    <e v="#VALUE!"/>
    <e v="#VALUE!"/>
    <e v="#VALUE!"/>
    <e v="#VALUE!"/>
    <e v="#VALUE!"/>
  </r>
  <r>
    <x v="373"/>
    <n v="300"/>
    <x v="0"/>
    <s v="Mujeres"/>
    <n v="10"/>
    <x v="9"/>
    <x v="2"/>
    <x v="1"/>
    <x v="10"/>
    <s v="Ninguno"/>
    <s v="Sentencias Dictadas por Delitos Vinculados a la Mujer"/>
    <s v="Periodo 2013-2019"/>
    <s v="Número de sentencias"/>
    <s v="Poder Judicial"/>
    <x v="302"/>
    <s v="Gráfico que muestra la frecuencia mensual de Sentencias Dictadas por Delitos Vinculados a la Mujer por Tipo de Delito en la Región de Los Lago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lagos"/>
    <x v="373"/>
    <s v="100-R-10"/>
    <s v="#1774B21"/>
    <e v="#VALUE!"/>
    <e v="#VALUE!"/>
    <e v="#VALUE!"/>
    <e v="#VALUE!"/>
    <e v="#VALUE!"/>
    <e v="#VALUE!"/>
  </r>
  <r>
    <x v="374"/>
    <n v="300"/>
    <x v="0"/>
    <s v="Mujeres"/>
    <n v="11"/>
    <x v="9"/>
    <x v="2"/>
    <x v="1"/>
    <x v="11"/>
    <s v="Ninguno"/>
    <s v="Sentencias Dictadas por Delitos Vinculados a la Mujer"/>
    <s v="Periodo 2013-2019"/>
    <s v="Número de sentencias"/>
    <s v="Poder Judicial"/>
    <x v="303"/>
    <s v="Gráfico que muestra la frecuencia mensual de Sentencias Dictadas por Delitos Vinculados a la Mujer por Tipo de Delito en la Región de Aysén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ysén"/>
    <x v="374"/>
    <s v="100-R-11"/>
    <s v="#1774B22"/>
    <e v="#VALUE!"/>
    <e v="#VALUE!"/>
    <e v="#VALUE!"/>
    <e v="#VALUE!"/>
    <e v="#VALUE!"/>
    <e v="#VALUE!"/>
  </r>
  <r>
    <x v="375"/>
    <n v="300"/>
    <x v="0"/>
    <s v="Mujeres"/>
    <n v="12"/>
    <x v="9"/>
    <x v="2"/>
    <x v="1"/>
    <x v="12"/>
    <s v="Ninguno"/>
    <s v="Sentencias Dictadas por Delitos Vinculados a la Mujer"/>
    <s v="Periodo 2013-2019"/>
    <s v="Número de sentencias"/>
    <s v="Poder Judicial"/>
    <x v="304"/>
    <s v="Gráfico que muestra la frecuencia mensual de Sentencias Dictadas por Delitos Vinculados a la Mujer por Tipo de Delito en la Región de Magallane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gallanes"/>
    <x v="375"/>
    <s v="100-R-12"/>
    <s v="#1774B23"/>
    <e v="#VALUE!"/>
    <e v="#VALUE!"/>
    <e v="#VALUE!"/>
    <e v="#VALUE!"/>
    <e v="#VALUE!"/>
    <e v="#VALUE!"/>
  </r>
  <r>
    <x v="376"/>
    <n v="300"/>
    <x v="0"/>
    <s v="Mujeres"/>
    <n v="13"/>
    <x v="9"/>
    <x v="2"/>
    <x v="1"/>
    <x v="13"/>
    <s v="Ninguno"/>
    <s v="Sentencias Dictadas por Delitos Vinculados a la Mujer"/>
    <s v="Periodo 2013-2019"/>
    <s v="Número de sentencias"/>
    <s v="Poder Judicial"/>
    <x v="305"/>
    <s v="Gráfico que muestra la frecuencia mensual de Sentencias Dictadas por Delitos Vinculados a la Mujer por Tipo de Delito en la Región Metropolitan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etropolitana"/>
    <x v="376"/>
    <s v="200-R-13"/>
    <s v="#1774B24"/>
    <e v="#VALUE!"/>
    <e v="#VALUE!"/>
    <e v="#VALUE!"/>
    <e v="#VALUE!"/>
    <e v="#VALUE!"/>
    <e v="#VALUE!"/>
  </r>
  <r>
    <x v="377"/>
    <n v="300"/>
    <x v="0"/>
    <s v="Mujeres"/>
    <n v="14"/>
    <x v="9"/>
    <x v="2"/>
    <x v="1"/>
    <x v="14"/>
    <s v="Ninguno"/>
    <s v="Sentencias Dictadas por Delitos Vinculados a la Mujer"/>
    <s v="Periodo 2013-2019"/>
    <s v="Número de sentencias"/>
    <s v="Poder Judicial"/>
    <x v="306"/>
    <s v="Gráfico que muestra la frecuencia mensual de Sentencias Dictadas por Delitos Vinculados a la Mujer por Tipo de Delito en la Región de Los Río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ríos"/>
    <x v="377"/>
    <s v="100-R-14"/>
    <s v="#1774B25"/>
    <e v="#VALUE!"/>
    <e v="#VALUE!"/>
    <e v="#VALUE!"/>
    <e v="#VALUE!"/>
    <e v="#VALUE!"/>
    <e v="#VALUE!"/>
  </r>
  <r>
    <x v="378"/>
    <n v="300"/>
    <x v="0"/>
    <s v="Mujeres"/>
    <n v="15"/>
    <x v="9"/>
    <x v="2"/>
    <x v="1"/>
    <x v="15"/>
    <s v="Ninguno"/>
    <s v="Sentencias Dictadas por Delitos Vinculados a la Mujer"/>
    <s v="Periodo 2013-2019"/>
    <s v="Número de sentencias"/>
    <s v="Poder Judicial"/>
    <x v="307"/>
    <s v="Gráfico que muestra la frecuencia mensual de Sentencias Dictadas por Delitos Vinculados a la Mujer por Tipo de Delito en la Región de Arica y Parinacot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ica parinacota"/>
    <x v="378"/>
    <s v="100-R-15"/>
    <s v="#1774B77"/>
    <e v="#VALUE!"/>
    <e v="#VALUE!"/>
    <e v="#VALUE!"/>
    <e v="#VALUE!"/>
    <e v="#VALUE!"/>
    <e v="#VALUE!"/>
  </r>
  <r>
    <x v="379"/>
    <n v="300"/>
    <x v="0"/>
    <s v="Mujeres"/>
    <n v="16"/>
    <x v="9"/>
    <x v="2"/>
    <x v="1"/>
    <x v="16"/>
    <s v="Ninguno"/>
    <s v="Sentencias Dictadas por Delitos Vinculados a la Mujer"/>
    <s v="Periodo 2013-2019"/>
    <s v="Número de sentencias"/>
    <s v="Poder Judicial"/>
    <x v="308"/>
    <s v="Gráfico que muestra la frecuencia mensual de Sentencias Dictadas por Delitos Vinculados a la Mujer por Tipo de Delito en la Región de Ñuble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ñuble"/>
    <x v="379"/>
    <s v="100-R-16"/>
    <s v="#1774B78"/>
    <e v="#VALUE!"/>
    <e v="#VALUE!"/>
    <e v="#VALUE!"/>
    <e v="#VALUE!"/>
    <e v="#VALUE!"/>
    <e v="#VALUE!"/>
  </r>
  <r>
    <x v="380"/>
    <n v="300"/>
    <x v="0"/>
    <s v="Mujeres"/>
    <n v="1"/>
    <x v="9"/>
    <x v="2"/>
    <x v="1"/>
    <x v="1"/>
    <s v="Ninguno"/>
    <s v="Sentencias Dictadas por Delitos Vinculados a la Mujer"/>
    <s v="Periodo 2013-2019"/>
    <s v="Número de sentencias"/>
    <s v="Poder Judicial"/>
    <x v="309"/>
    <s v="El gráfico muestra la evolución anual de la frecuencia de Sentencias Dictadas por Delitos Vinculados a la Mujer por Juzgado de Garantía en la Región de Tarapacá durante el Periodo 2013-2019 de acuerdo a datos provenientes del Poder Judicial de Chile."/>
    <s v="Gráfico de Evolución"/>
    <s v="sociedad delincuencia delitos frecuencia sentencias juzgado garantía mujer violencia tarapacá"/>
    <x v="380"/>
    <s v="100-C-1"/>
    <s v="#1774B79"/>
    <e v="#VALUE!"/>
    <e v="#VALUE!"/>
    <e v="#VALUE!"/>
    <e v="#VALUE!"/>
    <e v="#VALUE!"/>
    <e v="#VALUE!"/>
  </r>
  <r>
    <x v="381"/>
    <n v="300"/>
    <x v="0"/>
    <s v="Mujeres"/>
    <n v="2"/>
    <x v="9"/>
    <x v="2"/>
    <x v="1"/>
    <x v="2"/>
    <s v="Ninguno"/>
    <s v="Sentencias Dictadas por Delitos Vinculados a la Mujer"/>
    <s v="Periodo 2013-2019"/>
    <s v="Número de sentencias"/>
    <s v="Poder Judicial"/>
    <x v="310"/>
    <s v="El gráfico muestra la evolución anual de la frecuencia de Sentencias Dictadas por Delitos Vinculados a la Mujer por Juzgado de Garantía en la Región de Antofagasta durante el Periodo 2013-2019 de acuerdo a datos provenientes del Poder Judicial de Chile."/>
    <s v="Gráfico de Evolución"/>
    <s v="sociedad delincuencia delitos frecuencia sentencias juzgado garantía mujer violencia antofagasta"/>
    <x v="381"/>
    <s v="100-C-2"/>
    <s v="#1774B80"/>
    <e v="#VALUE!"/>
    <e v="#VALUE!"/>
    <e v="#VALUE!"/>
    <e v="#VALUE!"/>
    <e v="#VALUE!"/>
    <e v="#VALUE!"/>
  </r>
  <r>
    <x v="382"/>
    <n v="300"/>
    <x v="0"/>
    <s v="Mujeres"/>
    <n v="3"/>
    <x v="9"/>
    <x v="2"/>
    <x v="1"/>
    <x v="3"/>
    <s v="Ninguno"/>
    <s v="Sentencias Dictadas por Delitos Vinculados a la Mujer"/>
    <s v="Periodo 2013-2019"/>
    <s v="Número de sentencias"/>
    <s v="Poder Judicial"/>
    <x v="311"/>
    <s v="El gráfico muestra la evolución anual de la frecuencia de Sentencias Dictadas por Delitos Vinculados a la Mujer por Juzgado de Garantía en la Región de Atacama durante el Periodo 2013-2019 de acuerdo a datos provenientes del Poder Judicial de Chile."/>
    <s v="Gráfico de Evolución"/>
    <s v="sociedad delincuencia delitos frecuencia sentencias juzgado garantía mujer violencia atacama"/>
    <x v="382"/>
    <s v="100-C-3"/>
    <s v="#1774B81"/>
    <e v="#VALUE!"/>
    <e v="#VALUE!"/>
    <e v="#VALUE!"/>
    <e v="#VALUE!"/>
    <e v="#VALUE!"/>
    <e v="#VALUE!"/>
  </r>
  <r>
    <x v="383"/>
    <n v="300"/>
    <x v="0"/>
    <s v="Mujeres"/>
    <n v="4"/>
    <x v="9"/>
    <x v="2"/>
    <x v="1"/>
    <x v="4"/>
    <s v="Ninguno"/>
    <s v="Sentencias Dictadas por Delitos Vinculados a la Mujer"/>
    <s v="Periodo 2013-2019"/>
    <s v="Número de sentencias"/>
    <s v="Poder Judicial"/>
    <x v="312"/>
    <s v="El gráfico muestra la evolución anual de la frecuencia de Sentencias Dictadas por Delitos Vinculados a la Mujer por Juzgado de Garantía en la Región de Coquimbo durante el Periodo 2013-2019 de acuerdo a datos provenientes del Poder Judicial de Chile."/>
    <s v="Gráfico de Evolución"/>
    <s v="sociedad delincuencia delitos frecuencia sentencias juzgado garantía mujer violencia coquimbo"/>
    <x v="383"/>
    <s v="100-C-4"/>
    <s v="#1774B82"/>
    <e v="#VALUE!"/>
    <e v="#VALUE!"/>
    <e v="#VALUE!"/>
    <e v="#VALUE!"/>
    <e v="#VALUE!"/>
    <e v="#VALUE!"/>
  </r>
  <r>
    <x v="384"/>
    <n v="300"/>
    <x v="0"/>
    <s v="Mujeres"/>
    <n v="5"/>
    <x v="9"/>
    <x v="2"/>
    <x v="1"/>
    <x v="5"/>
    <s v="Ninguno"/>
    <s v="Sentencias Dictadas por Delitos Vinculados a la Mujer"/>
    <s v="Periodo 2013-2019"/>
    <s v="Número de sentencias"/>
    <s v="Poder Judicial"/>
    <x v="313"/>
    <s v="El gráfico muestra la evolución anual de la frecuencia de Sentencias Dictadas por Delitos Vinculados a la Mujer por Juzgado de Garantía en la Región de Valparaíso durante el Periodo 2013-2019 de acuerdo a datos provenientes del Poder Judicial de Chile."/>
    <s v="Gráfico de Evolución"/>
    <s v="sociedad delincuencia delitos frecuencia sentencias juzgado garantía mujer violencia valparaíso"/>
    <x v="384"/>
    <s v="100-C-5"/>
    <s v="#1774B83"/>
    <e v="#VALUE!"/>
    <e v="#VALUE!"/>
    <e v="#VALUE!"/>
    <e v="#VALUE!"/>
    <e v="#VALUE!"/>
    <e v="#VALUE!"/>
  </r>
  <r>
    <x v="385"/>
    <n v="300"/>
    <x v="0"/>
    <s v="Mujeres"/>
    <n v="6"/>
    <x v="9"/>
    <x v="2"/>
    <x v="1"/>
    <x v="6"/>
    <s v="Ninguno"/>
    <s v="Sentencias Dictadas por Delitos Vinculados a la Mujer"/>
    <s v="Periodo 2013-2019"/>
    <s v="Número de sentencias"/>
    <s v="Poder Judicial"/>
    <x v="314"/>
    <s v="El gráfico muestra la evolución anual de la frecuencia de Sentencias Dictadas por Delitos Vinculados a la Mujer por Juzgado de Garantía en la Región de O'Higgins durante el Periodo 2013-2019 de acuerdo a datos provenientes del Poder Judicial de Chile."/>
    <s v="Gráfico de Evolución"/>
    <s v="sociedad delincuencia delitos frecuencia sentencias juzgado garantía mujer violencia ohiggins"/>
    <x v="385"/>
    <s v="100-C-6"/>
    <s v="#1774B84"/>
    <e v="#VALUE!"/>
    <e v="#VALUE!"/>
    <e v="#VALUE!"/>
    <e v="#VALUE!"/>
    <e v="#VALUE!"/>
    <e v="#VALUE!"/>
  </r>
  <r>
    <x v="386"/>
    <n v="300"/>
    <x v="0"/>
    <s v="Mujeres"/>
    <n v="7"/>
    <x v="9"/>
    <x v="2"/>
    <x v="1"/>
    <x v="7"/>
    <s v="Ninguno"/>
    <s v="Sentencias Dictadas por Delitos Vinculados a la Mujer"/>
    <s v="Periodo 2013-2019"/>
    <s v="Número de sentencias"/>
    <s v="Poder Judicial"/>
    <x v="315"/>
    <s v="El gráfico muestra la evolución anual de la frecuencia de Sentencias Dictadas por Delitos Vinculados a la Mujer por Juzgado de Garantía en la Región de Maule durante el Periodo 2013-2019 de acuerdo a datos provenientes del Poder Judicial de Chile."/>
    <s v="Gráfico de Evolución"/>
    <s v="sociedad delincuencia delitos frecuencia sentencias juzgado garantía mujer violencia maule"/>
    <x v="386"/>
    <s v="100-C-7"/>
    <s v="#1774B85"/>
    <e v="#VALUE!"/>
    <e v="#VALUE!"/>
    <e v="#VALUE!"/>
    <e v="#VALUE!"/>
    <e v="#VALUE!"/>
    <e v="#VALUE!"/>
  </r>
  <r>
    <x v="387"/>
    <n v="300"/>
    <x v="0"/>
    <s v="Mujeres"/>
    <n v="8"/>
    <x v="9"/>
    <x v="2"/>
    <x v="1"/>
    <x v="8"/>
    <s v="Ninguno"/>
    <s v="Sentencias Dictadas por Delitos Vinculados a la Mujer"/>
    <s v="Periodo 2013-2019"/>
    <s v="Número de sentencias"/>
    <s v="Poder Judicial"/>
    <x v="316"/>
    <s v="El gráfico muestra la evolución anual de la frecuencia de Sentencias Dictadas por Delitos Vinculados a la Mujer por Juzgado de Garantía en la Región del Biobío durante el Periodo 2013-2019 de acuerdo a datos provenientes del Poder Judicial de Chile."/>
    <s v="Gráfico de Evolución"/>
    <s v="sociedad delincuencia delitos frecuencia sentencias juzgado garantía mujer violencia biobío"/>
    <x v="387"/>
    <s v="100-C-8"/>
    <s v="#1774B86"/>
    <e v="#VALUE!"/>
    <e v="#VALUE!"/>
    <e v="#VALUE!"/>
    <e v="#VALUE!"/>
    <e v="#VALUE!"/>
    <e v="#VALUE!"/>
  </r>
  <r>
    <x v="388"/>
    <n v="300"/>
    <x v="0"/>
    <s v="Mujeres"/>
    <n v="9"/>
    <x v="9"/>
    <x v="2"/>
    <x v="1"/>
    <x v="9"/>
    <s v="Ninguno"/>
    <s v="Sentencias Dictadas por Delitos Vinculados a la Mujer"/>
    <s v="Periodo 2013-2019"/>
    <s v="Número de sentencias"/>
    <s v="Poder Judicial"/>
    <x v="317"/>
    <s v="El gráfico muestra la evolución anual de la frecuencia de Sentencias Dictadas por Delitos Vinculados a la Mujer por Juzgado de Garantía en la Región de La Araucanía durante el Periodo 2013-2019 de acuerdo a datos provenientes del Poder Judicial de Chile."/>
    <s v="Gráfico de Evolución"/>
    <s v="sociedad delincuencia delitos frecuencia sentencias juzgado garantía mujer violencia araucanía"/>
    <x v="388"/>
    <s v="100-C-9"/>
    <s v="#1774B87"/>
    <e v="#VALUE!"/>
    <e v="#VALUE!"/>
    <e v="#VALUE!"/>
    <e v="#VALUE!"/>
    <e v="#VALUE!"/>
    <e v="#VALUE!"/>
  </r>
  <r>
    <x v="389"/>
    <n v="300"/>
    <x v="0"/>
    <s v="Mujeres"/>
    <n v="10"/>
    <x v="9"/>
    <x v="2"/>
    <x v="1"/>
    <x v="10"/>
    <s v="Ninguno"/>
    <s v="Sentencias Dictadas por Delitos Vinculados a la Mujer"/>
    <s v="Periodo 2013-2019"/>
    <s v="Número de sentencias"/>
    <s v="Poder Judicial"/>
    <x v="318"/>
    <s v="El gráfico muestra la evolución anual de la frecuencia de Sentencias Dictadas por Delitos Vinculados a la Mujer por Juzgado de Garantía en la Región de Los Lagos durante el Periodo 2013-2019 de acuerdo a datos provenientes del Poder Judicial de Chile."/>
    <s v="Gráfico de Evolución"/>
    <s v="sociedad delincuencia delitos frecuencia sentencias juzgado garantía mujer violencia los lagos"/>
    <x v="389"/>
    <s v="100-C-10"/>
    <s v="#1774B88"/>
    <e v="#VALUE!"/>
    <e v="#VALUE!"/>
    <e v="#VALUE!"/>
    <e v="#VALUE!"/>
    <e v="#VALUE!"/>
    <e v="#VALUE!"/>
  </r>
  <r>
    <x v="390"/>
    <n v="300"/>
    <x v="0"/>
    <s v="Mujeres"/>
    <n v="11"/>
    <x v="9"/>
    <x v="2"/>
    <x v="1"/>
    <x v="11"/>
    <s v="Ninguno"/>
    <s v="Sentencias Dictadas por Delitos Vinculados a la Mujer"/>
    <s v="Periodo 2013-2019"/>
    <s v="Número de sentencias"/>
    <s v="Poder Judicial"/>
    <x v="319"/>
    <s v="El gráfico muestra la evolución anual de la frecuencia de Sentencias Dictadas por Delitos Vinculados a la Mujer por Juzgado de Garantía en la Región de Aysén durante el Periodo 2013-2019 de acuerdo a datos provenientes del Poder Judicial de Chile."/>
    <s v="Gráfico de Evolución"/>
    <s v="sociedad delincuencia delitos frecuencia sentencias juzgado garantía mujer violencia aysén"/>
    <x v="390"/>
    <s v="100-C-11"/>
    <s v="#1774B89"/>
    <e v="#VALUE!"/>
    <e v="#VALUE!"/>
    <e v="#VALUE!"/>
    <e v="#VALUE!"/>
    <e v="#VALUE!"/>
    <e v="#VALUE!"/>
  </r>
  <r>
    <x v="391"/>
    <n v="300"/>
    <x v="0"/>
    <s v="Mujeres"/>
    <n v="12"/>
    <x v="9"/>
    <x v="2"/>
    <x v="1"/>
    <x v="12"/>
    <s v="Ninguno"/>
    <s v="Sentencias Dictadas por Delitos Vinculados a la Mujer"/>
    <s v="Periodo 2013-2019"/>
    <s v="Número de sentencias"/>
    <s v="Poder Judicial"/>
    <x v="320"/>
    <s v="El gráfico muestra la evolución anual de la frecuencia de Sentencias Dictadas por Delitos Vinculados a la Mujer por Juzgado de Garantía en la Región de Magallanes durante el Periodo 2013-2019 de acuerdo a datos provenientes del Poder Judicial de Chile."/>
    <s v="Gráfico de Evolución"/>
    <s v="sociedad delincuencia delitos frecuencia sentencias juzgado garantía mujer violencia magallanes"/>
    <x v="391"/>
    <s v="100-C-12"/>
    <s v="#1774B90"/>
    <e v="#VALUE!"/>
    <e v="#VALUE!"/>
    <e v="#VALUE!"/>
    <e v="#VALUE!"/>
    <e v="#VALUE!"/>
    <e v="#VALUE!"/>
  </r>
  <r>
    <x v="392"/>
    <n v="300"/>
    <x v="0"/>
    <s v="Mujeres"/>
    <n v="13"/>
    <x v="9"/>
    <x v="2"/>
    <x v="1"/>
    <x v="13"/>
    <s v="Ninguno"/>
    <s v="Sentencias Dictadas por Delitos Vinculados a la Mujer"/>
    <s v="Periodo 2013-2019"/>
    <s v="Número de sentencias"/>
    <s v="Poder Judicial"/>
    <x v="321"/>
    <s v="El gráfico muestra la evolución anual de la frecuencia de Sentencias Dictadas por Delitos Vinculados a la Mujer por Juzgado de Garantía en la Región Metropolitana durante el Periodo 2013-2019 de acuerdo a datos provenientes del Poder Judicial de Chile."/>
    <s v="Gráfico de Evolución"/>
    <s v="sociedad delincuencia delitos frecuencia sentencias juzgado garantía mujer violencia metropolitana"/>
    <x v="392"/>
    <s v="200-C-13"/>
    <s v="#1774B91"/>
    <e v="#VALUE!"/>
    <e v="#VALUE!"/>
    <e v="#VALUE!"/>
    <e v="#VALUE!"/>
    <e v="#VALUE!"/>
    <e v="#VALUE!"/>
  </r>
  <r>
    <x v="393"/>
    <n v="300"/>
    <x v="0"/>
    <s v="Mujeres"/>
    <n v="14"/>
    <x v="9"/>
    <x v="2"/>
    <x v="1"/>
    <x v="14"/>
    <s v="Ninguno"/>
    <s v="Sentencias Dictadas por Delitos Vinculados a la Mujer"/>
    <s v="Periodo 2013-2019"/>
    <s v="Número de sentencias"/>
    <s v="Poder Judicial"/>
    <x v="322"/>
    <s v="El gráfico muestra la evolución anual de la frecuencia de Sentencias Dictadas por Delitos Vinculados a la Mujer por Juzgado de Garantía en la Región de Los Ríos durante el Periodo 2013-2019 de acuerdo a datos provenientes del Poder Judicial de Chile."/>
    <s v="Gráfico de Evolución"/>
    <s v="sociedad delincuencia delitos frecuencia sentencias juzgado garantía mujer violencia los ríos"/>
    <x v="393"/>
    <s v="100-C-14"/>
    <s v="#1774B92"/>
    <e v="#VALUE!"/>
    <e v="#VALUE!"/>
    <e v="#VALUE!"/>
    <e v="#VALUE!"/>
    <e v="#VALUE!"/>
    <e v="#VALUE!"/>
  </r>
  <r>
    <x v="394"/>
    <n v="300"/>
    <x v="0"/>
    <s v="Mujeres"/>
    <n v="15"/>
    <x v="9"/>
    <x v="2"/>
    <x v="1"/>
    <x v="15"/>
    <s v="Ninguno"/>
    <s v="Sentencias Dictadas por Delitos Vinculados a la Mujer"/>
    <s v="Periodo 2013-2019"/>
    <s v="Número de sentencias"/>
    <s v="Poder Judicial"/>
    <x v="323"/>
    <s v="El gráfico muestra la evolución anual de la frecuencia de Sentencias Dictadas por Delitos Vinculados a la Mujer por Juzgado de Garantía en la Región de Arica y Parinacota durante el Periodo 2013-2019 de acuerdo a datos provenientes del Poder Judicial de Chile."/>
    <s v="Gráfico de Evolución"/>
    <s v="sociedad delincuencia delitos frecuencia sentencias juzgado garantía mujer violencia arica parinacota"/>
    <x v="394"/>
    <s v="100-C-15"/>
    <s v="#1774B93"/>
    <e v="#VALUE!"/>
    <e v="#VALUE!"/>
    <e v="#VALUE!"/>
    <e v="#VALUE!"/>
    <e v="#VALUE!"/>
    <e v="#VALUE!"/>
  </r>
  <r>
    <x v="395"/>
    <n v="300"/>
    <x v="0"/>
    <s v="Mujeres"/>
    <n v="16"/>
    <x v="9"/>
    <x v="2"/>
    <x v="1"/>
    <x v="16"/>
    <s v="Ninguno"/>
    <s v="Sentencias Dictadas por Delitos Vinculados a la Mujer"/>
    <s v="Periodo 2013-2019"/>
    <s v="Número de sentencias"/>
    <s v="Poder Judicial"/>
    <x v="324"/>
    <s v="El gráfico muestra la evolución anual de la frecuencia de Sentencias Dictadas por Delitos Vinculados a la Mujer por Juzgado de Garantía en la Región de Ñuble durante el Periodo 2013-2019 de acuerdo a datos provenientes del Poder Judicial de Chile."/>
    <s v="Gráfico de Evolución"/>
    <s v="sociedad delincuencia delitos frecuencia sentencias juzgado garantía mujer violencia ñuble"/>
    <x v="395"/>
    <s v="100-C-16"/>
    <s v="#1774B94"/>
    <e v="#VALUE!"/>
    <e v="#VALUE!"/>
    <e v="#VALUE!"/>
    <e v="#VALUE!"/>
    <e v="#VALUE!"/>
    <e v="#VALUE!"/>
  </r>
  <r>
    <x v="396"/>
    <n v="300"/>
    <x v="0"/>
    <s v="Mujeres"/>
    <n v="1"/>
    <x v="9"/>
    <x v="2"/>
    <x v="1"/>
    <x v="1"/>
    <s v="Ninguno"/>
    <s v="Sentencias Dictadas por Delitos Vinculados a la Mujer"/>
    <s v="Periodo 2013-2019"/>
    <s v="Número de sentencias"/>
    <s v="Poder Judicial"/>
    <x v="325"/>
    <s v="El gráfico muestra la evolución anual de la frecuencia de Sentencias Dictadas por Delitos Vinculados a la Mujer por Delito en la Región de Tarapacá durante el Periodo 2013-2019 de acuerdo a datos provenientes del Poder Judicial de Chile."/>
    <s v="Gráfico de Evolución"/>
    <s v="sociedad delincuencia delitos frecuencia sentencias secuestro homicio tortura aborto lesiones mujer violencia tarapacá"/>
    <x v="396"/>
    <s v="100-R-1"/>
    <s v="#1774B95"/>
    <e v="#VALUE!"/>
    <e v="#VALUE!"/>
    <e v="#VALUE!"/>
    <e v="#VALUE!"/>
    <e v="#VALUE!"/>
    <e v="#VALUE!"/>
  </r>
  <r>
    <x v="397"/>
    <n v="300"/>
    <x v="0"/>
    <s v="Mujeres"/>
    <n v="2"/>
    <x v="9"/>
    <x v="2"/>
    <x v="1"/>
    <x v="2"/>
    <s v="Ninguno"/>
    <s v="Sentencias Dictadas por Delitos Vinculados a la Mujer"/>
    <s v="Periodo 2013-2019"/>
    <s v="Número de sentencias"/>
    <s v="Poder Judicial"/>
    <x v="326"/>
    <s v="El gráfico muestra la evolución anual de la frecuencia de Sentencias Dictadas por Delitos Vinculados a la Mujer por Delito en la Región de Antofagasta durante el Periodo 2013-2019 de acuerdo a datos provenientes del Poder Judicial de Chile."/>
    <s v="Gráfico de Evolución"/>
    <s v="sociedad delincuencia delitos frecuencia sentencias secuestro homicidio tortura aborto lesiones mujer violencia femicidio antofagasta"/>
    <x v="397"/>
    <s v="100-R-2"/>
    <s v="#1774B96"/>
    <e v="#VALUE!"/>
    <e v="#VALUE!"/>
    <e v="#VALUE!"/>
    <e v="#VALUE!"/>
    <e v="#VALUE!"/>
    <e v="#VALUE!"/>
  </r>
  <r>
    <x v="398"/>
    <n v="300"/>
    <x v="0"/>
    <s v="Mujeres"/>
    <n v="3"/>
    <x v="9"/>
    <x v="2"/>
    <x v="1"/>
    <x v="3"/>
    <s v="Ninguno"/>
    <s v="Sentencias Dictadas por Delitos Vinculados a la Mujer"/>
    <s v="Periodo 2013-2019"/>
    <s v="Número de sentencias"/>
    <s v="Poder Judicial"/>
    <x v="327"/>
    <s v="El gráfico muestra la evolución anual de la frecuencia de Sentencias Dictadas por Delitos Vinculados a la Mujer por Delito en la Región de Atacama durante el Periodo 2013-2019 de acuerdo a datos provenientes del Poder Judicial de Chile."/>
    <s v="Gráfico de Evolución"/>
    <s v="sociedad delincuencia delitos frecuencia sentencias secuestro homicidio tortura aborto lesiones mujer violencia femicidio atacama"/>
    <x v="398"/>
    <s v="100-R-3"/>
    <s v="#1774B97"/>
    <e v="#VALUE!"/>
    <e v="#VALUE!"/>
    <e v="#VALUE!"/>
    <e v="#VALUE!"/>
    <e v="#VALUE!"/>
    <e v="#VALUE!"/>
  </r>
  <r>
    <x v="399"/>
    <n v="300"/>
    <x v="0"/>
    <s v="Mujeres"/>
    <n v="4"/>
    <x v="9"/>
    <x v="2"/>
    <x v="1"/>
    <x v="4"/>
    <s v="Ninguno"/>
    <s v="Sentencias Dictadas por Delitos Vinculados a la Mujer"/>
    <s v="Periodo 2013-2019"/>
    <s v="Número de sentencias"/>
    <s v="Poder Judicial"/>
    <x v="328"/>
    <s v="El gráfico muestra la evolución anual de la frecuencia de Sentencias Dictadas por Delitos Vinculados a la Mujer por Delito en la Región de Coquimbo durante el Periodo 2013-2019 de acuerdo a datos provenientes del Poder Judicial de Chile."/>
    <s v="Gráfico de Evolución"/>
    <s v="sociedad delincuencia delitos frecuencia sentencias secuestro homicidio tortura aborto lesiones mujer violencia femicidio coquimbo"/>
    <x v="399"/>
    <s v="100-R-4"/>
    <s v="#1774B98"/>
    <e v="#VALUE!"/>
    <e v="#VALUE!"/>
    <e v="#VALUE!"/>
    <e v="#VALUE!"/>
    <e v="#VALUE!"/>
    <e v="#VALUE!"/>
  </r>
  <r>
    <x v="400"/>
    <n v="300"/>
    <x v="0"/>
    <s v="Mujeres"/>
    <n v="5"/>
    <x v="9"/>
    <x v="2"/>
    <x v="1"/>
    <x v="5"/>
    <s v="Ninguno"/>
    <s v="Sentencias Dictadas por Delitos Vinculados a la Mujer"/>
    <s v="Periodo 2013-2019"/>
    <s v="Número de sentencias"/>
    <s v="Poder Judicial"/>
    <x v="329"/>
    <s v="El gráfico muestra la evolución anual de la frecuencia de Sentencias Dictadas por Delitos Vinculados a la Mujer por Delito en la Región de Valparaíso durante el Periodo 2013-2019 de acuerdo a datos provenientes del Poder Judicial de Chile."/>
    <s v="Gráfico de Evolución"/>
    <s v="sociedad delincuencia delitos frecuencia sentencias secuestro homicidio tortura aborto lesiones mujer violencia femicidio valparaíso"/>
    <x v="400"/>
    <s v="100-R-5"/>
    <s v="#1774B99"/>
    <e v="#VALUE!"/>
    <e v="#VALUE!"/>
    <e v="#VALUE!"/>
    <e v="#VALUE!"/>
    <e v="#VALUE!"/>
    <e v="#VALUE!"/>
  </r>
  <r>
    <x v="401"/>
    <n v="300"/>
    <x v="0"/>
    <s v="Mujeres"/>
    <n v="6"/>
    <x v="9"/>
    <x v="2"/>
    <x v="1"/>
    <x v="6"/>
    <s v="Ninguno"/>
    <s v="Sentencias Dictadas por Delitos Vinculados a la Mujer"/>
    <s v="Periodo 2013-2019"/>
    <s v="Número de sentencias"/>
    <s v="Poder Judicial"/>
    <x v="330"/>
    <s v="El gráfico muestra la evolución anual de la frecuencia de Sentencias Dictadas por Delitos Vinculados a la Mujer por Delito en la Región de O'Higgins durante el Periodo 2013-2019 de acuerdo a datos provenientes del Poder Judicial de Chile."/>
    <s v="Gráfico de Evolución"/>
    <s v="sociedad delincuencia delitos frecuencia sentencias secuestro homicidio tortura aborto lesiones mujer violencia femicidio ohiggins"/>
    <x v="401"/>
    <s v="100-R-6"/>
    <s v="#1774B100"/>
    <e v="#VALUE!"/>
    <e v="#VALUE!"/>
    <e v="#VALUE!"/>
    <e v="#VALUE!"/>
    <e v="#VALUE!"/>
    <e v="#VALUE!"/>
  </r>
  <r>
    <x v="402"/>
    <n v="300"/>
    <x v="0"/>
    <s v="Mujeres"/>
    <n v="7"/>
    <x v="9"/>
    <x v="2"/>
    <x v="1"/>
    <x v="7"/>
    <s v="Ninguno"/>
    <s v="Sentencias Dictadas por Delitos Vinculados a la Mujer"/>
    <s v="Periodo 2013-2019"/>
    <s v="Número de sentencias"/>
    <s v="Poder Judicial"/>
    <x v="331"/>
    <s v="El gráfico muestra la evolución anual de la frecuencia de Sentencias Dictadas por Delitos Vinculados a la Mujer por Delito en la Región de Maule durante el Periodo 2013-2019 de acuerdo a datos provenientes del Poder Judicial de Chile."/>
    <s v="Gráfico de Evolución"/>
    <s v="sociedad delincuencia delitos frecuencia sentencias secuestro homicidio tortura aborto lesiones mujer violencia femicidio maule"/>
    <x v="402"/>
    <s v="100-R-7"/>
    <s v="#1774B101"/>
    <e v="#VALUE!"/>
    <e v="#VALUE!"/>
    <e v="#VALUE!"/>
    <e v="#VALUE!"/>
    <e v="#VALUE!"/>
    <e v="#VALUE!"/>
  </r>
  <r>
    <x v="403"/>
    <n v="300"/>
    <x v="0"/>
    <s v="Mujeres"/>
    <n v="8"/>
    <x v="9"/>
    <x v="2"/>
    <x v="1"/>
    <x v="8"/>
    <s v="Ninguno"/>
    <s v="Sentencias Dictadas por Delitos Vinculados a la Mujer"/>
    <s v="Periodo 2013-2019"/>
    <s v="Número de sentencias"/>
    <s v="Poder Judicial"/>
    <x v="332"/>
    <s v="El gráfico muestra la evolución anual de la frecuencia de Sentencias Dictadas por Delitos Vinculados a la Mujer por Delito en la Región del Biobío durante el Periodo 2013-2019 de acuerdo a datos provenientes del Poder Judicial de Chile."/>
    <s v="Gráfico de Evolución"/>
    <s v="sociedad delincuencia delitos frecuencia sentencias secuestro homicidio tortura aborto lesiones mujer violencia femicidio biobío"/>
    <x v="403"/>
    <s v="100-R-8"/>
    <s v="#1774B102"/>
    <e v="#VALUE!"/>
    <e v="#VALUE!"/>
    <e v="#VALUE!"/>
    <e v="#VALUE!"/>
    <e v="#VALUE!"/>
    <e v="#VALUE!"/>
  </r>
  <r>
    <x v="404"/>
    <n v="300"/>
    <x v="0"/>
    <s v="Mujeres"/>
    <n v="9"/>
    <x v="9"/>
    <x v="2"/>
    <x v="1"/>
    <x v="9"/>
    <s v="Ninguno"/>
    <s v="Sentencias Dictadas por Delitos Vinculados a la Mujer"/>
    <s v="Periodo 2013-2019"/>
    <s v="Número de sentencias"/>
    <s v="Poder Judicial"/>
    <x v="333"/>
    <s v="El gráfico muestra la evolución anual de la frecuencia de Sentencias Dictadas por Delitos Vinculados a la Mujer por Delito en la Región de La Araucanía durante el Periodo 2013-2019 de acuerdo a datos provenientes del Poder Judicial de Chile."/>
    <s v="Gráfico de Evolución"/>
    <s v="sociedad delincuencia delitos frecuencia sentencias secuestro homicidio tortura aborto lesiones mujer violencia femicidio araucanía"/>
    <x v="404"/>
    <s v="100-R-9"/>
    <s v="#1774B103"/>
    <e v="#VALUE!"/>
    <e v="#VALUE!"/>
    <e v="#VALUE!"/>
    <e v="#VALUE!"/>
    <e v="#VALUE!"/>
    <e v="#VALUE!"/>
  </r>
  <r>
    <x v="405"/>
    <n v="300"/>
    <x v="0"/>
    <s v="Mujeres"/>
    <n v="10"/>
    <x v="9"/>
    <x v="2"/>
    <x v="1"/>
    <x v="10"/>
    <s v="Ninguno"/>
    <s v="Sentencias Dictadas por Delitos Vinculados a la Mujer"/>
    <s v="Periodo 2013-2019"/>
    <s v="Número de sentencias"/>
    <s v="Poder Judicial"/>
    <x v="334"/>
    <s v="El gráfico muestra la evolución anual de la frecuencia de Sentencias Dictadas por Delitos Vinculados a la Mujer por Delito en la Región de Los Lagos durante el Periodo 2013-2019 de acuerdo a datos provenientes del Poder Judicial de Chile."/>
    <s v="Gráfico de Evolución"/>
    <s v="sociedad delincuencia delitos frecuencia sentencias secuestro homicidio tortura aborto lesiones mujer violencia femicidio los lagos"/>
    <x v="405"/>
    <s v="100-R-10"/>
    <s v="#1774B104"/>
    <e v="#VALUE!"/>
    <e v="#VALUE!"/>
    <e v="#VALUE!"/>
    <e v="#VALUE!"/>
    <e v="#VALUE!"/>
    <e v="#VALUE!"/>
  </r>
  <r>
    <x v="406"/>
    <n v="300"/>
    <x v="0"/>
    <s v="Mujeres"/>
    <n v="11"/>
    <x v="9"/>
    <x v="2"/>
    <x v="1"/>
    <x v="11"/>
    <s v="Ninguno"/>
    <s v="Sentencias Dictadas por Delitos Vinculados a la Mujer"/>
    <s v="Periodo 2013-2019"/>
    <s v="Número de sentencias"/>
    <s v="Poder Judicial"/>
    <x v="335"/>
    <s v="El gráfico muestra la evolución anual de la frecuencia de Sentencias Dictadas por Delitos Vinculados a la Mujer por Delito en la Región de Aysén durante el Periodo 2013-2019 de acuerdo a datos provenientes del Poder Judicial de Chile."/>
    <s v="Gráfico de Evolución"/>
    <s v="sociedad delincuencia delitos frecuencia sentencias secuestro homicidio tortura aborto lesiones mujer violencia femicidio aysén"/>
    <x v="406"/>
    <s v="100-R-11"/>
    <s v="#1774B105"/>
    <e v="#VALUE!"/>
    <e v="#VALUE!"/>
    <e v="#VALUE!"/>
    <e v="#VALUE!"/>
    <e v="#VALUE!"/>
    <e v="#VALUE!"/>
  </r>
  <r>
    <x v="407"/>
    <n v="300"/>
    <x v="0"/>
    <s v="Mujeres"/>
    <n v="12"/>
    <x v="9"/>
    <x v="2"/>
    <x v="1"/>
    <x v="12"/>
    <s v="Ninguno"/>
    <s v="Sentencias Dictadas por Delitos Vinculados a la Mujer"/>
    <s v="Periodo 2013-2019"/>
    <s v="Número de sentencias"/>
    <s v="Poder Judicial"/>
    <x v="336"/>
    <s v="El gráfico muestra la evolución anual de la frecuencia de Sentencias Dictadas por Delitos Vinculados a la Mujer por Delito en la Región de Magallanes durante el Periodo 2013-2019 de acuerdo a datos provenientes del Poder Judicial de Chile."/>
    <s v="Gráfico de Evolución"/>
    <s v="sociedad delincuencia delitos frecuencia sentencias secuestro homicidio tortura aborto lesiones mujer violencia femicidio magallanes"/>
    <x v="407"/>
    <s v="100-R-12"/>
    <s v="#1774B106"/>
    <e v="#VALUE!"/>
    <e v="#VALUE!"/>
    <e v="#VALUE!"/>
    <e v="#VALUE!"/>
    <e v="#VALUE!"/>
    <e v="#VALUE!"/>
  </r>
  <r>
    <x v="408"/>
    <n v="300"/>
    <x v="0"/>
    <s v="Mujeres"/>
    <n v="13"/>
    <x v="9"/>
    <x v="2"/>
    <x v="1"/>
    <x v="13"/>
    <s v="Ninguno"/>
    <s v="Sentencias Dictadas por Delitos Vinculados a la Mujer"/>
    <s v="Periodo 2013-2019"/>
    <s v="Número de sentencias"/>
    <s v="Poder Judicial"/>
    <x v="337"/>
    <s v="El gráfico muestra la evolución anual de la frecuencia de Sentencias Dictadas por Delitos Vinculados a la Mujer por Delito en la Región Metropolitana durante el Periodo 2013-2019 de acuerdo a datos provenientes del Poder Judicial de Chile."/>
    <s v="Gráfico de Evolución"/>
    <s v="sociedad delincuencia delitos frecuencia sentencias secuestro homicidio tortura aborto lesiones mujer violencia femicidio metropolitana"/>
    <x v="408"/>
    <s v="200-R-13"/>
    <s v="#1774B107"/>
    <e v="#VALUE!"/>
    <e v="#VALUE!"/>
    <e v="#VALUE!"/>
    <e v="#VALUE!"/>
    <e v="#VALUE!"/>
    <e v="#VALUE!"/>
  </r>
  <r>
    <x v="409"/>
    <n v="300"/>
    <x v="0"/>
    <s v="Mujeres"/>
    <n v="14"/>
    <x v="9"/>
    <x v="2"/>
    <x v="1"/>
    <x v="14"/>
    <s v="Ninguno"/>
    <s v="Sentencias Dictadas por Delitos Vinculados a la Mujer"/>
    <s v="Periodo 2013-2019"/>
    <s v="Número de sentencias"/>
    <s v="Poder Judicial"/>
    <x v="338"/>
    <s v="El gráfico muestra la evolución anual de la frecuencia de Sentencias Dictadas por Delitos Vinculados a la Mujer por Delito en la Región de Los Ríos durante el Periodo 2013-2019 de acuerdo a datos provenientes del Poder Judicial de Chile."/>
    <s v="Gráfico de Evolución"/>
    <s v="sociedad delincuencia delitos frecuencia sentencias secuestro homicidio tortura aborto lesiones mujer violencia femicidio los ríos"/>
    <x v="409"/>
    <s v="100-R-14"/>
    <s v="#1774B107"/>
    <e v="#VALUE!"/>
    <e v="#VALUE!"/>
    <e v="#VALUE!"/>
    <e v="#VALUE!"/>
    <e v="#VALUE!"/>
    <e v="#VALUE!"/>
  </r>
  <r>
    <x v="410"/>
    <n v="300"/>
    <x v="0"/>
    <s v="Mujeres"/>
    <n v="15"/>
    <x v="9"/>
    <x v="2"/>
    <x v="1"/>
    <x v="15"/>
    <s v="Ninguno"/>
    <s v="Sentencias Dictadas por Delitos Vinculados a la Mujer"/>
    <s v="Periodo 2013-2019"/>
    <s v="Número de sentencias"/>
    <s v="Poder Judicial"/>
    <x v="339"/>
    <s v="El gráfico muestra la evolución anual de la frecuencia de Sentencias Dictadas por Delitos Vinculados a la Mujer por Delito en la Región de Arica y Parinacota durante el Periodo 2013-2019 de acuerdo a datos provenientes del Poder Judicial de Chile."/>
    <s v="Gráfico de Evolución"/>
    <s v="sociedad delincuencia delitos frecuencia sentencias secuestro homicidio tortura aborto lesiones mujer violencia femicidio arica parinacota"/>
    <x v="410"/>
    <s v="100-R-15"/>
    <s v="#1774B107"/>
    <e v="#VALUE!"/>
    <e v="#VALUE!"/>
    <e v="#VALUE!"/>
    <e v="#VALUE!"/>
    <e v="#VALUE!"/>
    <e v="#VALUE!"/>
  </r>
  <r>
    <x v="411"/>
    <n v="300"/>
    <x v="0"/>
    <s v="Mujeres"/>
    <n v="16"/>
    <x v="9"/>
    <x v="2"/>
    <x v="1"/>
    <x v="16"/>
    <s v="Ninguno"/>
    <s v="Sentencias Dictadas por Delitos Vinculados a la Mujer"/>
    <s v="Periodo 2013-2019"/>
    <s v="Número de sentencias"/>
    <s v="Poder Judicial"/>
    <x v="340"/>
    <s v="El gráfico muestra la evolución anual de la frecuencia de Sentencias Dictadas por Delitos Vinculados a la Mujer por Delito en la Región de Ñuble durante el Periodo 2013-2019 de acuerdo a datos provenientes del Poder Judicial de Chile."/>
    <s v="Gráfico de Evolución"/>
    <s v="sociedad delincuencia delitos frecuencia sentencias secuestro homicidio tortura aborto lesiones mujer violencia femicidio ñuble"/>
    <x v="411"/>
    <s v="100-R-16"/>
    <s v="#1774B107"/>
    <e v="#VALUE!"/>
    <e v="#VALUE!"/>
    <e v="#VALUE!"/>
    <e v="#VALUE!"/>
    <e v="#VALUE!"/>
    <e v="#VALUE!"/>
  </r>
  <r>
    <x v="412"/>
    <n v="300"/>
    <x v="0"/>
    <s v="Mujeres"/>
    <n v="1"/>
    <x v="9"/>
    <x v="2"/>
    <x v="2"/>
    <x v="17"/>
    <s v="Ninguno"/>
    <s v="Sentencias Dictadas por Delitos Vinculados a la Mujer"/>
    <s v="Periodo 2013-2019"/>
    <s v="Número de sentencias"/>
    <s v="Poder Judicial"/>
    <x v="341"/>
    <s v="El gráfico muestra la evolución anual de la frecuencia de Sentencias Dictadas por Delitos Vinculados a la Mujer por Tipo de Delito en el Juzgado de Garantía de Iquiq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2"/>
    <s v="100-C-1"/>
    <s v="#1774B107"/>
    <e v="#VALUE!"/>
    <e v="#VALUE!"/>
    <e v="#VALUE!"/>
    <e v="#VALUE!"/>
    <e v="#VALUE!"/>
    <e v="#VALUE!"/>
  </r>
  <r>
    <x v="413"/>
    <n v="300"/>
    <x v="0"/>
    <s v="Mujeres"/>
    <n v="2"/>
    <x v="9"/>
    <x v="2"/>
    <x v="2"/>
    <x v="18"/>
    <s v="Ninguno"/>
    <s v="Sentencias Dictadas por Delitos Vinculados a la Mujer"/>
    <s v="Periodo 2013-2019"/>
    <s v="Número de sentencias"/>
    <s v="Poder Judicial"/>
    <x v="342"/>
    <s v="El gráfico muestra la evolución anual de la frecuencia de Sentencias Dictadas por Delitos Vinculados a la Mujer por Tipo de Delito en el Juzgado de Garantía de Antofagast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3"/>
    <s v="100-C-2"/>
    <s v="#1774B107"/>
    <e v="#VALUE!"/>
    <e v="#VALUE!"/>
    <e v="#VALUE!"/>
    <e v="#VALUE!"/>
    <e v="#VALUE!"/>
    <e v="#VALUE!"/>
  </r>
  <r>
    <x v="414"/>
    <n v="300"/>
    <x v="0"/>
    <s v="Mujeres"/>
    <n v="3"/>
    <x v="9"/>
    <x v="2"/>
    <x v="2"/>
    <x v="19"/>
    <s v="Ninguno"/>
    <s v="Sentencias Dictadas por Delitos Vinculados a la Mujer"/>
    <s v="Periodo 2013-2019"/>
    <s v="Número de sentencias"/>
    <s v="Poder Judicial"/>
    <x v="343"/>
    <s v="El gráfico muestra la evolución anual de la frecuencia de Sentencias Dictadas por Delitos Vinculados a la Mujer por Tipo de Delito en el Juzgado de Garantía de Calam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4"/>
    <s v="100-C-2"/>
    <s v="#1774B107"/>
    <e v="#VALUE!"/>
    <e v="#VALUE!"/>
    <e v="#VALUE!"/>
    <e v="#VALUE!"/>
    <e v="#VALUE!"/>
    <e v="#VALUE!"/>
  </r>
  <r>
    <x v="415"/>
    <n v="300"/>
    <x v="0"/>
    <s v="Mujeres"/>
    <n v="4"/>
    <x v="9"/>
    <x v="2"/>
    <x v="2"/>
    <x v="20"/>
    <s v="Ninguno"/>
    <s v="Sentencias Dictadas por Delitos Vinculados a la Mujer"/>
    <s v="Periodo 2013-2019"/>
    <s v="Número de sentencias"/>
    <s v="Poder Judicial"/>
    <x v="344"/>
    <s v="El gráfico muestra la evolución anual de la frecuencia de Sentencias Dictadas por Delitos Vinculados a la Mujer por Tipo de Delito en el Juzgado de Garantía de Tocopill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5"/>
    <s v="100-C-2"/>
    <s v="#1774B107"/>
    <e v="#VALUE!"/>
    <e v="#VALUE!"/>
    <e v="#VALUE!"/>
    <e v="#VALUE!"/>
    <e v="#VALUE!"/>
    <e v="#VALUE!"/>
  </r>
  <r>
    <x v="416"/>
    <n v="300"/>
    <x v="0"/>
    <s v="Mujeres"/>
    <n v="5"/>
    <x v="9"/>
    <x v="2"/>
    <x v="2"/>
    <x v="21"/>
    <s v="Ninguno"/>
    <s v="Sentencias Dictadas por Delitos Vinculados a la Mujer"/>
    <s v="Periodo 2013-2019"/>
    <s v="Número de sentencias"/>
    <s v="Poder Judicial"/>
    <x v="345"/>
    <s v="El gráfico muestra la evolución anual de la frecuencia de Sentencias Dictadas por Delitos Vinculados a la Mujer por Tipo de Delito en el Juzgado de Garantía de Copiap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6"/>
    <s v="100-C-3"/>
    <s v="#1774B107"/>
    <e v="#VALUE!"/>
    <e v="#VALUE!"/>
    <e v="#VALUE!"/>
    <e v="#VALUE!"/>
    <e v="#VALUE!"/>
    <e v="#VALUE!"/>
  </r>
  <r>
    <x v="417"/>
    <n v="300"/>
    <x v="0"/>
    <s v="Mujeres"/>
    <n v="6"/>
    <x v="9"/>
    <x v="2"/>
    <x v="2"/>
    <x v="22"/>
    <s v="Ninguno"/>
    <s v="Sentencias Dictadas por Delitos Vinculados a la Mujer"/>
    <s v="Periodo 2013-2019"/>
    <s v="Número de sentencias"/>
    <s v="Poder Judicial"/>
    <x v="346"/>
    <s v="El gráfico muestra la evolución anual de la frecuencia de Sentencias Dictadas por Delitos Vinculados a la Mujer por Tipo de Delito en el Juzgado de Garantía de Diego de Almag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7"/>
    <s v="100-C-3"/>
    <s v="#1774B107"/>
    <e v="#VALUE!"/>
    <e v="#VALUE!"/>
    <e v="#VALUE!"/>
    <e v="#VALUE!"/>
    <e v="#VALUE!"/>
    <e v="#VALUE!"/>
  </r>
  <r>
    <x v="418"/>
    <n v="300"/>
    <x v="0"/>
    <s v="Mujeres"/>
    <n v="7"/>
    <x v="9"/>
    <x v="2"/>
    <x v="2"/>
    <x v="23"/>
    <s v="Ninguno"/>
    <s v="Sentencias Dictadas por Delitos Vinculados a la Mujer"/>
    <s v="Periodo 2013-2019"/>
    <s v="Número de sentencias"/>
    <s v="Poder Judicial"/>
    <x v="347"/>
    <s v="El gráfico muestra la evolución anual de la frecuencia de Sentencias Dictadas por Delitos Vinculados a la Mujer por Tipo de Delito en el Juzgado de Garantía de Vallena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8"/>
    <s v="100-C-3"/>
    <s v="#1774B107"/>
    <e v="#VALUE!"/>
    <e v="#VALUE!"/>
    <e v="#VALUE!"/>
    <e v="#VALUE!"/>
    <e v="#VALUE!"/>
    <e v="#VALUE!"/>
  </r>
  <r>
    <x v="419"/>
    <n v="300"/>
    <x v="0"/>
    <s v="Mujeres"/>
    <n v="8"/>
    <x v="9"/>
    <x v="2"/>
    <x v="2"/>
    <x v="24"/>
    <s v="Ninguno"/>
    <s v="Sentencias Dictadas por Delitos Vinculados a la Mujer"/>
    <s v="Periodo 2013-2019"/>
    <s v="Número de sentencias"/>
    <s v="Poder Judicial"/>
    <x v="348"/>
    <s v="El gráfico muestra la evolución anual de la frecuencia de Sentencias Dictadas por Delitos Vinculados a la Mujer por Tipo de Delito en el Juzgado de Garantía de Coquimb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19"/>
    <s v="100-C-4"/>
    <s v="#1774B107"/>
    <e v="#VALUE!"/>
    <e v="#VALUE!"/>
    <e v="#VALUE!"/>
    <e v="#VALUE!"/>
    <e v="#VALUE!"/>
    <e v="#VALUE!"/>
  </r>
  <r>
    <x v="420"/>
    <n v="300"/>
    <x v="0"/>
    <s v="Mujeres"/>
    <n v="9"/>
    <x v="9"/>
    <x v="2"/>
    <x v="2"/>
    <x v="25"/>
    <s v="Ninguno"/>
    <s v="Sentencias Dictadas por Delitos Vinculados a la Mujer"/>
    <s v="Periodo 2013-2019"/>
    <s v="Número de sentencias"/>
    <s v="Poder Judicial"/>
    <x v="349"/>
    <s v="El gráfico muestra la evolución anual de la frecuencia de Sentencias Dictadas por Delitos Vinculados a la Mujer por Tipo de Delito en el Juzgado de Garantía de Illape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0"/>
    <s v="100-C-4"/>
    <s v="#1774B107"/>
    <e v="#VALUE!"/>
    <e v="#VALUE!"/>
    <e v="#VALUE!"/>
    <e v="#VALUE!"/>
    <e v="#VALUE!"/>
    <e v="#VALUE!"/>
  </r>
  <r>
    <x v="421"/>
    <n v="300"/>
    <x v="0"/>
    <s v="Mujeres"/>
    <n v="10"/>
    <x v="9"/>
    <x v="2"/>
    <x v="2"/>
    <x v="26"/>
    <s v="Ninguno"/>
    <s v="Sentencias Dictadas por Delitos Vinculados a la Mujer"/>
    <s v="Periodo 2013-2019"/>
    <s v="Número de sentencias"/>
    <s v="Poder Judicial"/>
    <x v="350"/>
    <s v="El gráfico muestra la evolución anual de la frecuencia de Sentencias Dictadas por Delitos Vinculados a la Mujer por Tipo de Delito en el Juzgado de Garantía de La Sere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1"/>
    <s v="100-C-4"/>
    <s v="#1774B107"/>
    <e v="#VALUE!"/>
    <e v="#VALUE!"/>
    <e v="#VALUE!"/>
    <e v="#VALUE!"/>
    <e v="#VALUE!"/>
    <e v="#VALUE!"/>
  </r>
  <r>
    <x v="422"/>
    <n v="300"/>
    <x v="0"/>
    <s v="Mujeres"/>
    <n v="11"/>
    <x v="9"/>
    <x v="2"/>
    <x v="2"/>
    <x v="27"/>
    <s v="Ninguno"/>
    <s v="Sentencias Dictadas por Delitos Vinculados a la Mujer"/>
    <s v="Periodo 2013-2019"/>
    <s v="Número de sentencias"/>
    <s v="Poder Judicial"/>
    <x v="351"/>
    <s v="El gráfico muestra la evolución anual de la frecuencia de Sentencias Dictadas por Delitos Vinculados a la Mujer por Tipo de Delito en el Juzgado de Garantía de Ovall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2"/>
    <s v="100-C-4"/>
    <s v="#1774B107"/>
    <e v="#VALUE!"/>
    <e v="#VALUE!"/>
    <e v="#VALUE!"/>
    <e v="#VALUE!"/>
    <e v="#VALUE!"/>
    <e v="#VALUE!"/>
  </r>
  <r>
    <x v="423"/>
    <n v="300"/>
    <x v="0"/>
    <s v="Mujeres"/>
    <n v="12"/>
    <x v="9"/>
    <x v="2"/>
    <x v="2"/>
    <x v="28"/>
    <s v="Ninguno"/>
    <s v="Sentencias Dictadas por Delitos Vinculados a la Mujer"/>
    <s v="Periodo 2013-2019"/>
    <s v="Número de sentencias"/>
    <s v="Poder Judicial"/>
    <x v="352"/>
    <s v="El gráfico muestra la evolución anual de la frecuencia de Sentencias Dictadas por Delitos Vinculados a la Mujer por Tipo de Delito en el Juzgado de Garantía de Vicuñ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3"/>
    <s v="100-C-4"/>
    <s v="#1774B107"/>
    <e v="#VALUE!"/>
    <e v="#VALUE!"/>
    <e v="#VALUE!"/>
    <e v="#VALUE!"/>
    <e v="#VALUE!"/>
    <e v="#VALUE!"/>
  </r>
  <r>
    <x v="424"/>
    <n v="300"/>
    <x v="0"/>
    <s v="Mujeres"/>
    <n v="13"/>
    <x v="9"/>
    <x v="2"/>
    <x v="2"/>
    <x v="29"/>
    <s v="Ninguno"/>
    <s v="Sentencias Dictadas por Delitos Vinculados a la Mujer"/>
    <s v="Periodo 2013-2019"/>
    <s v="Número de sentencias"/>
    <s v="Poder Judicial"/>
    <x v="353"/>
    <s v="El gráfico muestra la evolución anual de la frecuencia de Sentencias Dictadas por Delitos Vinculados a la Mujer por Tipo de Delito en el Juzgado de Garantía de Caler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4"/>
    <s v="100-C-5"/>
    <s v="#1774B107"/>
    <e v="#VALUE!"/>
    <e v="#VALUE!"/>
    <e v="#VALUE!"/>
    <e v="#VALUE!"/>
    <e v="#VALUE!"/>
    <e v="#VALUE!"/>
  </r>
  <r>
    <x v="425"/>
    <n v="300"/>
    <x v="0"/>
    <s v="Mujeres"/>
    <n v="14"/>
    <x v="9"/>
    <x v="2"/>
    <x v="2"/>
    <x v="30"/>
    <s v="Ninguno"/>
    <s v="Sentencias Dictadas por Delitos Vinculados a la Mujer"/>
    <s v="Periodo 2013-2019"/>
    <s v="Número de sentencias"/>
    <s v="Poder Judicial"/>
    <x v="354"/>
    <s v="El gráfico muestra la evolución anual de la frecuencia de Sentencias Dictadas por Delitos Vinculados a la Mujer por Tipo de Delito en el Juzgado de Garantía de La Ligu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5"/>
    <s v="100-C-5"/>
    <s v="#1774B107"/>
    <e v="#VALUE!"/>
    <e v="#VALUE!"/>
    <e v="#VALUE!"/>
    <e v="#VALUE!"/>
    <e v="#VALUE!"/>
    <e v="#VALUE!"/>
  </r>
  <r>
    <x v="426"/>
    <n v="300"/>
    <x v="0"/>
    <s v="Mujeres"/>
    <n v="15"/>
    <x v="9"/>
    <x v="2"/>
    <x v="2"/>
    <x v="31"/>
    <s v="Ninguno"/>
    <s v="Sentencias Dictadas por Delitos Vinculados a la Mujer"/>
    <s v="Periodo 2013-2019"/>
    <s v="Número de sentencias"/>
    <s v="Poder Judicial"/>
    <x v="355"/>
    <s v="El gráfico muestra la evolución anual de la frecuencia de Sentencias Dictadas por Delitos Vinculados a la Mujer por Tipo de Delito en el Juzgado de Garantía de Limach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6"/>
    <s v="100-C-5"/>
    <s v="#1774B107"/>
    <e v="#VALUE!"/>
    <e v="#VALUE!"/>
    <e v="#VALUE!"/>
    <e v="#VALUE!"/>
    <e v="#VALUE!"/>
    <e v="#VALUE!"/>
  </r>
  <r>
    <x v="427"/>
    <n v="300"/>
    <x v="0"/>
    <s v="Mujeres"/>
    <n v="16"/>
    <x v="9"/>
    <x v="2"/>
    <x v="2"/>
    <x v="32"/>
    <s v="Ninguno"/>
    <s v="Sentencias Dictadas por Delitos Vinculados a la Mujer"/>
    <s v="Periodo 2013-2019"/>
    <s v="Número de sentencias"/>
    <s v="Poder Judicial"/>
    <x v="356"/>
    <s v="El gráfico muestra la evolución anual de la frecuencia de Sentencias Dictadas por Delitos Vinculados a la Mujer por Tipo de Delito en el Juzgado de Garantía de Los And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7"/>
    <s v="100-C-5"/>
    <s v="#1774B107"/>
    <e v="#VALUE!"/>
    <e v="#VALUE!"/>
    <e v="#VALUE!"/>
    <e v="#VALUE!"/>
    <e v="#VALUE!"/>
    <e v="#VALUE!"/>
  </r>
  <r>
    <x v="428"/>
    <n v="300"/>
    <x v="0"/>
    <s v="Mujeres"/>
    <n v="17"/>
    <x v="9"/>
    <x v="2"/>
    <x v="2"/>
    <x v="33"/>
    <s v="Ninguno"/>
    <s v="Sentencias Dictadas por Delitos Vinculados a la Mujer"/>
    <s v="Periodo 2013-2019"/>
    <s v="Número de sentencias"/>
    <s v="Poder Judicial"/>
    <x v="357"/>
    <s v="El gráfico muestra la evolución anual de la frecuencia de Sentencias Dictadas por Delitos Vinculados a la Mujer por Tipo de Delito en el Juzgado de Garantía de Quillot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8"/>
    <s v="100-C-5"/>
    <s v="#1774B107"/>
    <e v="#VALUE!"/>
    <e v="#VALUE!"/>
    <e v="#VALUE!"/>
    <e v="#VALUE!"/>
    <e v="#VALUE!"/>
    <e v="#VALUE!"/>
  </r>
  <r>
    <x v="429"/>
    <n v="300"/>
    <x v="0"/>
    <s v="Mujeres"/>
    <n v="18"/>
    <x v="9"/>
    <x v="2"/>
    <x v="2"/>
    <x v="34"/>
    <s v="Ninguno"/>
    <s v="Sentencias Dictadas por Delitos Vinculados a la Mujer"/>
    <s v="Periodo 2013-2019"/>
    <s v="Número de sentencias"/>
    <s v="Poder Judicial"/>
    <x v="358"/>
    <s v="El gráfico muestra la evolución anual de la frecuencia de Sentencias Dictadas por Delitos Vinculados a la Mujer por Tipo de Delito en el Juzgado de Garantía de Quilp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29"/>
    <s v="100-C-5"/>
    <s v="#1774B107"/>
    <e v="#VALUE!"/>
    <e v="#VALUE!"/>
    <e v="#VALUE!"/>
    <e v="#VALUE!"/>
    <e v="#VALUE!"/>
    <e v="#VALUE!"/>
  </r>
  <r>
    <x v="430"/>
    <n v="300"/>
    <x v="0"/>
    <s v="Mujeres"/>
    <n v="19"/>
    <x v="9"/>
    <x v="2"/>
    <x v="2"/>
    <x v="35"/>
    <s v="Ninguno"/>
    <s v="Sentencias Dictadas por Delitos Vinculados a la Mujer"/>
    <s v="Periodo 2013-2019"/>
    <s v="Número de sentencias"/>
    <s v="Poder Judicial"/>
    <x v="359"/>
    <s v="El gráfico muestra la evolución anual de la frecuencia de Sentencias Dictadas por Delitos Vinculados a la Mujer por Tipo de Delito en el Juzgado de Garantía de San Felip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0"/>
    <s v="100-C-5"/>
    <s v="#1774B107"/>
    <e v="#VALUE!"/>
    <e v="#VALUE!"/>
    <e v="#VALUE!"/>
    <e v="#VALUE!"/>
    <e v="#VALUE!"/>
    <e v="#VALUE!"/>
  </r>
  <r>
    <x v="431"/>
    <n v="300"/>
    <x v="0"/>
    <s v="Mujeres"/>
    <n v="20"/>
    <x v="9"/>
    <x v="2"/>
    <x v="2"/>
    <x v="36"/>
    <s v="Ninguno"/>
    <s v="Sentencias Dictadas por Delitos Vinculados a la Mujer"/>
    <s v="Periodo 2013-2019"/>
    <s v="Número de sentencias"/>
    <s v="Poder Judicial"/>
    <x v="360"/>
    <s v="El gráfico muestra la evolución anual de la frecuencia de Sentencias Dictadas por Delitos Vinculados a la Mujer por Tipo de Delito en el Juzgado de Garantía de Valparais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1"/>
    <s v="100-C-5"/>
    <s v="#1774B107"/>
    <e v="#VALUE!"/>
    <e v="#VALUE!"/>
    <e v="#VALUE!"/>
    <e v="#VALUE!"/>
    <e v="#VALUE!"/>
    <e v="#VALUE!"/>
  </r>
  <r>
    <x v="432"/>
    <n v="300"/>
    <x v="0"/>
    <s v="Mujeres"/>
    <n v="21"/>
    <x v="9"/>
    <x v="2"/>
    <x v="2"/>
    <x v="37"/>
    <s v="Ninguno"/>
    <s v="Sentencias Dictadas por Delitos Vinculados a la Mujer"/>
    <s v="Periodo 2013-2019"/>
    <s v="Número de sentencias"/>
    <s v="Poder Judicial"/>
    <x v="361"/>
    <s v="El gráfico muestra la evolución anual de la frecuencia de Sentencias Dictadas por Delitos Vinculados a la Mujer por Tipo de Delito en el Juzgado de Garantía de Villa Alema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2"/>
    <s v="100-C-5"/>
    <s v="#1774B107"/>
    <e v="#VALUE!"/>
    <e v="#VALUE!"/>
    <e v="#VALUE!"/>
    <e v="#VALUE!"/>
    <e v="#VALUE!"/>
    <e v="#VALUE!"/>
  </r>
  <r>
    <x v="433"/>
    <n v="300"/>
    <x v="0"/>
    <s v="Mujeres"/>
    <n v="22"/>
    <x v="9"/>
    <x v="2"/>
    <x v="2"/>
    <x v="38"/>
    <s v="Ninguno"/>
    <s v="Sentencias Dictadas por Delitos Vinculados a la Mujer"/>
    <s v="Periodo 2013-2019"/>
    <s v="Número de sentencias"/>
    <s v="Poder Judicial"/>
    <x v="362"/>
    <s v="El gráfico muestra la evolución anual de la frecuencia de Sentencias Dictadas por Delitos Vinculados a la Mujer por Tipo de Delito en el Juzgado de Garantía de Viña Del Ma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3"/>
    <s v="100-C-5"/>
    <s v="#1774B107"/>
    <e v="#VALUE!"/>
    <e v="#VALUE!"/>
    <e v="#VALUE!"/>
    <e v="#VALUE!"/>
    <e v="#VALUE!"/>
    <e v="#VALUE!"/>
  </r>
  <r>
    <x v="434"/>
    <n v="300"/>
    <x v="0"/>
    <s v="Mujeres"/>
    <n v="23"/>
    <x v="9"/>
    <x v="2"/>
    <x v="2"/>
    <x v="39"/>
    <s v="Ninguno"/>
    <s v="Sentencias Dictadas por Delitos Vinculados a la Mujer"/>
    <s v="Periodo 2013-2019"/>
    <s v="Número de sentencias"/>
    <s v="Poder Judicial"/>
    <x v="363"/>
    <s v="El gráfico muestra la evolución anual de la frecuencia de Sentencias Dictadas por Delitos Vinculados a la Mujer por Tipo de Delito en el Juzgado de Garantía de Graner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4"/>
    <s v="100-C-6"/>
    <s v="#1774B107"/>
    <e v="#VALUE!"/>
    <e v="#VALUE!"/>
    <e v="#VALUE!"/>
    <e v="#VALUE!"/>
    <e v="#VALUE!"/>
    <e v="#VALUE!"/>
  </r>
  <r>
    <x v="435"/>
    <n v="300"/>
    <x v="0"/>
    <s v="Mujeres"/>
    <n v="24"/>
    <x v="9"/>
    <x v="2"/>
    <x v="2"/>
    <x v="40"/>
    <s v="Ninguno"/>
    <s v="Sentencias Dictadas por Delitos Vinculados a la Mujer"/>
    <s v="Periodo 2013-2019"/>
    <s v="Número de sentencias"/>
    <s v="Poder Judicial"/>
    <x v="364"/>
    <s v="El gráfico muestra la evolución anual de la frecuencia de Sentencias Dictadas por Delitos Vinculados a la Mujer por Tipo de Delito en el Juzgado de Garantía de Rancagu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5"/>
    <s v="100-C-6"/>
    <s v="#1774B107"/>
    <e v="#VALUE!"/>
    <e v="#VALUE!"/>
    <e v="#VALUE!"/>
    <e v="#VALUE!"/>
    <e v="#VALUE!"/>
    <e v="#VALUE!"/>
  </r>
  <r>
    <x v="436"/>
    <n v="300"/>
    <x v="0"/>
    <s v="Mujeres"/>
    <n v="25"/>
    <x v="9"/>
    <x v="2"/>
    <x v="2"/>
    <x v="41"/>
    <s v="Ninguno"/>
    <s v="Sentencias Dictadas por Delitos Vinculados a la Mujer"/>
    <s v="Periodo 2013-2019"/>
    <s v="Número de sentencias"/>
    <s v="Poder Judicial"/>
    <x v="365"/>
    <s v="El gráfico muestra la evolución anual de la frecuencia de Sentencias Dictadas por Delitos Vinculados a la Mujer por Tipo de Delito en el Juzgado de Garantía de Ren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6"/>
    <s v="100-C-6"/>
    <s v="#1774B107"/>
    <e v="#VALUE!"/>
    <e v="#VALUE!"/>
    <e v="#VALUE!"/>
    <e v="#VALUE!"/>
    <e v="#VALUE!"/>
    <e v="#VALUE!"/>
  </r>
  <r>
    <x v="437"/>
    <n v="300"/>
    <x v="0"/>
    <s v="Mujeres"/>
    <n v="26"/>
    <x v="9"/>
    <x v="2"/>
    <x v="2"/>
    <x v="42"/>
    <s v="Ninguno"/>
    <s v="Sentencias Dictadas por Delitos Vinculados a la Mujer"/>
    <s v="Periodo 2013-2019"/>
    <s v="Número de sentencias"/>
    <s v="Poder Judicial"/>
    <x v="366"/>
    <s v="El gráfico muestra la evolución anual de la frecuencia de Sentencias Dictadas por Delitos Vinculados a la Mujer por Tipo de Delito en el Juzgado de Garantía de San Fernand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7"/>
    <s v="100-C-6"/>
    <s v="#1774B107"/>
    <e v="#VALUE!"/>
    <e v="#VALUE!"/>
    <e v="#VALUE!"/>
    <e v="#VALUE!"/>
    <e v="#VALUE!"/>
    <e v="#VALUE!"/>
  </r>
  <r>
    <x v="438"/>
    <n v="300"/>
    <x v="0"/>
    <s v="Mujeres"/>
    <n v="27"/>
    <x v="9"/>
    <x v="2"/>
    <x v="2"/>
    <x v="43"/>
    <s v="Ninguno"/>
    <s v="Sentencias Dictadas por Delitos Vinculados a la Mujer"/>
    <s v="Periodo 2013-2019"/>
    <s v="Número de sentencias"/>
    <s v="Poder Judicial"/>
    <x v="367"/>
    <s v="El gráfico muestra la evolución anual de la frecuencia de Sentencias Dictadas por Delitos Vinculados a la Mujer por Tipo de Delito en el Juzgado de Garantía de San Vicen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8"/>
    <s v="100-C-6"/>
    <s v="#1774B107"/>
    <e v="#VALUE!"/>
    <e v="#VALUE!"/>
    <e v="#VALUE!"/>
    <e v="#VALUE!"/>
    <e v="#VALUE!"/>
    <e v="#VALUE!"/>
  </r>
  <r>
    <x v="439"/>
    <n v="300"/>
    <x v="0"/>
    <s v="Mujeres"/>
    <n v="28"/>
    <x v="9"/>
    <x v="2"/>
    <x v="2"/>
    <x v="44"/>
    <s v="Ninguno"/>
    <s v="Sentencias Dictadas por Delitos Vinculados a la Mujer"/>
    <s v="Periodo 2013-2019"/>
    <s v="Número de sentencias"/>
    <s v="Poder Judicial"/>
    <x v="368"/>
    <s v="El gráfico muestra la evolución anual de la frecuencia de Sentencias Dictadas por Delitos Vinculados a la Mujer por Tipo de Delito en el Juzgado de Garantía de Santa Cruz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39"/>
    <s v="100-C-6"/>
    <s v="#1774B107"/>
    <e v="#VALUE!"/>
    <e v="#VALUE!"/>
    <e v="#VALUE!"/>
    <e v="#VALUE!"/>
    <e v="#VALUE!"/>
    <e v="#VALUE!"/>
  </r>
  <r>
    <x v="440"/>
    <n v="300"/>
    <x v="0"/>
    <s v="Mujeres"/>
    <n v="29"/>
    <x v="9"/>
    <x v="2"/>
    <x v="2"/>
    <x v="45"/>
    <s v="Ninguno"/>
    <s v="Sentencias Dictadas por Delitos Vinculados a la Mujer"/>
    <s v="Periodo 2013-2019"/>
    <s v="Número de sentencias"/>
    <s v="Poder Judicial"/>
    <x v="369"/>
    <s v="El gráfico muestra la evolución anual de la frecuencia de Sentencias Dictadas por Delitos Vinculados a la Mujer por Tipo de Delito en el Juzgado de Garantía de Cauquen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0"/>
    <s v="100-C-7"/>
    <s v="#1774B107"/>
    <e v="#VALUE!"/>
    <e v="#VALUE!"/>
    <e v="#VALUE!"/>
    <e v="#VALUE!"/>
    <e v="#VALUE!"/>
    <e v="#VALUE!"/>
  </r>
  <r>
    <x v="441"/>
    <n v="300"/>
    <x v="0"/>
    <s v="Mujeres"/>
    <n v="30"/>
    <x v="9"/>
    <x v="2"/>
    <x v="2"/>
    <x v="46"/>
    <s v="Ninguno"/>
    <s v="Sentencias Dictadas por Delitos Vinculados a la Mujer"/>
    <s v="Periodo 2013-2019"/>
    <s v="Número de sentencias"/>
    <s v="Poder Judicial"/>
    <x v="370"/>
    <s v="El gráfico muestra la evolución anual de la frecuencia de Sentencias Dictadas por Delitos Vinculados a la Mujer por Tipo de Delito en el Juzgado de Garantía de Constitucio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1"/>
    <s v="100-C-7"/>
    <s v="#1774B107"/>
    <e v="#VALUE!"/>
    <e v="#VALUE!"/>
    <e v="#VALUE!"/>
    <e v="#VALUE!"/>
    <e v="#VALUE!"/>
    <e v="#VALUE!"/>
  </r>
  <r>
    <x v="442"/>
    <n v="300"/>
    <x v="0"/>
    <s v="Mujeres"/>
    <n v="31"/>
    <x v="9"/>
    <x v="2"/>
    <x v="2"/>
    <x v="47"/>
    <s v="Ninguno"/>
    <s v="Sentencias Dictadas por Delitos Vinculados a la Mujer"/>
    <s v="Periodo 2013-2019"/>
    <s v="Número de sentencias"/>
    <s v="Poder Judicial"/>
    <x v="371"/>
    <s v="El gráfico muestra la evolución anual de la frecuencia de Sentencias Dictadas por Delitos Vinculados a la Mujer por Tipo de Delito en el Juzgado de Garantía de Curi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2"/>
    <s v="100-C-7"/>
    <s v="#1774B107"/>
    <e v="#VALUE!"/>
    <e v="#VALUE!"/>
    <e v="#VALUE!"/>
    <e v="#VALUE!"/>
    <e v="#VALUE!"/>
    <e v="#VALUE!"/>
  </r>
  <r>
    <x v="443"/>
    <n v="300"/>
    <x v="0"/>
    <s v="Mujeres"/>
    <n v="32"/>
    <x v="9"/>
    <x v="2"/>
    <x v="2"/>
    <x v="48"/>
    <s v="Ninguno"/>
    <s v="Sentencias Dictadas por Delitos Vinculados a la Mujer"/>
    <s v="Periodo 2013-2019"/>
    <s v="Número de sentencias"/>
    <s v="Poder Judicial"/>
    <x v="372"/>
    <s v="El gráfico muestra la evolución anual de la frecuencia de Sentencias Dictadas por Delitos Vinculados a la Mujer por Tipo de Delito en el Juzgado de Garantía de Linar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3"/>
    <s v="100-C-7"/>
    <s v="#1774B107"/>
    <e v="#VALUE!"/>
    <e v="#VALUE!"/>
    <e v="#VALUE!"/>
    <e v="#VALUE!"/>
    <e v="#VALUE!"/>
    <e v="#VALUE!"/>
  </r>
  <r>
    <x v="444"/>
    <n v="300"/>
    <x v="0"/>
    <s v="Mujeres"/>
    <n v="33"/>
    <x v="9"/>
    <x v="2"/>
    <x v="2"/>
    <x v="49"/>
    <s v="Ninguno"/>
    <s v="Sentencias Dictadas por Delitos Vinculados a la Mujer"/>
    <s v="Periodo 2013-2019"/>
    <s v="Número de sentencias"/>
    <s v="Poder Judicial"/>
    <x v="373"/>
    <s v="El gráfico muestra la evolución anual de la frecuencia de Sentencias Dictadas por Delitos Vinculados a la Mujer por Tipo de Delito en el Juzgado de Garantía de Moli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4"/>
    <s v="100-C-7"/>
    <s v="#1774B107"/>
    <e v="#VALUE!"/>
    <e v="#VALUE!"/>
    <e v="#VALUE!"/>
    <e v="#VALUE!"/>
    <e v="#VALUE!"/>
    <e v="#VALUE!"/>
  </r>
  <r>
    <x v="445"/>
    <n v="300"/>
    <x v="0"/>
    <s v="Mujeres"/>
    <n v="34"/>
    <x v="9"/>
    <x v="2"/>
    <x v="2"/>
    <x v="50"/>
    <s v="Ninguno"/>
    <s v="Sentencias Dictadas por Delitos Vinculados a la Mujer"/>
    <s v="Periodo 2013-2019"/>
    <s v="Número de sentencias"/>
    <s v="Poder Judicial"/>
    <x v="374"/>
    <s v="El gráfico muestra la evolución anual de la frecuencia de Sentencias Dictadas por Delitos Vinculados a la Mujer por Tipo de Delito en el Juzgado de Garantía de Parra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5"/>
    <s v="100-C-7"/>
    <s v="#1774B107"/>
    <e v="#VALUE!"/>
    <e v="#VALUE!"/>
    <e v="#VALUE!"/>
    <e v="#VALUE!"/>
    <e v="#VALUE!"/>
    <e v="#VALUE!"/>
  </r>
  <r>
    <x v="446"/>
    <n v="300"/>
    <x v="0"/>
    <s v="Mujeres"/>
    <n v="35"/>
    <x v="9"/>
    <x v="2"/>
    <x v="2"/>
    <x v="51"/>
    <s v="Ninguno"/>
    <s v="Sentencias Dictadas por Delitos Vinculados a la Mujer"/>
    <s v="Periodo 2013-2019"/>
    <s v="Número de sentencias"/>
    <s v="Poder Judicial"/>
    <x v="375"/>
    <s v="El gráfico muestra la evolución anual de la frecuencia de Sentencias Dictadas por Delitos Vinculados a la Mujer por Tipo de Delito en el Juzgado de Garantía de San Javie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6"/>
    <s v="100-C-7"/>
    <s v="#1774B107"/>
    <e v="#VALUE!"/>
    <e v="#VALUE!"/>
    <e v="#VALUE!"/>
    <e v="#VALUE!"/>
    <e v="#VALUE!"/>
    <e v="#VALUE!"/>
  </r>
  <r>
    <x v="447"/>
    <n v="300"/>
    <x v="0"/>
    <s v="Mujeres"/>
    <n v="36"/>
    <x v="9"/>
    <x v="2"/>
    <x v="2"/>
    <x v="52"/>
    <s v="Ninguno"/>
    <s v="Sentencias Dictadas por Delitos Vinculados a la Mujer"/>
    <s v="Periodo 2013-2019"/>
    <s v="Número de sentencias"/>
    <s v="Poder Judicial"/>
    <x v="376"/>
    <s v="El gráfico muestra la evolución anual de la frecuencia de Sentencias Dictadas por Delitos Vinculados a la Mujer por Tipo de Delito en el Juzgado de Garantía de Tal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7"/>
    <s v="100-C-7"/>
    <s v="#1774B107"/>
    <e v="#VALUE!"/>
    <e v="#VALUE!"/>
    <e v="#VALUE!"/>
    <e v="#VALUE!"/>
    <e v="#VALUE!"/>
    <e v="#VALUE!"/>
  </r>
  <r>
    <x v="448"/>
    <n v="300"/>
    <x v="0"/>
    <s v="Mujeres"/>
    <n v="37"/>
    <x v="9"/>
    <x v="2"/>
    <x v="2"/>
    <x v="53"/>
    <s v="Ninguno"/>
    <s v="Sentencias Dictadas por Delitos Vinculados a la Mujer"/>
    <s v="Periodo 2013-2019"/>
    <s v="Número de sentencias"/>
    <s v="Poder Judicial"/>
    <x v="377"/>
    <s v="El gráfico muestra la evolución anual de la frecuencia de Sentencias Dictadas por Delitos Vinculados a la Mujer por Tipo de Delito en el Juzgado de Garantía de Arau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8"/>
    <s v="100-C-8"/>
    <s v="#1774B107"/>
    <e v="#VALUE!"/>
    <e v="#VALUE!"/>
    <e v="#VALUE!"/>
    <e v="#VALUE!"/>
    <e v="#VALUE!"/>
    <e v="#VALUE!"/>
  </r>
  <r>
    <x v="449"/>
    <n v="300"/>
    <x v="0"/>
    <s v="Mujeres"/>
    <n v="38"/>
    <x v="9"/>
    <x v="2"/>
    <x v="2"/>
    <x v="54"/>
    <s v="Ninguno"/>
    <s v="Sentencias Dictadas por Delitos Vinculados a la Mujer"/>
    <s v="Periodo 2013-2019"/>
    <s v="Número de sentencias"/>
    <s v="Poder Judicial"/>
    <x v="378"/>
    <s v="El gráfico muestra la evolución anual de la frecuencia de Sentencias Dictadas por Delitos Vinculados a la Mujer por Tipo de Delito en el Juzgado de Garantía de Cañe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49"/>
    <s v="100-C-8"/>
    <s v="#1774B107"/>
    <e v="#VALUE!"/>
    <e v="#VALUE!"/>
    <e v="#VALUE!"/>
    <e v="#VALUE!"/>
    <e v="#VALUE!"/>
    <e v="#VALUE!"/>
  </r>
  <r>
    <x v="450"/>
    <n v="300"/>
    <x v="0"/>
    <s v="Mujeres"/>
    <n v="39"/>
    <x v="9"/>
    <x v="2"/>
    <x v="2"/>
    <x v="55"/>
    <s v="Ninguno"/>
    <s v="Sentencias Dictadas por Delitos Vinculados a la Mujer"/>
    <s v="Periodo 2013-2019"/>
    <s v="Número de sentencias"/>
    <s v="Poder Judicial"/>
    <x v="379"/>
    <s v="El gráfico muestra la evolución anual de la frecuencia de Sentencias Dictadas por Delitos Vinculados a la Mujer por Tipo de Delito en el Juzgado de Garantía de Chiguayan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0"/>
    <s v="100-C-8"/>
    <s v="#1774B107"/>
    <e v="#VALUE!"/>
    <e v="#VALUE!"/>
    <e v="#VALUE!"/>
    <e v="#VALUE!"/>
    <e v="#VALUE!"/>
    <e v="#VALUE!"/>
  </r>
  <r>
    <x v="451"/>
    <n v="300"/>
    <x v="0"/>
    <s v="Mujeres"/>
    <n v="40"/>
    <x v="9"/>
    <x v="2"/>
    <x v="2"/>
    <x v="56"/>
    <s v="Ninguno"/>
    <s v="Sentencias Dictadas por Delitos Vinculados a la Mujer"/>
    <s v="Periodo 2013-2019"/>
    <s v="Número de sentencias"/>
    <s v="Poder Judicial"/>
    <x v="380"/>
    <s v="El gráfico muestra la evolución anual de la frecuencia de Sentencias Dictadas por Delitos Vinculados a la Mujer por Tipo de Delito en el Juzgado de Garantía de Concepcio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1"/>
    <s v="100-C-8"/>
    <s v="#1774B107"/>
    <e v="#VALUE!"/>
    <e v="#VALUE!"/>
    <e v="#VALUE!"/>
    <e v="#VALUE!"/>
    <e v="#VALUE!"/>
    <e v="#VALUE!"/>
  </r>
  <r>
    <x v="452"/>
    <n v="300"/>
    <x v="0"/>
    <s v="Mujeres"/>
    <n v="41"/>
    <x v="9"/>
    <x v="2"/>
    <x v="2"/>
    <x v="57"/>
    <s v="Ninguno"/>
    <s v="Sentencias Dictadas por Delitos Vinculados a la Mujer"/>
    <s v="Periodo 2013-2019"/>
    <s v="Número de sentencias"/>
    <s v="Poder Judicial"/>
    <x v="381"/>
    <s v="El gráfico muestra la evolución anual de la frecuencia de Sentencias Dictadas por Delitos Vinculados a la Mujer por Tipo de Delito en el Juzgado de Garantía de Corone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2"/>
    <s v="100-C-8"/>
    <s v="#1774B107"/>
    <e v="#VALUE!"/>
    <e v="#VALUE!"/>
    <e v="#VALUE!"/>
    <e v="#VALUE!"/>
    <e v="#VALUE!"/>
    <e v="#VALUE!"/>
  </r>
  <r>
    <x v="453"/>
    <n v="300"/>
    <x v="0"/>
    <s v="Mujeres"/>
    <n v="42"/>
    <x v="9"/>
    <x v="2"/>
    <x v="2"/>
    <x v="58"/>
    <s v="Ninguno"/>
    <s v="Sentencias Dictadas por Delitos Vinculados a la Mujer"/>
    <s v="Periodo 2013-2019"/>
    <s v="Número de sentencias"/>
    <s v="Poder Judicial"/>
    <x v="382"/>
    <s v="El gráfico muestra la evolución anual de la frecuencia de Sentencias Dictadas por Delitos Vinculados a la Mujer por Tipo de Delito en el Juzgado de Garantía de Los Angel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3"/>
    <s v="100-C-8"/>
    <s v="#1774B107"/>
    <e v="#VALUE!"/>
    <e v="#VALUE!"/>
    <e v="#VALUE!"/>
    <e v="#VALUE!"/>
    <e v="#VALUE!"/>
    <e v="#VALUE!"/>
  </r>
  <r>
    <x v="454"/>
    <n v="300"/>
    <x v="0"/>
    <s v="Mujeres"/>
    <n v="43"/>
    <x v="9"/>
    <x v="2"/>
    <x v="2"/>
    <x v="59"/>
    <s v="Ninguno"/>
    <s v="Sentencias Dictadas por Delitos Vinculados a la Mujer"/>
    <s v="Periodo 2013-2019"/>
    <s v="Número de sentencias"/>
    <s v="Poder Judicial"/>
    <x v="383"/>
    <s v="El gráfico muestra la evolución anual de la frecuencia de Sentencias Dictadas por Delitos Vinculados a la Mujer por Tipo de Delito en el Juzgado de Garantía de Talcahuan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4"/>
    <s v="100-C-8"/>
    <s v="#1774B107"/>
    <e v="#VALUE!"/>
    <e v="#VALUE!"/>
    <e v="#VALUE!"/>
    <e v="#VALUE!"/>
    <e v="#VALUE!"/>
    <e v="#VALUE!"/>
  </r>
  <r>
    <x v="455"/>
    <n v="300"/>
    <x v="0"/>
    <s v="Mujeres"/>
    <n v="44"/>
    <x v="9"/>
    <x v="2"/>
    <x v="2"/>
    <x v="60"/>
    <s v="Ninguno"/>
    <s v="Sentencias Dictadas por Delitos Vinculados a la Mujer"/>
    <s v="Periodo 2013-2019"/>
    <s v="Número de sentencias"/>
    <s v="Poder Judicial"/>
    <x v="384"/>
    <s v="El gráfico muestra la evolución anual de la frecuencia de Sentencias Dictadas por Delitos Vinculados a la Mujer por Tipo de Delito en el Juzgado de Garantía de Tom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5"/>
    <s v="100-C-8"/>
    <s v="#1774B107"/>
    <e v="#VALUE!"/>
    <e v="#VALUE!"/>
    <e v="#VALUE!"/>
    <e v="#VALUE!"/>
    <e v="#VALUE!"/>
    <e v="#VALUE!"/>
  </r>
  <r>
    <x v="456"/>
    <n v="300"/>
    <x v="0"/>
    <s v="Mujeres"/>
    <n v="45"/>
    <x v="9"/>
    <x v="2"/>
    <x v="2"/>
    <x v="61"/>
    <s v="Ninguno"/>
    <s v="Sentencias Dictadas por Delitos Vinculados a la Mujer"/>
    <s v="Periodo 2013-2019"/>
    <s v="Número de sentencias"/>
    <s v="Poder Judicial"/>
    <x v="385"/>
    <s v="El gráfico muestra la evolución anual de la frecuencia de Sentencias Dictadas por Delitos Vinculados a la Mujer por Tipo de Delito en el Juzgado de Garantía de Ango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6"/>
    <s v="100-C-9"/>
    <s v="#1774B107"/>
    <e v="#VALUE!"/>
    <e v="#VALUE!"/>
    <e v="#VALUE!"/>
    <e v="#VALUE!"/>
    <e v="#VALUE!"/>
    <e v="#VALUE!"/>
  </r>
  <r>
    <x v="457"/>
    <n v="300"/>
    <x v="0"/>
    <s v="Mujeres"/>
    <n v="46"/>
    <x v="9"/>
    <x v="2"/>
    <x v="2"/>
    <x v="62"/>
    <s v="Ninguno"/>
    <s v="Sentencias Dictadas por Delitos Vinculados a la Mujer"/>
    <s v="Periodo 2013-2019"/>
    <s v="Número de sentencias"/>
    <s v="Poder Judicial"/>
    <x v="386"/>
    <s v="El gráfico muestra la evolución anual de la frecuencia de Sentencias Dictadas por Delitos Vinculados a la Mujer por Tipo de Delito en el Juzgado de Garantía de Lauta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7"/>
    <s v="100-C-9"/>
    <s v="#1774B107"/>
    <e v="#VALUE!"/>
    <e v="#VALUE!"/>
    <e v="#VALUE!"/>
    <e v="#VALUE!"/>
    <e v="#VALUE!"/>
    <e v="#VALUE!"/>
  </r>
  <r>
    <x v="458"/>
    <n v="300"/>
    <x v="0"/>
    <s v="Mujeres"/>
    <n v="47"/>
    <x v="9"/>
    <x v="2"/>
    <x v="2"/>
    <x v="63"/>
    <s v="Ninguno"/>
    <s v="Sentencias Dictadas por Delitos Vinculados a la Mujer"/>
    <s v="Periodo 2013-2019"/>
    <s v="Número de sentencias"/>
    <s v="Poder Judicial"/>
    <x v="387"/>
    <s v="El gráfico muestra la evolución anual de la frecuencia de Sentencias Dictadas por Delitos Vinculados a la Mujer por Tipo de Delito en el Juzgado de Garantía de Loncoch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8"/>
    <s v="100-C-9"/>
    <s v="#1774B107"/>
    <e v="#VALUE!"/>
    <e v="#VALUE!"/>
    <e v="#VALUE!"/>
    <e v="#VALUE!"/>
    <e v="#VALUE!"/>
    <e v="#VALUE!"/>
  </r>
  <r>
    <x v="459"/>
    <n v="300"/>
    <x v="0"/>
    <s v="Mujeres"/>
    <n v="48"/>
    <x v="9"/>
    <x v="2"/>
    <x v="2"/>
    <x v="64"/>
    <s v="Ninguno"/>
    <s v="Sentencias Dictadas por Delitos Vinculados a la Mujer"/>
    <s v="Periodo 2013-2019"/>
    <s v="Número de sentencias"/>
    <s v="Poder Judicial"/>
    <x v="388"/>
    <s v="El gráfico muestra la evolución anual de la frecuencia de Sentencias Dictadas por Delitos Vinculados a la Mujer por Tipo de Delito en el Juzgado de Garantía de Nueva Imperia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59"/>
    <s v="100-C-9"/>
    <s v="#1774B107"/>
    <e v="#VALUE!"/>
    <e v="#VALUE!"/>
    <e v="#VALUE!"/>
    <e v="#VALUE!"/>
    <e v="#VALUE!"/>
    <e v="#VALUE!"/>
  </r>
  <r>
    <x v="460"/>
    <n v="300"/>
    <x v="0"/>
    <s v="Mujeres"/>
    <n v="49"/>
    <x v="9"/>
    <x v="2"/>
    <x v="2"/>
    <x v="65"/>
    <s v="Ninguno"/>
    <s v="Sentencias Dictadas por Delitos Vinculados a la Mujer"/>
    <s v="Periodo 2013-2019"/>
    <s v="Número de sentencias"/>
    <s v="Poder Judicial"/>
    <x v="389"/>
    <s v="El gráfico muestra la evolución anual de la frecuencia de Sentencias Dictadas por Delitos Vinculados a la Mujer por Tipo de Delito en el Juzgado de Garantía de Pitrufque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0"/>
    <s v="100-C-9"/>
    <s v="#1774B107"/>
    <e v="#VALUE!"/>
    <e v="#VALUE!"/>
    <e v="#VALUE!"/>
    <e v="#VALUE!"/>
    <e v="#VALUE!"/>
    <e v="#VALUE!"/>
  </r>
  <r>
    <x v="461"/>
    <n v="300"/>
    <x v="0"/>
    <s v="Mujeres"/>
    <n v="50"/>
    <x v="9"/>
    <x v="2"/>
    <x v="2"/>
    <x v="66"/>
    <s v="Ninguno"/>
    <s v="Sentencias Dictadas por Delitos Vinculados a la Mujer"/>
    <s v="Periodo 2013-2019"/>
    <s v="Número de sentencias"/>
    <s v="Poder Judicial"/>
    <x v="390"/>
    <s v="El gráfico muestra la evolución anual de la frecuencia de Sentencias Dictadas por Delitos Vinculados a la Mujer por Tipo de Delito en el Juzgado de Garantía de Temu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1"/>
    <s v="100-C-9"/>
    <s v="#1774B107"/>
    <e v="#VALUE!"/>
    <e v="#VALUE!"/>
    <e v="#VALUE!"/>
    <e v="#VALUE!"/>
    <e v="#VALUE!"/>
    <e v="#VALUE!"/>
  </r>
  <r>
    <x v="462"/>
    <n v="300"/>
    <x v="0"/>
    <s v="Mujeres"/>
    <n v="51"/>
    <x v="9"/>
    <x v="2"/>
    <x v="2"/>
    <x v="67"/>
    <s v="Ninguno"/>
    <s v="Sentencias Dictadas por Delitos Vinculados a la Mujer"/>
    <s v="Periodo 2013-2019"/>
    <s v="Número de sentencias"/>
    <s v="Poder Judicial"/>
    <x v="391"/>
    <s v="El gráfico muestra la evolución anual de la frecuencia de Sentencias Dictadas por Delitos Vinculados a la Mujer por Tipo de Delito en el Juzgado de Garantía de Victori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2"/>
    <s v="100-C-9"/>
    <s v="#1774B107"/>
    <e v="#VALUE!"/>
    <e v="#VALUE!"/>
    <e v="#VALUE!"/>
    <e v="#VALUE!"/>
    <e v="#VALUE!"/>
    <e v="#VALUE!"/>
  </r>
  <r>
    <x v="463"/>
    <n v="300"/>
    <x v="0"/>
    <s v="Mujeres"/>
    <n v="52"/>
    <x v="9"/>
    <x v="2"/>
    <x v="2"/>
    <x v="68"/>
    <s v="Ninguno"/>
    <s v="Sentencias Dictadas por Delitos Vinculados a la Mujer"/>
    <s v="Periodo 2013-2019"/>
    <s v="Número de sentencias"/>
    <s v="Poder Judicial"/>
    <x v="392"/>
    <s v="El gráfico muestra la evolución anual de la frecuencia de Sentencias Dictadas por Delitos Vinculados a la Mujer por Tipo de Delito en el Juzgado de Garantía de Villarri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3"/>
    <s v="100-C-9"/>
    <s v="#1774B107"/>
    <e v="#VALUE!"/>
    <e v="#VALUE!"/>
    <e v="#VALUE!"/>
    <e v="#VALUE!"/>
    <e v="#VALUE!"/>
    <e v="#VALUE!"/>
  </r>
  <r>
    <x v="464"/>
    <n v="300"/>
    <x v="0"/>
    <s v="Mujeres"/>
    <n v="53"/>
    <x v="9"/>
    <x v="2"/>
    <x v="2"/>
    <x v="69"/>
    <s v="Ninguno"/>
    <s v="Sentencias Dictadas por Delitos Vinculados a la Mujer"/>
    <s v="Periodo 2013-2019"/>
    <s v="Número de sentencias"/>
    <s v="Poder Judicial"/>
    <x v="393"/>
    <s v="El gráfico muestra la evolución anual de la frecuencia de Sentencias Dictadas por Delitos Vinculados a la Mujer por Tipo de Delito en el Juzgado de Garantía de Ancud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4"/>
    <s v="100-C-10"/>
    <s v="#1774B107"/>
    <e v="#VALUE!"/>
    <e v="#VALUE!"/>
    <e v="#VALUE!"/>
    <e v="#VALUE!"/>
    <e v="#VALUE!"/>
    <e v="#VALUE!"/>
  </r>
  <r>
    <x v="465"/>
    <n v="300"/>
    <x v="0"/>
    <s v="Mujeres"/>
    <n v="54"/>
    <x v="9"/>
    <x v="2"/>
    <x v="2"/>
    <x v="70"/>
    <s v="Ninguno"/>
    <s v="Sentencias Dictadas por Delitos Vinculados a la Mujer"/>
    <s v="Periodo 2013-2019"/>
    <s v="Número de sentencias"/>
    <s v="Poder Judicial"/>
    <x v="394"/>
    <s v="El gráfico muestra la evolución anual de la frecuencia de Sentencias Dictadas por Delitos Vinculados a la Mujer por Tipo de Delito en el Juzgado de Garantía de Cast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5"/>
    <s v="100-C-10"/>
    <s v="#1774B107"/>
    <e v="#VALUE!"/>
    <e v="#VALUE!"/>
    <e v="#VALUE!"/>
    <e v="#VALUE!"/>
    <e v="#VALUE!"/>
    <e v="#VALUE!"/>
  </r>
  <r>
    <x v="466"/>
    <n v="300"/>
    <x v="0"/>
    <s v="Mujeres"/>
    <n v="55"/>
    <x v="9"/>
    <x v="2"/>
    <x v="2"/>
    <x v="71"/>
    <s v="Ninguno"/>
    <s v="Sentencias Dictadas por Delitos Vinculados a la Mujer"/>
    <s v="Periodo 2013-2019"/>
    <s v="Número de sentencias"/>
    <s v="Poder Judicial"/>
    <x v="395"/>
    <s v="El gráfico muestra la evolución anual de la frecuencia de Sentencias Dictadas por Delitos Vinculados a la Mujer por Tipo de Delito en el Juzgado de Garantía de Osorn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6"/>
    <s v="100-C-10"/>
    <s v="#1774B107"/>
    <e v="#VALUE!"/>
    <e v="#VALUE!"/>
    <e v="#VALUE!"/>
    <e v="#VALUE!"/>
    <e v="#VALUE!"/>
    <e v="#VALUE!"/>
  </r>
  <r>
    <x v="467"/>
    <n v="300"/>
    <x v="0"/>
    <s v="Mujeres"/>
    <n v="56"/>
    <x v="9"/>
    <x v="2"/>
    <x v="2"/>
    <x v="72"/>
    <s v="Ninguno"/>
    <s v="Sentencias Dictadas por Delitos Vinculados a la Mujer"/>
    <s v="Periodo 2013-2019"/>
    <s v="Número de sentencias"/>
    <s v="Poder Judicial"/>
    <x v="396"/>
    <s v="El gráfico muestra la evolución anual de la frecuencia de Sentencias Dictadas por Delitos Vinculados a la Mujer por Tipo de Delito en el Juzgado de Garantía de Puerto Montt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7"/>
    <s v="100-C-10"/>
    <s v="#1774B107"/>
    <e v="#VALUE!"/>
    <e v="#VALUE!"/>
    <e v="#VALUE!"/>
    <e v="#VALUE!"/>
    <e v="#VALUE!"/>
    <e v="#VALUE!"/>
  </r>
  <r>
    <x v="468"/>
    <n v="300"/>
    <x v="0"/>
    <s v="Mujeres"/>
    <n v="57"/>
    <x v="9"/>
    <x v="2"/>
    <x v="2"/>
    <x v="73"/>
    <s v="Ninguno"/>
    <s v="Sentencias Dictadas por Delitos Vinculados a la Mujer"/>
    <s v="Periodo 2013-2019"/>
    <s v="Número de sentencias"/>
    <s v="Poder Judicial"/>
    <x v="397"/>
    <s v="El gráfico muestra la evolución anual de la frecuencia de Sentencias Dictadas por Delitos Vinculados a la Mujer por Tipo de Delito en el Juzgado de Garantía de Puerto Vara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8"/>
    <s v="100-C-10"/>
    <s v="#1774B107"/>
    <e v="#VALUE!"/>
    <e v="#VALUE!"/>
    <e v="#VALUE!"/>
    <e v="#VALUE!"/>
    <e v="#VALUE!"/>
    <e v="#VALUE!"/>
  </r>
  <r>
    <x v="469"/>
    <n v="300"/>
    <x v="0"/>
    <s v="Mujeres"/>
    <n v="58"/>
    <x v="9"/>
    <x v="2"/>
    <x v="2"/>
    <x v="74"/>
    <s v="Ninguno"/>
    <s v="Sentencias Dictadas por Delitos Vinculados a la Mujer"/>
    <s v="Periodo 2013-2019"/>
    <s v="Número de sentencias"/>
    <s v="Poder Judicial"/>
    <x v="398"/>
    <s v="El gráfico muestra la evolución anual de la frecuencia de Sentencias Dictadas por Delitos Vinculados a la Mujer por Tipo de Delito en el Juzgado de Garantía de Rio Neg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69"/>
    <s v="100-C-10"/>
    <s v="#1774B107"/>
    <e v="#VALUE!"/>
    <e v="#VALUE!"/>
    <e v="#VALUE!"/>
    <e v="#VALUE!"/>
    <e v="#VALUE!"/>
    <e v="#VALUE!"/>
  </r>
  <r>
    <x v="470"/>
    <n v="300"/>
    <x v="0"/>
    <s v="Mujeres"/>
    <n v="59"/>
    <x v="9"/>
    <x v="2"/>
    <x v="2"/>
    <x v="75"/>
    <s v="Ninguno"/>
    <s v="Sentencias Dictadas por Delitos Vinculados a la Mujer"/>
    <s v="Periodo 2013-2019"/>
    <s v="Número de sentencias"/>
    <s v="Poder Judicial"/>
    <x v="399"/>
    <s v="El gráfico muestra la evolución anual de la frecuencia de Sentencias Dictadas por Delitos Vinculados a la Mujer por Tipo de Delito en el Juzgado de Garantía de Coyhaiq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0"/>
    <s v="100-C-11"/>
    <s v="#1774B107"/>
    <e v="#VALUE!"/>
    <e v="#VALUE!"/>
    <e v="#VALUE!"/>
    <e v="#VALUE!"/>
    <e v="#VALUE!"/>
    <e v="#VALUE!"/>
  </r>
  <r>
    <x v="471"/>
    <n v="300"/>
    <x v="0"/>
    <s v="Mujeres"/>
    <n v="60"/>
    <x v="9"/>
    <x v="2"/>
    <x v="2"/>
    <x v="76"/>
    <s v="Ninguno"/>
    <s v="Sentencias Dictadas por Delitos Vinculados a la Mujer"/>
    <s v="Periodo 2013-2019"/>
    <s v="Número de sentencias"/>
    <s v="Poder Judicial"/>
    <x v="400"/>
    <s v="El gráfico muestra la evolución anual de la frecuencia de Sentencias Dictadas por Delitos Vinculados a la Mujer por Tipo de Delito en el Juzgado de Garantía de Punta Arena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1"/>
    <s v="100-C-12"/>
    <s v="#1774B107"/>
    <e v="#VALUE!"/>
    <e v="#VALUE!"/>
    <e v="#VALUE!"/>
    <e v="#VALUE!"/>
    <e v="#VALUE!"/>
    <e v="#VALUE!"/>
  </r>
  <r>
    <x v="472"/>
    <n v="300"/>
    <x v="0"/>
    <s v="Mujeres"/>
    <n v="61"/>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0°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2"/>
    <s v="200-C-13"/>
    <s v="#1774B107"/>
    <e v="#VALUE!"/>
    <e v="#VALUE!"/>
    <e v="#VALUE!"/>
    <e v="#VALUE!"/>
    <e v="#VALUE!"/>
    <e v="#VALUE!"/>
  </r>
  <r>
    <x v="473"/>
    <n v="300"/>
    <x v="0"/>
    <s v="Mujeres"/>
    <n v="62"/>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1°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3"/>
    <s v="200-C-13"/>
    <s v="#1774B107"/>
    <e v="#VALUE!"/>
    <e v="#VALUE!"/>
    <e v="#VALUE!"/>
    <e v="#VALUE!"/>
    <e v="#VALUE!"/>
    <e v="#VALUE!"/>
  </r>
  <r>
    <x v="474"/>
    <n v="300"/>
    <x v="0"/>
    <s v="Mujeres"/>
    <n v="63"/>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2°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4"/>
    <s v="200-C-13"/>
    <s v="#1774B107"/>
    <e v="#VALUE!"/>
    <e v="#VALUE!"/>
    <e v="#VALUE!"/>
    <e v="#VALUE!"/>
    <e v="#VALUE!"/>
    <e v="#VALUE!"/>
  </r>
  <r>
    <x v="475"/>
    <n v="300"/>
    <x v="0"/>
    <s v="Mujeres"/>
    <n v="64"/>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3°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5"/>
    <s v="200-C-13"/>
    <s v="#1774B107"/>
    <e v="#VALUE!"/>
    <e v="#VALUE!"/>
    <e v="#VALUE!"/>
    <e v="#VALUE!"/>
    <e v="#VALUE!"/>
    <e v="#VALUE!"/>
  </r>
  <r>
    <x v="476"/>
    <n v="300"/>
    <x v="0"/>
    <s v="Mujeres"/>
    <n v="65"/>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4°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6"/>
    <s v="200-C-13"/>
    <s v="#1774B107"/>
    <e v="#VALUE!"/>
    <e v="#VALUE!"/>
    <e v="#VALUE!"/>
    <e v="#VALUE!"/>
    <e v="#VALUE!"/>
    <e v="#VALUE!"/>
  </r>
  <r>
    <x v="477"/>
    <n v="300"/>
    <x v="0"/>
    <s v="Mujeres"/>
    <n v="66"/>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5°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7"/>
    <s v="200-C-13"/>
    <s v="#1774B107"/>
    <e v="#VALUE!"/>
    <e v="#VALUE!"/>
    <e v="#VALUE!"/>
    <e v="#VALUE!"/>
    <e v="#VALUE!"/>
    <e v="#VALUE!"/>
  </r>
  <r>
    <x v="478"/>
    <n v="300"/>
    <x v="0"/>
    <s v="Mujeres"/>
    <n v="67"/>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1°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8"/>
    <s v="200-C-13"/>
    <s v="#1774B107"/>
    <e v="#VALUE!"/>
    <e v="#VALUE!"/>
    <e v="#VALUE!"/>
    <e v="#VALUE!"/>
    <e v="#VALUE!"/>
    <e v="#VALUE!"/>
  </r>
  <r>
    <x v="479"/>
    <n v="300"/>
    <x v="0"/>
    <s v="Mujeres"/>
    <n v="68"/>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2°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79"/>
    <s v="200-C-13"/>
    <s v="#1774B107"/>
    <e v="#VALUE!"/>
    <e v="#VALUE!"/>
    <e v="#VALUE!"/>
    <e v="#VALUE!"/>
    <e v="#VALUE!"/>
    <e v="#VALUE!"/>
  </r>
  <r>
    <x v="480"/>
    <n v="300"/>
    <x v="0"/>
    <s v="Mujeres"/>
    <n v="69"/>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3°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0"/>
    <s v="200-C-13"/>
    <s v="#1774B107"/>
    <e v="#VALUE!"/>
    <e v="#VALUE!"/>
    <e v="#VALUE!"/>
    <e v="#VALUE!"/>
    <e v="#VALUE!"/>
    <e v="#VALUE!"/>
  </r>
  <r>
    <x v="481"/>
    <n v="300"/>
    <x v="0"/>
    <s v="Mujeres"/>
    <n v="70"/>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4°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1"/>
    <s v="200-C-13"/>
    <s v="#1774B107"/>
    <e v="#VALUE!"/>
    <e v="#VALUE!"/>
    <e v="#VALUE!"/>
    <e v="#VALUE!"/>
    <e v="#VALUE!"/>
    <e v="#VALUE!"/>
  </r>
  <r>
    <x v="482"/>
    <n v="300"/>
    <x v="0"/>
    <s v="Mujeres"/>
    <n v="71"/>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5°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2"/>
    <s v="200-C-13"/>
    <s v="#1774B107"/>
    <e v="#VALUE!"/>
    <e v="#VALUE!"/>
    <e v="#VALUE!"/>
    <e v="#VALUE!"/>
    <e v="#VALUE!"/>
    <e v="#VALUE!"/>
  </r>
  <r>
    <x v="483"/>
    <n v="300"/>
    <x v="0"/>
    <s v="Mujeres"/>
    <n v="72"/>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6°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3"/>
    <s v="200-C-13"/>
    <s v="#1774B107"/>
    <e v="#VALUE!"/>
    <e v="#VALUE!"/>
    <e v="#VALUE!"/>
    <e v="#VALUE!"/>
    <e v="#VALUE!"/>
    <e v="#VALUE!"/>
  </r>
  <r>
    <x v="484"/>
    <n v="300"/>
    <x v="0"/>
    <s v="Mujeres"/>
    <n v="73"/>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7°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4"/>
    <s v="200-C-13"/>
    <s v="#1774B107"/>
    <e v="#VALUE!"/>
    <e v="#VALUE!"/>
    <e v="#VALUE!"/>
    <e v="#VALUE!"/>
    <e v="#VALUE!"/>
    <e v="#VALUE!"/>
  </r>
  <r>
    <x v="485"/>
    <n v="300"/>
    <x v="0"/>
    <s v="Mujeres"/>
    <n v="74"/>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8°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5"/>
    <s v="200-C-13"/>
    <s v="#1774B107"/>
    <e v="#VALUE!"/>
    <e v="#VALUE!"/>
    <e v="#VALUE!"/>
    <e v="#VALUE!"/>
    <e v="#VALUE!"/>
    <e v="#VALUE!"/>
  </r>
  <r>
    <x v="486"/>
    <n v="300"/>
    <x v="0"/>
    <s v="Mujeres"/>
    <n v="75"/>
    <x v="9"/>
    <x v="2"/>
    <x v="2"/>
    <x v="77"/>
    <s v="Ninguno"/>
    <s v="Sentencias Dictadas por Delitos Vinculados a la Mujer"/>
    <s v="Periodo 2013-2019"/>
    <s v="Número de sentencias"/>
    <s v="Poder Judicial"/>
    <x v="401"/>
    <s v="El gráfico muestra la evolución anual de la frecuencia de Sentencias Dictadas por Delitos Vinculados a la Mujer por Tipo de Delito en el 9°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6"/>
    <s v="200-C-13"/>
    <s v="#1774B107"/>
    <e v="#VALUE!"/>
    <e v="#VALUE!"/>
    <e v="#VALUE!"/>
    <e v="#VALUE!"/>
    <e v="#VALUE!"/>
    <e v="#VALUE!"/>
  </r>
  <r>
    <x v="487"/>
    <n v="300"/>
    <x v="0"/>
    <s v="Mujeres"/>
    <n v="76"/>
    <x v="9"/>
    <x v="2"/>
    <x v="2"/>
    <x v="78"/>
    <s v="Ninguno"/>
    <s v="Sentencias Dictadas por Delitos Vinculados a la Mujer"/>
    <s v="Periodo 2013-2019"/>
    <s v="Número de sentencias"/>
    <s v="Poder Judicial"/>
    <x v="402"/>
    <s v="El gráfico muestra la evolución anual de la frecuencia de Sentencias Dictadas por Delitos Vinculados a la Mujer por Tipo de Delito en el Juzgado de Garantía de Los Lag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7"/>
    <s v="100-C-14"/>
    <s v="#1774B107"/>
    <e v="#VALUE!"/>
    <e v="#VALUE!"/>
    <e v="#VALUE!"/>
    <e v="#VALUE!"/>
    <e v="#VALUE!"/>
    <e v="#VALUE!"/>
  </r>
  <r>
    <x v="488"/>
    <n v="300"/>
    <x v="0"/>
    <s v="Mujeres"/>
    <n v="77"/>
    <x v="9"/>
    <x v="2"/>
    <x v="2"/>
    <x v="79"/>
    <s v="Ninguno"/>
    <s v="Sentencias Dictadas por Delitos Vinculados a la Mujer"/>
    <s v="Periodo 2013-2019"/>
    <s v="Número de sentencias"/>
    <s v="Poder Judicial"/>
    <x v="403"/>
    <s v="El gráfico muestra la evolución anual de la frecuencia de Sentencias Dictadas por Delitos Vinculados a la Mujer por Tipo de Delito en el Juzgado de Garantía de Mariqui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8"/>
    <s v="100-C-14"/>
    <s v="#1774B107"/>
    <e v="#VALUE!"/>
    <e v="#VALUE!"/>
    <e v="#VALUE!"/>
    <e v="#VALUE!"/>
    <e v="#VALUE!"/>
    <e v="#VALUE!"/>
  </r>
  <r>
    <x v="489"/>
    <n v="300"/>
    <x v="0"/>
    <s v="Mujeres"/>
    <n v="78"/>
    <x v="9"/>
    <x v="2"/>
    <x v="2"/>
    <x v="80"/>
    <s v="Ninguno"/>
    <s v="Sentencias Dictadas por Delitos Vinculados a la Mujer"/>
    <s v="Periodo 2013-2019"/>
    <s v="Número de sentencias"/>
    <s v="Poder Judicial"/>
    <x v="404"/>
    <s v="El gráfico muestra la evolución anual de la frecuencia de Sentencias Dictadas por Delitos Vinculados a la Mujer por Tipo de Delito en el Juzgado de Garantía de Valdivi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89"/>
    <s v="100-C-14"/>
    <s v="#1774B107"/>
    <e v="#VALUE!"/>
    <e v="#VALUE!"/>
    <e v="#VALUE!"/>
    <e v="#VALUE!"/>
    <e v="#VALUE!"/>
    <e v="#VALUE!"/>
  </r>
  <r>
    <x v="490"/>
    <n v="300"/>
    <x v="0"/>
    <s v="Mujeres"/>
    <n v="79"/>
    <x v="9"/>
    <x v="2"/>
    <x v="2"/>
    <x v="81"/>
    <s v="Ninguno"/>
    <s v="Sentencias Dictadas por Delitos Vinculados a la Mujer"/>
    <s v="Periodo 2013-2019"/>
    <s v="Número de sentencias"/>
    <s v="Poder Judicial"/>
    <x v="405"/>
    <s v="El gráfico muestra la evolución anual de la frecuencia de Sentencias Dictadas por Delitos Vinculados a la Mujer por Tipo de Delito en el Juzgado de Garantía de Ari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90"/>
    <s v="100-C-15"/>
    <s v="#1774B107"/>
    <e v="#VALUE!"/>
    <e v="#VALUE!"/>
    <e v="#VALUE!"/>
    <e v="#VALUE!"/>
    <e v="#VALUE!"/>
    <e v="#VALUE!"/>
  </r>
  <r>
    <x v="491"/>
    <n v="300"/>
    <x v="0"/>
    <s v="Mujeres"/>
    <n v="80"/>
    <x v="9"/>
    <x v="2"/>
    <x v="2"/>
    <x v="82"/>
    <s v="Ninguno"/>
    <s v="Sentencias Dictadas por Delitos Vinculados a la Mujer"/>
    <s v="Periodo 2013-2019"/>
    <s v="Número de sentencias"/>
    <s v="Poder Judicial"/>
    <x v="406"/>
    <s v="El gráfico muestra la evolución anual de la frecuencia de Sentencias Dictadas por Delitos Vinculados a la Mujer por Tipo de Delito en el Juzgado de Garantía de Chilla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91"/>
    <s v="100-C-16"/>
    <s v="#1774B107"/>
    <e v="#VALUE!"/>
    <e v="#VALUE!"/>
    <e v="#VALUE!"/>
    <e v="#VALUE!"/>
    <e v="#VALUE!"/>
    <e v="#VALUE!"/>
  </r>
  <r>
    <x v="492"/>
    <n v="300"/>
    <x v="0"/>
    <s v="Mujeres"/>
    <n v="81"/>
    <x v="9"/>
    <x v="2"/>
    <x v="2"/>
    <x v="83"/>
    <s v="Ninguno"/>
    <s v="Sentencias Dictadas por Delitos Vinculados a la Mujer"/>
    <s v="Periodo 2013-2019"/>
    <s v="Número de sentencias"/>
    <s v="Poder Judicial"/>
    <x v="407"/>
    <s v="El gráfico muestra la evolución anual de la frecuencia de Sentencias Dictadas por Delitos Vinculados a la Mujer por Tipo de Delito en el Juzgado de Garantía de San Carl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92"/>
    <s v="100-C-16"/>
    <s v="#1774B107"/>
    <e v="#VALUE!"/>
    <e v="#VALUE!"/>
    <e v="#VALUE!"/>
    <e v="#VALUE!"/>
    <e v="#VALUE!"/>
    <e v="#VALUE!"/>
  </r>
  <r>
    <x v="493"/>
    <n v="300"/>
    <x v="0"/>
    <s v="Mujeres"/>
    <n v="82"/>
    <x v="9"/>
    <x v="2"/>
    <x v="2"/>
    <x v="84"/>
    <s v="Ninguno"/>
    <s v="Sentencias Dictadas por Delitos Vinculados a la Mujer"/>
    <s v="Periodo 2013-2019"/>
    <s v="Número de sentencias"/>
    <s v="Poder Judicial"/>
    <x v="408"/>
    <s v="El gráfico muestra la evolución anual de la frecuencia de Sentencias Dictadas por Delitos Vinculados a la Mujer por Tipo de Delito en el Juzgado de Garantía de Yungay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x v="493"/>
    <s v="100-C-16"/>
    <s v="#1774B107"/>
    <e v="#VALUE!"/>
    <e v="#VALUE!"/>
    <e v="#VALUE!"/>
    <e v="#VALUE!"/>
    <e v="#VALUE!"/>
    <e v="#VALUE!"/>
  </r>
  <r>
    <x v="494"/>
    <n v="300"/>
    <x v="0"/>
    <s v="Mujeres"/>
    <n v="1"/>
    <x v="9"/>
    <x v="2"/>
    <x v="2"/>
    <x v="17"/>
    <s v="Ninguno"/>
    <s v="Sentencias Dictadas por Delitos Vinculados a la Mujer"/>
    <s v="Periodo 2013-2019"/>
    <s v="Número de sentencias"/>
    <s v="Poder Judicial"/>
    <x v="409"/>
    <s v="Gráfico que muestra la evolución anual de la frecuencia de Sentencias Dictadas por Delitos Vinculados a la Mujer por Delito en el Juzgado de Garantía de Iquiqu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494"/>
    <s v="100-C-1"/>
    <s v="#1774B107"/>
    <e v="#VALUE!"/>
    <e v="#VALUE!"/>
    <e v="#VALUE!"/>
    <e v="#VALUE!"/>
    <e v="#VALUE!"/>
    <e v="#VALUE!"/>
  </r>
  <r>
    <x v="495"/>
    <n v="300"/>
    <x v="0"/>
    <s v="Mujeres"/>
    <n v="2"/>
    <x v="9"/>
    <x v="2"/>
    <x v="2"/>
    <x v="18"/>
    <s v="Ninguno"/>
    <s v="Sentencias Dictadas por Delitos Vinculados a la Mujer"/>
    <s v="Periodo 2013-2019"/>
    <s v="Número de sentencias"/>
    <s v="Poder Judicial"/>
    <x v="410"/>
    <s v="Gráfico que muestra la evolución anual de la frecuencia de Sentencias Dictadas por Delitos Vinculados a la Mujer por Delito en el Juzgado de Garantía de Antofagast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495"/>
    <s v="100-C-2"/>
    <s v="#1774B107"/>
    <e v="#VALUE!"/>
    <e v="#VALUE!"/>
    <e v="#VALUE!"/>
    <e v="#VALUE!"/>
    <e v="#VALUE!"/>
    <e v="#VALUE!"/>
  </r>
  <r>
    <x v="496"/>
    <n v="300"/>
    <x v="0"/>
    <s v="Mujeres"/>
    <n v="3"/>
    <x v="9"/>
    <x v="2"/>
    <x v="2"/>
    <x v="19"/>
    <s v="Ninguno"/>
    <s v="Sentencias Dictadas por Delitos Vinculados a la Mujer"/>
    <s v="Periodo 2013-2019"/>
    <s v="Número de sentencias"/>
    <s v="Poder Judicial"/>
    <x v="411"/>
    <s v="Gráfico que muestra la evolución anual de la frecuencia de Sentencias Dictadas por Delitos Vinculados a la Mujer por Delito en el Juzgado de Garantía de Calam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496"/>
    <s v="100-C-2"/>
    <s v="#1774B107"/>
    <e v="#VALUE!"/>
    <e v="#VALUE!"/>
    <e v="#VALUE!"/>
    <e v="#VALUE!"/>
    <e v="#VALUE!"/>
    <e v="#VALUE!"/>
  </r>
  <r>
    <x v="497"/>
    <n v="300"/>
    <x v="0"/>
    <s v="Mujeres"/>
    <n v="4"/>
    <x v="9"/>
    <x v="2"/>
    <x v="2"/>
    <x v="20"/>
    <s v="Ninguno"/>
    <s v="Sentencias Dictadas por Delitos Vinculados a la Mujer"/>
    <s v="Periodo 2013-2019"/>
    <s v="Número de sentencias"/>
    <s v="Poder Judicial"/>
    <x v="412"/>
    <s v="Gráfico que muestra la evolución anual de la frecuencia de Sentencias Dictadas por Delitos Vinculados a la Mujer por Delito en el Juzgado de Garantía de Tocopill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497"/>
    <s v="100-C-2"/>
    <s v="#1774B107"/>
    <e v="#VALUE!"/>
    <e v="#VALUE!"/>
    <e v="#VALUE!"/>
    <e v="#VALUE!"/>
    <e v="#VALUE!"/>
    <e v="#VALUE!"/>
  </r>
  <r>
    <x v="498"/>
    <n v="300"/>
    <x v="0"/>
    <s v="Mujeres"/>
    <n v="5"/>
    <x v="9"/>
    <x v="2"/>
    <x v="2"/>
    <x v="21"/>
    <s v="Ninguno"/>
    <s v="Sentencias Dictadas por Delitos Vinculados a la Mujer"/>
    <s v="Periodo 2013-2019"/>
    <s v="Número de sentencias"/>
    <s v="Poder Judicial"/>
    <x v="413"/>
    <s v="Gráfico que muestra la evolución anual de la frecuencia de Sentencias Dictadas por Delitos Vinculados a la Mujer por Delito en el Juzgado de Garantía de Copiap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498"/>
    <s v="100-C-3"/>
    <s v="#1774B107"/>
    <e v="#VALUE!"/>
    <e v="#VALUE!"/>
    <e v="#VALUE!"/>
    <e v="#VALUE!"/>
    <e v="#VALUE!"/>
    <e v="#VALUE!"/>
  </r>
  <r>
    <x v="499"/>
    <n v="300"/>
    <x v="0"/>
    <s v="Mujeres"/>
    <n v="6"/>
    <x v="9"/>
    <x v="2"/>
    <x v="2"/>
    <x v="22"/>
    <s v="Ninguno"/>
    <s v="Sentencias Dictadas por Delitos Vinculados a la Mujer"/>
    <s v="Periodo 2013-2019"/>
    <s v="Número de sentencias"/>
    <s v="Poder Judicial"/>
    <x v="414"/>
    <s v="Gráfico que muestra la evolución anual de la frecuencia de Sentencias Dictadas por Delitos Vinculados a la Mujer por Delito en el Juzgado de Garantía de Diego de Almag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499"/>
    <s v="100-C-3"/>
    <s v="#1774B107"/>
    <e v="#VALUE!"/>
    <e v="#VALUE!"/>
    <e v="#VALUE!"/>
    <e v="#VALUE!"/>
    <e v="#VALUE!"/>
    <e v="#VALUE!"/>
  </r>
  <r>
    <x v="500"/>
    <n v="300"/>
    <x v="0"/>
    <s v="Mujeres"/>
    <n v="7"/>
    <x v="9"/>
    <x v="2"/>
    <x v="2"/>
    <x v="23"/>
    <s v="Ninguno"/>
    <s v="Sentencias Dictadas por Delitos Vinculados a la Mujer"/>
    <s v="Periodo 2013-2019"/>
    <s v="Número de sentencias"/>
    <s v="Poder Judicial"/>
    <x v="415"/>
    <s v="Gráfico que muestra la evolución anual de la frecuencia de Sentencias Dictadas por Delitos Vinculados a la Mujer por Delito en el Juzgado de Garantía de Vallenar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0"/>
    <s v="100-C-3"/>
    <s v="#1774B107"/>
    <e v="#VALUE!"/>
    <e v="#VALUE!"/>
    <e v="#VALUE!"/>
    <e v="#VALUE!"/>
    <e v="#VALUE!"/>
    <e v="#VALUE!"/>
  </r>
  <r>
    <x v="501"/>
    <n v="300"/>
    <x v="0"/>
    <s v="Mujeres"/>
    <n v="8"/>
    <x v="9"/>
    <x v="2"/>
    <x v="2"/>
    <x v="24"/>
    <s v="Ninguno"/>
    <s v="Sentencias Dictadas por Delitos Vinculados a la Mujer"/>
    <s v="Periodo 2013-2019"/>
    <s v="Número de sentencias"/>
    <s v="Poder Judicial"/>
    <x v="416"/>
    <s v="Gráfico que muestra la evolución anual de la frecuencia de Sentencias Dictadas por Delitos Vinculados a la Mujer por Delito en el Juzgado de Garantía de Coquimb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1"/>
    <s v="100-C-4"/>
    <s v="#1774B107"/>
    <e v="#VALUE!"/>
    <e v="#VALUE!"/>
    <e v="#VALUE!"/>
    <e v="#VALUE!"/>
    <e v="#VALUE!"/>
    <e v="#VALUE!"/>
  </r>
  <r>
    <x v="502"/>
    <n v="300"/>
    <x v="0"/>
    <s v="Mujeres"/>
    <n v="9"/>
    <x v="9"/>
    <x v="2"/>
    <x v="2"/>
    <x v="25"/>
    <s v="Ninguno"/>
    <s v="Sentencias Dictadas por Delitos Vinculados a la Mujer"/>
    <s v="Periodo 2013-2019"/>
    <s v="Número de sentencias"/>
    <s v="Poder Judicial"/>
    <x v="417"/>
    <s v="Gráfico que muestra la evolución anual de la frecuencia de Sentencias Dictadas por Delitos Vinculados a la Mujer por Delito en el Juzgado de Garantía de Illape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2"/>
    <s v="100-C-4"/>
    <s v="#1774B107"/>
    <e v="#VALUE!"/>
    <e v="#VALUE!"/>
    <e v="#VALUE!"/>
    <e v="#VALUE!"/>
    <e v="#VALUE!"/>
    <e v="#VALUE!"/>
  </r>
  <r>
    <x v="503"/>
    <n v="300"/>
    <x v="0"/>
    <s v="Mujeres"/>
    <n v="10"/>
    <x v="9"/>
    <x v="2"/>
    <x v="2"/>
    <x v="26"/>
    <s v="Ninguno"/>
    <s v="Sentencias Dictadas por Delitos Vinculados a la Mujer"/>
    <s v="Periodo 2013-2019"/>
    <s v="Número de sentencias"/>
    <s v="Poder Judicial"/>
    <x v="418"/>
    <s v="Gráfico que muestra la evolución anual de la frecuencia de Sentencias Dictadas por Delitos Vinculados a la Mujer por Delito en el Juzgado de Garantía de La Sere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3"/>
    <s v="100-C-4"/>
    <s v="#1774B107"/>
    <e v="#VALUE!"/>
    <e v="#VALUE!"/>
    <e v="#VALUE!"/>
    <e v="#VALUE!"/>
    <e v="#VALUE!"/>
    <e v="#VALUE!"/>
  </r>
  <r>
    <x v="504"/>
    <n v="300"/>
    <x v="0"/>
    <s v="Mujeres"/>
    <n v="11"/>
    <x v="9"/>
    <x v="2"/>
    <x v="2"/>
    <x v="27"/>
    <s v="Ninguno"/>
    <s v="Sentencias Dictadas por Delitos Vinculados a la Mujer"/>
    <s v="Periodo 2013-2019"/>
    <s v="Número de sentencias"/>
    <s v="Poder Judicial"/>
    <x v="419"/>
    <s v="Gráfico que muestra la evolución anual de la frecuencia de Sentencias Dictadas por Delitos Vinculados a la Mujer por Delito en el Juzgado de Garantía de Ovall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4"/>
    <s v="100-C-4"/>
    <s v="#1774B107"/>
    <e v="#VALUE!"/>
    <e v="#VALUE!"/>
    <e v="#VALUE!"/>
    <e v="#VALUE!"/>
    <e v="#VALUE!"/>
    <e v="#VALUE!"/>
  </r>
  <r>
    <x v="505"/>
    <n v="300"/>
    <x v="0"/>
    <s v="Mujeres"/>
    <n v="12"/>
    <x v="9"/>
    <x v="2"/>
    <x v="2"/>
    <x v="28"/>
    <s v="Ninguno"/>
    <s v="Sentencias Dictadas por Delitos Vinculados a la Mujer"/>
    <s v="Periodo 2013-2019"/>
    <s v="Número de sentencias"/>
    <s v="Poder Judicial"/>
    <x v="420"/>
    <s v="Gráfico que muestra la evolución anual de la frecuencia de Sentencias Dictadas por Delitos Vinculados a la Mujer por Delito en el Juzgado de Garantía de Vicuñ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5"/>
    <s v="100-C-4"/>
    <s v="#1774B107"/>
    <e v="#VALUE!"/>
    <e v="#VALUE!"/>
    <e v="#VALUE!"/>
    <e v="#VALUE!"/>
    <e v="#VALUE!"/>
    <e v="#VALUE!"/>
  </r>
  <r>
    <x v="506"/>
    <n v="300"/>
    <x v="0"/>
    <s v="Mujeres"/>
    <n v="13"/>
    <x v="9"/>
    <x v="2"/>
    <x v="2"/>
    <x v="29"/>
    <s v="Ninguno"/>
    <s v="Sentencias Dictadas por Delitos Vinculados a la Mujer"/>
    <s v="Periodo 2013-2019"/>
    <s v="Número de sentencias"/>
    <s v="Poder Judicial"/>
    <x v="421"/>
    <s v="Gráfico que muestra la evolución anual de la frecuencia de Sentencias Dictadas por Delitos Vinculados a la Mujer por Delito en el Juzgado de Garantía de Caler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6"/>
    <s v="100-C-5"/>
    <s v="#1774B107"/>
    <e v="#VALUE!"/>
    <e v="#VALUE!"/>
    <e v="#VALUE!"/>
    <e v="#VALUE!"/>
    <e v="#VALUE!"/>
    <e v="#VALUE!"/>
  </r>
  <r>
    <x v="507"/>
    <n v="300"/>
    <x v="0"/>
    <s v="Mujeres"/>
    <n v="14"/>
    <x v="9"/>
    <x v="2"/>
    <x v="2"/>
    <x v="30"/>
    <s v="Ninguno"/>
    <s v="Sentencias Dictadas por Delitos Vinculados a la Mujer"/>
    <s v="Periodo 2013-2019"/>
    <s v="Número de sentencias"/>
    <s v="Poder Judicial"/>
    <x v="422"/>
    <s v="Gráfico que muestra la evolución anual de la frecuencia de Sentencias Dictadas por Delitos Vinculados a la Mujer por Delito en el Juzgado de Garantía de La Ligu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7"/>
    <s v="100-C-5"/>
    <s v="#1774B107"/>
    <e v="#VALUE!"/>
    <e v="#VALUE!"/>
    <e v="#VALUE!"/>
    <e v="#VALUE!"/>
    <e v="#VALUE!"/>
    <e v="#VALUE!"/>
  </r>
  <r>
    <x v="508"/>
    <n v="300"/>
    <x v="0"/>
    <s v="Mujeres"/>
    <n v="15"/>
    <x v="9"/>
    <x v="2"/>
    <x v="2"/>
    <x v="31"/>
    <s v="Ninguno"/>
    <s v="Sentencias Dictadas por Delitos Vinculados a la Mujer"/>
    <s v="Periodo 2013-2019"/>
    <s v="Número de sentencias"/>
    <s v="Poder Judicial"/>
    <x v="423"/>
    <s v="Gráfico que muestra la evolución anual de la frecuencia de Sentencias Dictadas por Delitos Vinculados a la Mujer por Delito en el Juzgado de Garantía de Limach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8"/>
    <s v="100-C-5"/>
    <s v="#1774B107"/>
    <e v="#VALUE!"/>
    <e v="#VALUE!"/>
    <e v="#VALUE!"/>
    <e v="#VALUE!"/>
    <e v="#VALUE!"/>
    <e v="#VALUE!"/>
  </r>
  <r>
    <x v="509"/>
    <n v="300"/>
    <x v="0"/>
    <s v="Mujeres"/>
    <n v="16"/>
    <x v="9"/>
    <x v="2"/>
    <x v="2"/>
    <x v="32"/>
    <s v="Ninguno"/>
    <s v="Sentencias Dictadas por Delitos Vinculados a la Mujer"/>
    <s v="Periodo 2013-2019"/>
    <s v="Número de sentencias"/>
    <s v="Poder Judicial"/>
    <x v="424"/>
    <s v="Gráfico que muestra la evolución anual de la frecuencia de Sentencias Dictadas por Delitos Vinculados a la Mujer por Delito en el Juzgado de Garantía de Los And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09"/>
    <s v="100-C-5"/>
    <s v="#1774B107"/>
    <e v="#VALUE!"/>
    <e v="#VALUE!"/>
    <e v="#VALUE!"/>
    <e v="#VALUE!"/>
    <e v="#VALUE!"/>
    <e v="#VALUE!"/>
  </r>
  <r>
    <x v="510"/>
    <n v="300"/>
    <x v="0"/>
    <s v="Mujeres"/>
    <n v="17"/>
    <x v="9"/>
    <x v="2"/>
    <x v="2"/>
    <x v="33"/>
    <s v="Ninguno"/>
    <s v="Sentencias Dictadas por Delitos Vinculados a la Mujer"/>
    <s v="Periodo 2013-2019"/>
    <s v="Número de sentencias"/>
    <s v="Poder Judicial"/>
    <x v="425"/>
    <s v="Gráfico que muestra la evolución anual de la frecuencia de Sentencias Dictadas por Delitos Vinculados a la Mujer por Delito en el Juzgado de Garantía de Quillot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0"/>
    <s v="100-C-5"/>
    <s v="#1774B107"/>
    <e v="#VALUE!"/>
    <e v="#VALUE!"/>
    <e v="#VALUE!"/>
    <e v="#VALUE!"/>
    <e v="#VALUE!"/>
    <e v="#VALUE!"/>
  </r>
  <r>
    <x v="511"/>
    <n v="300"/>
    <x v="0"/>
    <s v="Mujeres"/>
    <n v="18"/>
    <x v="9"/>
    <x v="2"/>
    <x v="2"/>
    <x v="34"/>
    <s v="Ninguno"/>
    <s v="Sentencias Dictadas por Delitos Vinculados a la Mujer"/>
    <s v="Periodo 2013-2019"/>
    <s v="Número de sentencias"/>
    <s v="Poder Judicial"/>
    <x v="426"/>
    <s v="Gráfico que muestra la evolución anual de la frecuencia de Sentencias Dictadas por Delitos Vinculados a la Mujer por Delito en el Juzgado de Garantía de Quilpu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1"/>
    <s v="100-C-5"/>
    <s v="#1774B107"/>
    <e v="#VALUE!"/>
    <e v="#VALUE!"/>
    <e v="#VALUE!"/>
    <e v="#VALUE!"/>
    <e v="#VALUE!"/>
    <e v="#VALUE!"/>
  </r>
  <r>
    <x v="512"/>
    <n v="300"/>
    <x v="0"/>
    <s v="Mujeres"/>
    <n v="19"/>
    <x v="9"/>
    <x v="2"/>
    <x v="2"/>
    <x v="35"/>
    <s v="Ninguno"/>
    <s v="Sentencias Dictadas por Delitos Vinculados a la Mujer"/>
    <s v="Periodo 2013-2019"/>
    <s v="Número de sentencias"/>
    <s v="Poder Judicial"/>
    <x v="427"/>
    <s v="Gráfico que muestra la evolución anual de la frecuencia de Sentencias Dictadas por Delitos Vinculados a la Mujer por Delito en el Juzgado de Garantía de San Felip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2"/>
    <s v="100-C-5"/>
    <s v="#1774B107"/>
    <e v="#VALUE!"/>
    <e v="#VALUE!"/>
    <e v="#VALUE!"/>
    <e v="#VALUE!"/>
    <e v="#VALUE!"/>
    <e v="#VALUE!"/>
  </r>
  <r>
    <x v="513"/>
    <n v="300"/>
    <x v="0"/>
    <s v="Mujeres"/>
    <n v="20"/>
    <x v="9"/>
    <x v="2"/>
    <x v="2"/>
    <x v="36"/>
    <s v="Ninguno"/>
    <s v="Sentencias Dictadas por Delitos Vinculados a la Mujer"/>
    <s v="Periodo 2013-2019"/>
    <s v="Número de sentencias"/>
    <s v="Poder Judicial"/>
    <x v="428"/>
    <s v="Gráfico que muestra la evolución anual de la frecuencia de Sentencias Dictadas por Delitos Vinculados a la Mujer por Delito en el Juzgado de Garantía de Valparais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3"/>
    <s v="100-C-5"/>
    <s v="#1774B107"/>
    <e v="#VALUE!"/>
    <e v="#VALUE!"/>
    <e v="#VALUE!"/>
    <e v="#VALUE!"/>
    <e v="#VALUE!"/>
    <e v="#VALUE!"/>
  </r>
  <r>
    <x v="514"/>
    <n v="300"/>
    <x v="0"/>
    <s v="Mujeres"/>
    <n v="21"/>
    <x v="9"/>
    <x v="2"/>
    <x v="2"/>
    <x v="37"/>
    <s v="Ninguno"/>
    <s v="Sentencias Dictadas por Delitos Vinculados a la Mujer"/>
    <s v="Periodo 2013-2019"/>
    <s v="Número de sentencias"/>
    <s v="Poder Judicial"/>
    <x v="429"/>
    <s v="Gráfico que muestra la evolución anual de la frecuencia de Sentencias Dictadas por Delitos Vinculados a la Mujer por Delito en el Juzgado de Garantía de Villa Alema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4"/>
    <s v="100-C-5"/>
    <s v="#1774B107"/>
    <e v="#VALUE!"/>
    <e v="#VALUE!"/>
    <e v="#VALUE!"/>
    <e v="#VALUE!"/>
    <e v="#VALUE!"/>
    <e v="#VALUE!"/>
  </r>
  <r>
    <x v="515"/>
    <n v="300"/>
    <x v="0"/>
    <s v="Mujeres"/>
    <n v="22"/>
    <x v="9"/>
    <x v="2"/>
    <x v="2"/>
    <x v="38"/>
    <s v="Ninguno"/>
    <s v="Sentencias Dictadas por Delitos Vinculados a la Mujer"/>
    <s v="Periodo 2013-2019"/>
    <s v="Número de sentencias"/>
    <s v="Poder Judicial"/>
    <x v="430"/>
    <s v="Gráfico que muestra la evolución anual de la frecuencia de Sentencias Dictadas por Delitos Vinculados a la Mujer por Delito en el Juzgado de Garantía de Viña Del Mar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5"/>
    <s v="100-C-5"/>
    <s v="#1774B107"/>
    <e v="#VALUE!"/>
    <e v="#VALUE!"/>
    <e v="#VALUE!"/>
    <e v="#VALUE!"/>
    <e v="#VALUE!"/>
    <e v="#VALUE!"/>
  </r>
  <r>
    <x v="516"/>
    <n v="300"/>
    <x v="0"/>
    <s v="Mujeres"/>
    <n v="23"/>
    <x v="9"/>
    <x v="2"/>
    <x v="2"/>
    <x v="39"/>
    <s v="Ninguno"/>
    <s v="Sentencias Dictadas por Delitos Vinculados a la Mujer"/>
    <s v="Periodo 2013-2019"/>
    <s v="Número de sentencias"/>
    <s v="Poder Judicial"/>
    <x v="431"/>
    <s v="Gráfico que muestra la evolución anual de la frecuencia de Sentencias Dictadas por Delitos Vinculados a la Mujer por Delito en el Juzgado de Garantía de Granero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6"/>
    <s v="100-C-6"/>
    <s v="#1774B107"/>
    <e v="#VALUE!"/>
    <e v="#VALUE!"/>
    <e v="#VALUE!"/>
    <e v="#VALUE!"/>
    <e v="#VALUE!"/>
    <e v="#VALUE!"/>
  </r>
  <r>
    <x v="517"/>
    <n v="300"/>
    <x v="0"/>
    <s v="Mujeres"/>
    <n v="24"/>
    <x v="9"/>
    <x v="2"/>
    <x v="2"/>
    <x v="40"/>
    <s v="Ninguno"/>
    <s v="Sentencias Dictadas por Delitos Vinculados a la Mujer"/>
    <s v="Periodo 2013-2019"/>
    <s v="Número de sentencias"/>
    <s v="Poder Judicial"/>
    <x v="432"/>
    <s v="Gráfico que muestra la evolución anual de la frecuencia de Sentencias Dictadas por Delitos Vinculados a la Mujer por Delito en el Juzgado de Garantía de Rancagu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7"/>
    <s v="100-C-6"/>
    <s v="#1774B107"/>
    <e v="#VALUE!"/>
    <e v="#VALUE!"/>
    <e v="#VALUE!"/>
    <e v="#VALUE!"/>
    <e v="#VALUE!"/>
    <e v="#VALUE!"/>
  </r>
  <r>
    <x v="518"/>
    <n v="300"/>
    <x v="0"/>
    <s v="Mujeres"/>
    <n v="25"/>
    <x v="9"/>
    <x v="2"/>
    <x v="2"/>
    <x v="41"/>
    <s v="Ninguno"/>
    <s v="Sentencias Dictadas por Delitos Vinculados a la Mujer"/>
    <s v="Periodo 2013-2019"/>
    <s v="Número de sentencias"/>
    <s v="Poder Judicial"/>
    <x v="433"/>
    <s v="Gráfico que muestra la evolución anual de la frecuencia de Sentencias Dictadas por Delitos Vinculados a la Mujer por Delito en el Juzgado de Garantía de Ren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8"/>
    <s v="100-C-6"/>
    <s v="#1774B107"/>
    <e v="#VALUE!"/>
    <e v="#VALUE!"/>
    <e v="#VALUE!"/>
    <e v="#VALUE!"/>
    <e v="#VALUE!"/>
    <e v="#VALUE!"/>
  </r>
  <r>
    <x v="519"/>
    <n v="300"/>
    <x v="0"/>
    <s v="Mujeres"/>
    <n v="26"/>
    <x v="9"/>
    <x v="2"/>
    <x v="2"/>
    <x v="42"/>
    <s v="Ninguno"/>
    <s v="Sentencias Dictadas por Delitos Vinculados a la Mujer"/>
    <s v="Periodo 2013-2019"/>
    <s v="Número de sentencias"/>
    <s v="Poder Judicial"/>
    <x v="434"/>
    <s v="Gráfico que muestra la evolución anual de la frecuencia de Sentencias Dictadas por Delitos Vinculados a la Mujer por Delito en el Juzgado de Garantía de San Fernand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19"/>
    <s v="100-C-6"/>
    <s v="#1774B107"/>
    <e v="#VALUE!"/>
    <e v="#VALUE!"/>
    <e v="#VALUE!"/>
    <e v="#VALUE!"/>
    <e v="#VALUE!"/>
    <e v="#VALUE!"/>
  </r>
  <r>
    <x v="520"/>
    <n v="300"/>
    <x v="0"/>
    <s v="Mujeres"/>
    <n v="27"/>
    <x v="9"/>
    <x v="2"/>
    <x v="2"/>
    <x v="43"/>
    <s v="Ninguno"/>
    <s v="Sentencias Dictadas por Delitos Vinculados a la Mujer"/>
    <s v="Periodo 2013-2019"/>
    <s v="Número de sentencias"/>
    <s v="Poder Judicial"/>
    <x v="435"/>
    <s v="Gráfico que muestra la evolución anual de la frecuencia de Sentencias Dictadas por Delitos Vinculados a la Mujer por Delito en el Juzgado de Garantía de San Vicent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0"/>
    <s v="100-C-6"/>
    <s v="#1774B107"/>
    <e v="#VALUE!"/>
    <e v="#VALUE!"/>
    <e v="#VALUE!"/>
    <e v="#VALUE!"/>
    <e v="#VALUE!"/>
    <e v="#VALUE!"/>
  </r>
  <r>
    <x v="521"/>
    <n v="300"/>
    <x v="0"/>
    <s v="Mujeres"/>
    <n v="28"/>
    <x v="9"/>
    <x v="2"/>
    <x v="2"/>
    <x v="44"/>
    <s v="Ninguno"/>
    <s v="Sentencias Dictadas por Delitos Vinculados a la Mujer"/>
    <s v="Periodo 2013-2019"/>
    <s v="Número de sentencias"/>
    <s v="Poder Judicial"/>
    <x v="436"/>
    <s v="Gráfico que muestra la evolución anual de la frecuencia de Sentencias Dictadas por Delitos Vinculados a la Mujer por Delito en el Juzgado de Garantía de Santa Cruz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1"/>
    <s v="100-C-6"/>
    <s v="#1774B107"/>
    <e v="#VALUE!"/>
    <e v="#VALUE!"/>
    <e v="#VALUE!"/>
    <e v="#VALUE!"/>
    <e v="#VALUE!"/>
    <e v="#VALUE!"/>
  </r>
  <r>
    <x v="522"/>
    <n v="300"/>
    <x v="0"/>
    <s v="Mujeres"/>
    <n v="29"/>
    <x v="9"/>
    <x v="2"/>
    <x v="2"/>
    <x v="45"/>
    <s v="Ninguno"/>
    <s v="Sentencias Dictadas por Delitos Vinculados a la Mujer"/>
    <s v="Periodo 2013-2019"/>
    <s v="Número de sentencias"/>
    <s v="Poder Judicial"/>
    <x v="437"/>
    <s v="Gráfico que muestra la evolución anual de la frecuencia de Sentencias Dictadas por Delitos Vinculados a la Mujer por Delito en el Juzgado de Garantía de Cauquen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2"/>
    <s v="100-C-7"/>
    <s v="#1774B107"/>
    <e v="#VALUE!"/>
    <e v="#VALUE!"/>
    <e v="#VALUE!"/>
    <e v="#VALUE!"/>
    <e v="#VALUE!"/>
    <e v="#VALUE!"/>
  </r>
  <r>
    <x v="523"/>
    <n v="300"/>
    <x v="0"/>
    <s v="Mujeres"/>
    <n v="30"/>
    <x v="9"/>
    <x v="2"/>
    <x v="2"/>
    <x v="46"/>
    <s v="Ninguno"/>
    <s v="Sentencias Dictadas por Delitos Vinculados a la Mujer"/>
    <s v="Periodo 2013-2019"/>
    <s v="Número de sentencias"/>
    <s v="Poder Judicial"/>
    <x v="438"/>
    <s v="Gráfico que muestra la evolución anual de la frecuencia de Sentencias Dictadas por Delitos Vinculados a la Mujer por Delito en el Juzgado de Garantía de Constitucio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3"/>
    <s v="100-C-7"/>
    <s v="#1774B107"/>
    <e v="#VALUE!"/>
    <e v="#VALUE!"/>
    <e v="#VALUE!"/>
    <e v="#VALUE!"/>
    <e v="#VALUE!"/>
    <e v="#VALUE!"/>
  </r>
  <r>
    <x v="524"/>
    <n v="300"/>
    <x v="0"/>
    <s v="Mujeres"/>
    <n v="31"/>
    <x v="9"/>
    <x v="2"/>
    <x v="2"/>
    <x v="47"/>
    <s v="Ninguno"/>
    <s v="Sentencias Dictadas por Delitos Vinculados a la Mujer"/>
    <s v="Periodo 2013-2019"/>
    <s v="Número de sentencias"/>
    <s v="Poder Judicial"/>
    <x v="439"/>
    <s v="Gráfico que muestra la evolución anual de la frecuencia de Sentencias Dictadas por Delitos Vinculados a la Mujer por Delito en el Juzgado de Garantía de Curic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4"/>
    <s v="100-C-7"/>
    <s v="#1774B107"/>
    <e v="#VALUE!"/>
    <e v="#VALUE!"/>
    <e v="#VALUE!"/>
    <e v="#VALUE!"/>
    <e v="#VALUE!"/>
    <e v="#VALUE!"/>
  </r>
  <r>
    <x v="525"/>
    <n v="300"/>
    <x v="0"/>
    <s v="Mujeres"/>
    <n v="32"/>
    <x v="9"/>
    <x v="2"/>
    <x v="2"/>
    <x v="48"/>
    <s v="Ninguno"/>
    <s v="Sentencias Dictadas por Delitos Vinculados a la Mujer"/>
    <s v="Periodo 2013-2019"/>
    <s v="Número de sentencias"/>
    <s v="Poder Judicial"/>
    <x v="440"/>
    <s v="Gráfico que muestra la evolución anual de la frecuencia de Sentencias Dictadas por Delitos Vinculados a la Mujer por Delito en el Juzgado de Garantía de Linar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5"/>
    <s v="100-C-7"/>
    <s v="#1774B107"/>
    <e v="#VALUE!"/>
    <e v="#VALUE!"/>
    <e v="#VALUE!"/>
    <e v="#VALUE!"/>
    <e v="#VALUE!"/>
    <e v="#VALUE!"/>
  </r>
  <r>
    <x v="526"/>
    <n v="300"/>
    <x v="0"/>
    <s v="Mujeres"/>
    <n v="33"/>
    <x v="9"/>
    <x v="2"/>
    <x v="2"/>
    <x v="49"/>
    <s v="Ninguno"/>
    <s v="Sentencias Dictadas por Delitos Vinculados a la Mujer"/>
    <s v="Periodo 2013-2019"/>
    <s v="Número de sentencias"/>
    <s v="Poder Judicial"/>
    <x v="441"/>
    <s v="Gráfico que muestra la evolución anual de la frecuencia de Sentencias Dictadas por Delitos Vinculados a la Mujer por Delito en el Juzgado de Garantía de Moli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6"/>
    <s v="100-C-7"/>
    <s v="#1774B107"/>
    <e v="#VALUE!"/>
    <e v="#VALUE!"/>
    <e v="#VALUE!"/>
    <e v="#VALUE!"/>
    <e v="#VALUE!"/>
    <e v="#VALUE!"/>
  </r>
  <r>
    <x v="527"/>
    <n v="300"/>
    <x v="0"/>
    <s v="Mujeres"/>
    <n v="34"/>
    <x v="9"/>
    <x v="2"/>
    <x v="2"/>
    <x v="50"/>
    <s v="Ninguno"/>
    <s v="Sentencias Dictadas por Delitos Vinculados a la Mujer"/>
    <s v="Periodo 2013-2019"/>
    <s v="Número de sentencias"/>
    <s v="Poder Judicial"/>
    <x v="442"/>
    <s v="Gráfico que muestra la evolución anual de la frecuencia de Sentencias Dictadas por Delitos Vinculados a la Mujer por Delito en el Juzgado de Garantía de Parra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7"/>
    <s v="100-C-7"/>
    <s v="#1774B107"/>
    <e v="#VALUE!"/>
    <e v="#VALUE!"/>
    <e v="#VALUE!"/>
    <e v="#VALUE!"/>
    <e v="#VALUE!"/>
    <e v="#VALUE!"/>
  </r>
  <r>
    <x v="528"/>
    <n v="300"/>
    <x v="0"/>
    <s v="Mujeres"/>
    <n v="35"/>
    <x v="9"/>
    <x v="2"/>
    <x v="2"/>
    <x v="51"/>
    <s v="Ninguno"/>
    <s v="Sentencias Dictadas por Delitos Vinculados a la Mujer"/>
    <s v="Periodo 2013-2019"/>
    <s v="Número de sentencias"/>
    <s v="Poder Judicial"/>
    <x v="443"/>
    <s v="Gráfico que muestra la evolución anual de la frecuencia de Sentencias Dictadas por Delitos Vinculados a la Mujer por Delito en el Juzgado de Garantía de San Javier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8"/>
    <s v="100-C-7"/>
    <s v="#1774B107"/>
    <e v="#VALUE!"/>
    <e v="#VALUE!"/>
    <e v="#VALUE!"/>
    <e v="#VALUE!"/>
    <e v="#VALUE!"/>
    <e v="#VALUE!"/>
  </r>
  <r>
    <x v="529"/>
    <n v="300"/>
    <x v="0"/>
    <s v="Mujeres"/>
    <n v="36"/>
    <x v="9"/>
    <x v="2"/>
    <x v="2"/>
    <x v="52"/>
    <s v="Ninguno"/>
    <s v="Sentencias Dictadas por Delitos Vinculados a la Mujer"/>
    <s v="Periodo 2013-2019"/>
    <s v="Número de sentencias"/>
    <s v="Poder Judicial"/>
    <x v="444"/>
    <s v="Gráfico que muestra la evolución anual de la frecuencia de Sentencias Dictadas por Delitos Vinculados a la Mujer por Delito en el Juzgado de Garantía de Talc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29"/>
    <s v="100-C-7"/>
    <s v="#1774B107"/>
    <e v="#VALUE!"/>
    <e v="#VALUE!"/>
    <e v="#VALUE!"/>
    <e v="#VALUE!"/>
    <e v="#VALUE!"/>
    <e v="#VALUE!"/>
  </r>
  <r>
    <x v="530"/>
    <n v="300"/>
    <x v="0"/>
    <s v="Mujeres"/>
    <n v="37"/>
    <x v="9"/>
    <x v="2"/>
    <x v="2"/>
    <x v="53"/>
    <s v="Ninguno"/>
    <s v="Sentencias Dictadas por Delitos Vinculados a la Mujer"/>
    <s v="Periodo 2013-2019"/>
    <s v="Número de sentencias"/>
    <s v="Poder Judicial"/>
    <x v="445"/>
    <s v="Gráfico que muestra la evolución anual de la frecuencia de Sentencias Dictadas por Delitos Vinculados a la Mujer por Delito en el Juzgado de Garantía de Arauc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0"/>
    <s v="100-C-8"/>
    <s v="#1774B107"/>
    <e v="#VALUE!"/>
    <e v="#VALUE!"/>
    <e v="#VALUE!"/>
    <e v="#VALUE!"/>
    <e v="#VALUE!"/>
    <e v="#VALUE!"/>
  </r>
  <r>
    <x v="531"/>
    <n v="300"/>
    <x v="0"/>
    <s v="Mujeres"/>
    <n v="38"/>
    <x v="9"/>
    <x v="2"/>
    <x v="2"/>
    <x v="54"/>
    <s v="Ninguno"/>
    <s v="Sentencias Dictadas por Delitos Vinculados a la Mujer"/>
    <s v="Periodo 2013-2019"/>
    <s v="Número de sentencias"/>
    <s v="Poder Judicial"/>
    <x v="446"/>
    <s v="Gráfico que muestra la evolución anual de la frecuencia de Sentencias Dictadas por Delitos Vinculados a la Mujer por Delito en el Juzgado de Garantía de Cañet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1"/>
    <s v="100-C-8"/>
    <s v="#1774B107"/>
    <e v="#VALUE!"/>
    <e v="#VALUE!"/>
    <e v="#VALUE!"/>
    <e v="#VALUE!"/>
    <e v="#VALUE!"/>
    <e v="#VALUE!"/>
  </r>
  <r>
    <x v="532"/>
    <n v="300"/>
    <x v="0"/>
    <s v="Mujeres"/>
    <n v="39"/>
    <x v="9"/>
    <x v="2"/>
    <x v="2"/>
    <x v="55"/>
    <s v="Ninguno"/>
    <s v="Sentencias Dictadas por Delitos Vinculados a la Mujer"/>
    <s v="Periodo 2013-2019"/>
    <s v="Número de sentencias"/>
    <s v="Poder Judicial"/>
    <x v="447"/>
    <s v="Gráfico que muestra la evolución anual de la frecuencia de Sentencias Dictadas por Delitos Vinculados a la Mujer por Delito en el Juzgado de Garantía de Chiguayant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2"/>
    <s v="100-C-8"/>
    <s v="#1774B107"/>
    <e v="#VALUE!"/>
    <e v="#VALUE!"/>
    <e v="#VALUE!"/>
    <e v="#VALUE!"/>
    <e v="#VALUE!"/>
    <e v="#VALUE!"/>
  </r>
  <r>
    <x v="533"/>
    <n v="300"/>
    <x v="0"/>
    <s v="Mujeres"/>
    <n v="40"/>
    <x v="9"/>
    <x v="2"/>
    <x v="2"/>
    <x v="56"/>
    <s v="Ninguno"/>
    <s v="Sentencias Dictadas por Delitos Vinculados a la Mujer"/>
    <s v="Periodo 2013-2019"/>
    <s v="Número de sentencias"/>
    <s v="Poder Judicial"/>
    <x v="448"/>
    <s v="Gráfico que muestra la evolución anual de la frecuencia de Sentencias Dictadas por Delitos Vinculados a la Mujer por Delito en el Juzgado de Garantía de Concepcio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3"/>
    <s v="100-C-8"/>
    <s v="#1774B107"/>
    <e v="#VALUE!"/>
    <e v="#VALUE!"/>
    <e v="#VALUE!"/>
    <e v="#VALUE!"/>
    <e v="#VALUE!"/>
    <e v="#VALUE!"/>
  </r>
  <r>
    <x v="534"/>
    <n v="300"/>
    <x v="0"/>
    <s v="Mujeres"/>
    <n v="41"/>
    <x v="9"/>
    <x v="2"/>
    <x v="2"/>
    <x v="57"/>
    <s v="Ninguno"/>
    <s v="Sentencias Dictadas por Delitos Vinculados a la Mujer"/>
    <s v="Periodo 2013-2019"/>
    <s v="Número de sentencias"/>
    <s v="Poder Judicial"/>
    <x v="449"/>
    <s v="Gráfico que muestra la evolución anual de la frecuencia de Sentencias Dictadas por Delitos Vinculados a la Mujer por Delito en el Juzgado de Garantía de Corone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4"/>
    <s v="100-C-8"/>
    <s v="#1774B107"/>
    <e v="#VALUE!"/>
    <e v="#VALUE!"/>
    <e v="#VALUE!"/>
    <e v="#VALUE!"/>
    <e v="#VALUE!"/>
    <e v="#VALUE!"/>
  </r>
  <r>
    <x v="535"/>
    <n v="300"/>
    <x v="0"/>
    <s v="Mujeres"/>
    <n v="42"/>
    <x v="9"/>
    <x v="2"/>
    <x v="2"/>
    <x v="58"/>
    <s v="Ninguno"/>
    <s v="Sentencias Dictadas por Delitos Vinculados a la Mujer"/>
    <s v="Periodo 2013-2019"/>
    <s v="Número de sentencias"/>
    <s v="Poder Judicial"/>
    <x v="450"/>
    <s v="Gráfico que muestra la evolución anual de la frecuencia de Sentencias Dictadas por Delitos Vinculados a la Mujer por Delito en el Juzgado de Garantía de Los Angel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5"/>
    <s v="100-C-8"/>
    <s v="#1774B107"/>
    <e v="#VALUE!"/>
    <e v="#VALUE!"/>
    <e v="#VALUE!"/>
    <e v="#VALUE!"/>
    <e v="#VALUE!"/>
    <e v="#VALUE!"/>
  </r>
  <r>
    <x v="536"/>
    <n v="300"/>
    <x v="0"/>
    <s v="Mujeres"/>
    <n v="43"/>
    <x v="9"/>
    <x v="2"/>
    <x v="2"/>
    <x v="59"/>
    <s v="Ninguno"/>
    <s v="Sentencias Dictadas por Delitos Vinculados a la Mujer"/>
    <s v="Periodo 2013-2019"/>
    <s v="Número de sentencias"/>
    <s v="Poder Judicial"/>
    <x v="451"/>
    <s v="Gráfico que muestra la evolución anual de la frecuencia de Sentencias Dictadas por Delitos Vinculados a la Mujer por Delito en el Juzgado de Garantía de Talcahuan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6"/>
    <s v="100-C-8"/>
    <s v="#1774B107"/>
    <e v="#VALUE!"/>
    <e v="#VALUE!"/>
    <e v="#VALUE!"/>
    <e v="#VALUE!"/>
    <e v="#VALUE!"/>
    <e v="#VALUE!"/>
  </r>
  <r>
    <x v="537"/>
    <n v="300"/>
    <x v="0"/>
    <s v="Mujeres"/>
    <n v="44"/>
    <x v="9"/>
    <x v="2"/>
    <x v="2"/>
    <x v="60"/>
    <s v="Ninguno"/>
    <s v="Sentencias Dictadas por Delitos Vinculados a la Mujer"/>
    <s v="Periodo 2013-2019"/>
    <s v="Número de sentencias"/>
    <s v="Poder Judicial"/>
    <x v="452"/>
    <s v="Gráfico que muestra la evolución anual de la frecuencia de Sentencias Dictadas por Delitos Vinculados a la Mujer por Delito en el Juzgado de Garantía de Tom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7"/>
    <s v="100-C-8"/>
    <s v="#1774B107"/>
    <e v="#VALUE!"/>
    <e v="#VALUE!"/>
    <e v="#VALUE!"/>
    <e v="#VALUE!"/>
    <e v="#VALUE!"/>
    <e v="#VALUE!"/>
  </r>
  <r>
    <x v="538"/>
    <n v="300"/>
    <x v="0"/>
    <s v="Mujeres"/>
    <n v="45"/>
    <x v="9"/>
    <x v="2"/>
    <x v="2"/>
    <x v="61"/>
    <s v="Ninguno"/>
    <s v="Sentencias Dictadas por Delitos Vinculados a la Mujer"/>
    <s v="Periodo 2013-2019"/>
    <s v="Número de sentencias"/>
    <s v="Poder Judicial"/>
    <x v="453"/>
    <s v="Gráfico que muestra la evolución anual de la frecuencia de Sentencias Dictadas por Delitos Vinculados a la Mujer por Delito en el Juzgado de Garantía de Ango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8"/>
    <s v="100-C-9"/>
    <s v="#1774B107"/>
    <e v="#VALUE!"/>
    <e v="#VALUE!"/>
    <e v="#VALUE!"/>
    <e v="#VALUE!"/>
    <e v="#VALUE!"/>
    <e v="#VALUE!"/>
  </r>
  <r>
    <x v="539"/>
    <n v="300"/>
    <x v="0"/>
    <s v="Mujeres"/>
    <n v="46"/>
    <x v="9"/>
    <x v="2"/>
    <x v="2"/>
    <x v="62"/>
    <s v="Ninguno"/>
    <s v="Sentencias Dictadas por Delitos Vinculados a la Mujer"/>
    <s v="Periodo 2013-2019"/>
    <s v="Número de sentencias"/>
    <s v="Poder Judicial"/>
    <x v="454"/>
    <s v="Gráfico que muestra la evolución anual de la frecuencia de Sentencias Dictadas por Delitos Vinculados a la Mujer por Delito en el Juzgado de Garantía de Lauta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39"/>
    <s v="100-C-9"/>
    <s v="#1774B107"/>
    <e v="#VALUE!"/>
    <e v="#VALUE!"/>
    <e v="#VALUE!"/>
    <e v="#VALUE!"/>
    <e v="#VALUE!"/>
    <e v="#VALUE!"/>
  </r>
  <r>
    <x v="540"/>
    <n v="300"/>
    <x v="0"/>
    <s v="Mujeres"/>
    <n v="47"/>
    <x v="9"/>
    <x v="2"/>
    <x v="2"/>
    <x v="63"/>
    <s v="Ninguno"/>
    <s v="Sentencias Dictadas por Delitos Vinculados a la Mujer"/>
    <s v="Periodo 2013-2019"/>
    <s v="Número de sentencias"/>
    <s v="Poder Judicial"/>
    <x v="455"/>
    <s v="Gráfico que muestra la evolución anual de la frecuencia de Sentencias Dictadas por Delitos Vinculados a la Mujer por Delito en el Juzgado de Garantía de Loncoch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0"/>
    <s v="100-C-9"/>
    <s v="#1774B107"/>
    <e v="#VALUE!"/>
    <e v="#VALUE!"/>
    <e v="#VALUE!"/>
    <e v="#VALUE!"/>
    <e v="#VALUE!"/>
    <e v="#VALUE!"/>
  </r>
  <r>
    <x v="541"/>
    <n v="300"/>
    <x v="0"/>
    <s v="Mujeres"/>
    <n v="48"/>
    <x v="9"/>
    <x v="2"/>
    <x v="2"/>
    <x v="64"/>
    <s v="Ninguno"/>
    <s v="Sentencias Dictadas por Delitos Vinculados a la Mujer"/>
    <s v="Periodo 2013-2019"/>
    <s v="Número de sentencias"/>
    <s v="Poder Judicial"/>
    <x v="456"/>
    <s v="Gráfico que muestra la evolución anual de la frecuencia de Sentencias Dictadas por Delitos Vinculados a la Mujer por Delito en el Juzgado de Garantía de Nueva Imperia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1"/>
    <s v="100-C-9"/>
    <s v="#1774B107"/>
    <e v="#VALUE!"/>
    <e v="#VALUE!"/>
    <e v="#VALUE!"/>
    <e v="#VALUE!"/>
    <e v="#VALUE!"/>
    <e v="#VALUE!"/>
  </r>
  <r>
    <x v="542"/>
    <n v="300"/>
    <x v="0"/>
    <s v="Mujeres"/>
    <n v="49"/>
    <x v="9"/>
    <x v="2"/>
    <x v="2"/>
    <x v="65"/>
    <s v="Ninguno"/>
    <s v="Sentencias Dictadas por Delitos Vinculados a la Mujer"/>
    <s v="Periodo 2013-2019"/>
    <s v="Número de sentencias"/>
    <s v="Poder Judicial"/>
    <x v="457"/>
    <s v="Gráfico que muestra la evolución anual de la frecuencia de Sentencias Dictadas por Delitos Vinculados a la Mujer por Delito en el Juzgado de Garantía de Pitrufque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2"/>
    <s v="100-C-9"/>
    <s v="#1774B107"/>
    <e v="#VALUE!"/>
    <e v="#VALUE!"/>
    <e v="#VALUE!"/>
    <e v="#VALUE!"/>
    <e v="#VALUE!"/>
    <e v="#VALUE!"/>
  </r>
  <r>
    <x v="543"/>
    <n v="300"/>
    <x v="0"/>
    <s v="Mujeres"/>
    <n v="50"/>
    <x v="9"/>
    <x v="2"/>
    <x v="2"/>
    <x v="66"/>
    <s v="Ninguno"/>
    <s v="Sentencias Dictadas por Delitos Vinculados a la Mujer"/>
    <s v="Periodo 2013-2019"/>
    <s v="Número de sentencias"/>
    <s v="Poder Judicial"/>
    <x v="458"/>
    <s v="Gráfico que muestra la evolución anual de la frecuencia de Sentencias Dictadas por Delitos Vinculados a la Mujer por Delito en el Juzgado de Garantía de Temuc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3"/>
    <s v="100-C-9"/>
    <s v="#1774B107"/>
    <e v="#VALUE!"/>
    <e v="#VALUE!"/>
    <e v="#VALUE!"/>
    <e v="#VALUE!"/>
    <e v="#VALUE!"/>
    <e v="#VALUE!"/>
  </r>
  <r>
    <x v="544"/>
    <n v="300"/>
    <x v="0"/>
    <s v="Mujeres"/>
    <n v="51"/>
    <x v="9"/>
    <x v="2"/>
    <x v="2"/>
    <x v="67"/>
    <s v="Ninguno"/>
    <s v="Sentencias Dictadas por Delitos Vinculados a la Mujer"/>
    <s v="Periodo 2013-2019"/>
    <s v="Número de sentencias"/>
    <s v="Poder Judicial"/>
    <x v="459"/>
    <s v="Gráfico que muestra la evolución anual de la frecuencia de Sentencias Dictadas por Delitos Vinculados a la Mujer por Delito en el Juzgado de Garantía de Victori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4"/>
    <s v="100-C-9"/>
    <s v="#1774B107"/>
    <e v="#VALUE!"/>
    <e v="#VALUE!"/>
    <e v="#VALUE!"/>
    <e v="#VALUE!"/>
    <e v="#VALUE!"/>
    <e v="#VALUE!"/>
  </r>
  <r>
    <x v="545"/>
    <n v="300"/>
    <x v="0"/>
    <s v="Mujeres"/>
    <n v="52"/>
    <x v="9"/>
    <x v="2"/>
    <x v="2"/>
    <x v="68"/>
    <s v="Ninguno"/>
    <s v="Sentencias Dictadas por Delitos Vinculados a la Mujer"/>
    <s v="Periodo 2013-2019"/>
    <s v="Número de sentencias"/>
    <s v="Poder Judicial"/>
    <x v="460"/>
    <s v="Gráfico que muestra la evolución anual de la frecuencia de Sentencias Dictadas por Delitos Vinculados a la Mujer por Delito en el Juzgado de Garantía de Villarric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5"/>
    <s v="100-C-9"/>
    <s v="#1774B107"/>
    <e v="#VALUE!"/>
    <e v="#VALUE!"/>
    <e v="#VALUE!"/>
    <e v="#VALUE!"/>
    <e v="#VALUE!"/>
    <e v="#VALUE!"/>
  </r>
  <r>
    <x v="546"/>
    <n v="300"/>
    <x v="0"/>
    <s v="Mujeres"/>
    <n v="53"/>
    <x v="9"/>
    <x v="2"/>
    <x v="2"/>
    <x v="69"/>
    <s v="Ninguno"/>
    <s v="Sentencias Dictadas por Delitos Vinculados a la Mujer"/>
    <s v="Periodo 2013-2019"/>
    <s v="Número de sentencias"/>
    <s v="Poder Judicial"/>
    <x v="461"/>
    <s v="Gráfico que muestra la evolución anual de la frecuencia de Sentencias Dictadas por Delitos Vinculados a la Mujer por Delito en el Juzgado de Garantía de Ancud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6"/>
    <s v="100-C-10"/>
    <s v="#1774B107"/>
    <e v="#VALUE!"/>
    <e v="#VALUE!"/>
    <e v="#VALUE!"/>
    <e v="#VALUE!"/>
    <e v="#VALUE!"/>
    <e v="#VALUE!"/>
  </r>
  <r>
    <x v="547"/>
    <n v="300"/>
    <x v="0"/>
    <s v="Mujeres"/>
    <n v="54"/>
    <x v="9"/>
    <x v="2"/>
    <x v="2"/>
    <x v="70"/>
    <s v="Ninguno"/>
    <s v="Sentencias Dictadas por Delitos Vinculados a la Mujer"/>
    <s v="Periodo 2013-2019"/>
    <s v="Número de sentencias"/>
    <s v="Poder Judicial"/>
    <x v="462"/>
    <s v="Gráfico que muestra la evolución anual de la frecuencia de Sentencias Dictadas por Delitos Vinculados a la Mujer por Delito en el Juzgado de Garantía de Cast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7"/>
    <s v="100-C-10"/>
    <s v="#1774B107"/>
    <e v="#VALUE!"/>
    <e v="#VALUE!"/>
    <e v="#VALUE!"/>
    <e v="#VALUE!"/>
    <e v="#VALUE!"/>
    <e v="#VALUE!"/>
  </r>
  <r>
    <x v="548"/>
    <n v="300"/>
    <x v="0"/>
    <s v="Mujeres"/>
    <n v="55"/>
    <x v="9"/>
    <x v="2"/>
    <x v="2"/>
    <x v="71"/>
    <s v="Ninguno"/>
    <s v="Sentencias Dictadas por Delitos Vinculados a la Mujer"/>
    <s v="Periodo 2013-2019"/>
    <s v="Número de sentencias"/>
    <s v="Poder Judicial"/>
    <x v="463"/>
    <s v="Gráfico que muestra la evolución anual de la frecuencia de Sentencias Dictadas por Delitos Vinculados a la Mujer por Delito en el Juzgado de Garantía de Osorn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8"/>
    <s v="100-C-10"/>
    <s v="#1774B107"/>
    <e v="#VALUE!"/>
    <e v="#VALUE!"/>
    <e v="#VALUE!"/>
    <e v="#VALUE!"/>
    <e v="#VALUE!"/>
    <e v="#VALUE!"/>
  </r>
  <r>
    <x v="549"/>
    <n v="300"/>
    <x v="0"/>
    <s v="Mujeres"/>
    <n v="56"/>
    <x v="9"/>
    <x v="2"/>
    <x v="2"/>
    <x v="72"/>
    <s v="Ninguno"/>
    <s v="Sentencias Dictadas por Delitos Vinculados a la Mujer"/>
    <s v="Periodo 2013-2019"/>
    <s v="Número de sentencias"/>
    <s v="Poder Judicial"/>
    <x v="464"/>
    <s v="Gráfico que muestra la evolución anual de la frecuencia de Sentencias Dictadas por Delitos Vinculados a la Mujer por Delito en el Juzgado de Garantía de Puerto Montt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49"/>
    <s v="100-C-10"/>
    <s v="#1774B107"/>
    <e v="#VALUE!"/>
    <e v="#VALUE!"/>
    <e v="#VALUE!"/>
    <e v="#VALUE!"/>
    <e v="#VALUE!"/>
    <e v="#VALUE!"/>
  </r>
  <r>
    <x v="550"/>
    <n v="300"/>
    <x v="0"/>
    <s v="Mujeres"/>
    <n v="57"/>
    <x v="9"/>
    <x v="2"/>
    <x v="2"/>
    <x v="73"/>
    <s v="Ninguno"/>
    <s v="Sentencias Dictadas por Delitos Vinculados a la Mujer"/>
    <s v="Periodo 2013-2019"/>
    <s v="Número de sentencias"/>
    <s v="Poder Judicial"/>
    <x v="465"/>
    <s v="Gráfico que muestra la evolución anual de la frecuencia de Sentencias Dictadas por Delitos Vinculados a la Mujer por Delito en el Juzgado de Garantía de Puerto Vara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0"/>
    <s v="100-C-10"/>
    <s v="#1774B107"/>
    <e v="#VALUE!"/>
    <e v="#VALUE!"/>
    <e v="#VALUE!"/>
    <e v="#VALUE!"/>
    <e v="#VALUE!"/>
    <e v="#VALUE!"/>
  </r>
  <r>
    <x v="551"/>
    <n v="300"/>
    <x v="0"/>
    <s v="Mujeres"/>
    <n v="58"/>
    <x v="9"/>
    <x v="2"/>
    <x v="2"/>
    <x v="74"/>
    <s v="Ninguno"/>
    <s v="Sentencias Dictadas por Delitos Vinculados a la Mujer"/>
    <s v="Periodo 2013-2019"/>
    <s v="Número de sentencias"/>
    <s v="Poder Judicial"/>
    <x v="466"/>
    <s v="Gráfico que muestra la evolución anual de la frecuencia de Sentencias Dictadas por Delitos Vinculados a la Mujer por Delito en el Juzgado de Garantía de Rio Neg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1"/>
    <s v="100-C-10"/>
    <s v="#1774B107"/>
    <e v="#VALUE!"/>
    <e v="#VALUE!"/>
    <e v="#VALUE!"/>
    <e v="#VALUE!"/>
    <e v="#VALUE!"/>
    <e v="#VALUE!"/>
  </r>
  <r>
    <x v="552"/>
    <n v="300"/>
    <x v="0"/>
    <s v="Mujeres"/>
    <n v="59"/>
    <x v="9"/>
    <x v="2"/>
    <x v="2"/>
    <x v="75"/>
    <s v="Ninguno"/>
    <s v="Sentencias Dictadas por Delitos Vinculados a la Mujer"/>
    <s v="Periodo 2013-2019"/>
    <s v="Número de sentencias"/>
    <s v="Poder Judicial"/>
    <x v="467"/>
    <s v="Gráfico que muestra la evolución anual de la frecuencia de Sentencias Dictadas por Delitos Vinculados a la Mujer por Delito en el Juzgado de Garantía de Coyhaiqu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2"/>
    <s v="100-C-11"/>
    <s v="#1774B107"/>
    <e v="#VALUE!"/>
    <e v="#VALUE!"/>
    <e v="#VALUE!"/>
    <e v="#VALUE!"/>
    <e v="#VALUE!"/>
    <e v="#VALUE!"/>
  </r>
  <r>
    <x v="553"/>
    <n v="300"/>
    <x v="0"/>
    <s v="Mujeres"/>
    <n v="60"/>
    <x v="9"/>
    <x v="2"/>
    <x v="2"/>
    <x v="76"/>
    <s v="Ninguno"/>
    <s v="Sentencias Dictadas por Delitos Vinculados a la Mujer"/>
    <s v="Periodo 2013-2019"/>
    <s v="Número de sentencias"/>
    <s v="Poder Judicial"/>
    <x v="468"/>
    <s v="Gráfico que muestra la evolución anual de la frecuencia de Sentencias Dictadas por Delitos Vinculados a la Mujer por Delito en el Juzgado de Garantía de Punta Arena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3"/>
    <s v="100-C-12"/>
    <s v="#1774B107"/>
    <e v="#VALUE!"/>
    <e v="#VALUE!"/>
    <e v="#VALUE!"/>
    <e v="#VALUE!"/>
    <e v="#VALUE!"/>
    <e v="#VALUE!"/>
  </r>
  <r>
    <x v="554"/>
    <n v="300"/>
    <x v="0"/>
    <s v="Mujeres"/>
    <n v="61"/>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4"/>
    <s v="200-C-13"/>
    <s v="#1774B107"/>
    <e v="#VALUE!"/>
    <e v="#VALUE!"/>
    <e v="#VALUE!"/>
    <e v="#VALUE!"/>
    <e v="#VALUE!"/>
    <e v="#VALUE!"/>
  </r>
  <r>
    <x v="555"/>
    <n v="300"/>
    <x v="0"/>
    <s v="Mujeres"/>
    <n v="62"/>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5"/>
    <s v="200-C-13"/>
    <s v="#1774B107"/>
    <e v="#VALUE!"/>
    <e v="#VALUE!"/>
    <e v="#VALUE!"/>
    <e v="#VALUE!"/>
    <e v="#VALUE!"/>
    <e v="#VALUE!"/>
  </r>
  <r>
    <x v="556"/>
    <n v="300"/>
    <x v="0"/>
    <s v="Mujeres"/>
    <n v="63"/>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6"/>
    <s v="200-C-13"/>
    <s v="#1774B107"/>
    <e v="#VALUE!"/>
    <e v="#VALUE!"/>
    <e v="#VALUE!"/>
    <e v="#VALUE!"/>
    <e v="#VALUE!"/>
    <e v="#VALUE!"/>
  </r>
  <r>
    <x v="557"/>
    <n v="300"/>
    <x v="0"/>
    <s v="Mujeres"/>
    <n v="64"/>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7"/>
    <s v="200-C-13"/>
    <s v="#1774B107"/>
    <e v="#VALUE!"/>
    <e v="#VALUE!"/>
    <e v="#VALUE!"/>
    <e v="#VALUE!"/>
    <e v="#VALUE!"/>
    <e v="#VALUE!"/>
  </r>
  <r>
    <x v="558"/>
    <n v="300"/>
    <x v="0"/>
    <s v="Mujeres"/>
    <n v="65"/>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8"/>
    <s v="200-C-13"/>
    <s v="#1774B107"/>
    <e v="#VALUE!"/>
    <e v="#VALUE!"/>
    <e v="#VALUE!"/>
    <e v="#VALUE!"/>
    <e v="#VALUE!"/>
    <e v="#VALUE!"/>
  </r>
  <r>
    <x v="559"/>
    <n v="300"/>
    <x v="0"/>
    <s v="Mujeres"/>
    <n v="66"/>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59"/>
    <s v="200-C-13"/>
    <s v="#1774B107"/>
    <e v="#VALUE!"/>
    <e v="#VALUE!"/>
    <e v="#VALUE!"/>
    <e v="#VALUE!"/>
    <e v="#VALUE!"/>
    <e v="#VALUE!"/>
  </r>
  <r>
    <x v="560"/>
    <n v="300"/>
    <x v="0"/>
    <s v="Mujeres"/>
    <n v="67"/>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0"/>
    <s v="200-C-13"/>
    <s v="#1774B107"/>
    <e v="#VALUE!"/>
    <e v="#VALUE!"/>
    <e v="#VALUE!"/>
    <e v="#VALUE!"/>
    <e v="#VALUE!"/>
    <e v="#VALUE!"/>
  </r>
  <r>
    <x v="561"/>
    <n v="300"/>
    <x v="0"/>
    <s v="Mujeres"/>
    <n v="68"/>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1"/>
    <s v="200-C-13"/>
    <s v="#1774B107"/>
    <e v="#VALUE!"/>
    <e v="#VALUE!"/>
    <e v="#VALUE!"/>
    <e v="#VALUE!"/>
    <e v="#VALUE!"/>
    <e v="#VALUE!"/>
  </r>
  <r>
    <x v="562"/>
    <n v="300"/>
    <x v="0"/>
    <s v="Mujeres"/>
    <n v="69"/>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2"/>
    <s v="200-C-13"/>
    <s v="#1774B107"/>
    <e v="#VALUE!"/>
    <e v="#VALUE!"/>
    <e v="#VALUE!"/>
    <e v="#VALUE!"/>
    <e v="#VALUE!"/>
    <e v="#VALUE!"/>
  </r>
  <r>
    <x v="563"/>
    <n v="300"/>
    <x v="0"/>
    <s v="Mujeres"/>
    <n v="70"/>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3"/>
    <s v="200-C-13"/>
    <s v="#1774B107"/>
    <e v="#VALUE!"/>
    <e v="#VALUE!"/>
    <e v="#VALUE!"/>
    <e v="#VALUE!"/>
    <e v="#VALUE!"/>
    <e v="#VALUE!"/>
  </r>
  <r>
    <x v="564"/>
    <n v="300"/>
    <x v="0"/>
    <s v="Mujeres"/>
    <n v="71"/>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4"/>
    <s v="200-C-13"/>
    <s v="#1774B107"/>
    <e v="#VALUE!"/>
    <e v="#VALUE!"/>
    <e v="#VALUE!"/>
    <e v="#VALUE!"/>
    <e v="#VALUE!"/>
    <e v="#VALUE!"/>
  </r>
  <r>
    <x v="565"/>
    <n v="300"/>
    <x v="0"/>
    <s v="Mujeres"/>
    <n v="72"/>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5"/>
    <s v="200-C-13"/>
    <s v="#1774B107"/>
    <e v="#VALUE!"/>
    <e v="#VALUE!"/>
    <e v="#VALUE!"/>
    <e v="#VALUE!"/>
    <e v="#VALUE!"/>
    <e v="#VALUE!"/>
  </r>
  <r>
    <x v="566"/>
    <n v="300"/>
    <x v="0"/>
    <s v="Mujeres"/>
    <n v="73"/>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6"/>
    <s v="200-C-13"/>
    <s v="#1774B107"/>
    <e v="#VALUE!"/>
    <e v="#VALUE!"/>
    <e v="#VALUE!"/>
    <e v="#VALUE!"/>
    <e v="#VALUE!"/>
    <e v="#VALUE!"/>
  </r>
  <r>
    <x v="567"/>
    <n v="300"/>
    <x v="0"/>
    <s v="Mujeres"/>
    <n v="74"/>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7"/>
    <s v="200-C-13"/>
    <s v="#1774B107"/>
    <e v="#VALUE!"/>
    <e v="#VALUE!"/>
    <e v="#VALUE!"/>
    <e v="#VALUE!"/>
    <e v="#VALUE!"/>
    <e v="#VALUE!"/>
  </r>
  <r>
    <x v="568"/>
    <n v="300"/>
    <x v="0"/>
    <s v="Mujeres"/>
    <n v="75"/>
    <x v="9"/>
    <x v="2"/>
    <x v="2"/>
    <x v="77"/>
    <s v="Ninguno"/>
    <s v="Sentencias Dictadas por Delitos Vinculados a la Mujer"/>
    <s v="Periodo 2013-2019"/>
    <s v="Número de sentencias"/>
    <s v="Poder Judicial"/>
    <x v="46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8"/>
    <s v="200-C-13"/>
    <s v="#1774B107"/>
    <e v="#VALUE!"/>
    <e v="#VALUE!"/>
    <e v="#VALUE!"/>
    <e v="#VALUE!"/>
    <e v="#VALUE!"/>
    <e v="#VALUE!"/>
  </r>
  <r>
    <x v="569"/>
    <n v="300"/>
    <x v="0"/>
    <s v="Mujeres"/>
    <n v="76"/>
    <x v="9"/>
    <x v="2"/>
    <x v="2"/>
    <x v="78"/>
    <s v="Ninguno"/>
    <s v="Sentencias Dictadas por Delitos Vinculados a la Mujer"/>
    <s v="Periodo 2013-2019"/>
    <s v="Número de sentencias"/>
    <s v="Poder Judicial"/>
    <x v="470"/>
    <s v="Gráfico que muestra la evolución anual de la frecuencia de Sentencias Dictadas por Delitos Vinculados a la Mujer por Delito en el Juzgado de Garantía de Los Lago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69"/>
    <s v="100-C-14"/>
    <s v="#1774B107"/>
    <e v="#VALUE!"/>
    <e v="#VALUE!"/>
    <e v="#VALUE!"/>
    <e v="#VALUE!"/>
    <e v="#VALUE!"/>
    <e v="#VALUE!"/>
  </r>
  <r>
    <x v="570"/>
    <n v="300"/>
    <x v="0"/>
    <s v="Mujeres"/>
    <n v="77"/>
    <x v="9"/>
    <x v="2"/>
    <x v="2"/>
    <x v="79"/>
    <s v="Ninguno"/>
    <s v="Sentencias Dictadas por Delitos Vinculados a la Mujer"/>
    <s v="Periodo 2013-2019"/>
    <s v="Número de sentencias"/>
    <s v="Poder Judicial"/>
    <x v="471"/>
    <s v="Gráfico que muestra la evolución anual de la frecuencia de Sentencias Dictadas por Delitos Vinculados a la Mujer por Delito en el Juzgado de Garantía de Mariqui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70"/>
    <s v="100-C-14"/>
    <s v="#1774B107"/>
    <e v="#VALUE!"/>
    <e v="#VALUE!"/>
    <e v="#VALUE!"/>
    <e v="#VALUE!"/>
    <e v="#VALUE!"/>
    <e v="#VALUE!"/>
  </r>
  <r>
    <x v="571"/>
    <n v="300"/>
    <x v="0"/>
    <s v="Mujeres"/>
    <n v="78"/>
    <x v="9"/>
    <x v="2"/>
    <x v="2"/>
    <x v="80"/>
    <s v="Ninguno"/>
    <s v="Sentencias Dictadas por Delitos Vinculados a la Mujer"/>
    <s v="Periodo 2013-2019"/>
    <s v="Número de sentencias"/>
    <s v="Poder Judicial"/>
    <x v="472"/>
    <s v="Gráfico que muestra la evolución anual de la frecuencia de Sentencias Dictadas por Delitos Vinculados a la Mujer por Delito en el Juzgado de Garantía de Valdivi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71"/>
    <s v="100-C-14"/>
    <s v="#1774B107"/>
    <e v="#VALUE!"/>
    <e v="#VALUE!"/>
    <e v="#VALUE!"/>
    <e v="#VALUE!"/>
    <e v="#VALUE!"/>
    <e v="#VALUE!"/>
  </r>
  <r>
    <x v="572"/>
    <n v="300"/>
    <x v="0"/>
    <s v="Mujeres"/>
    <n v="79"/>
    <x v="9"/>
    <x v="2"/>
    <x v="2"/>
    <x v="81"/>
    <s v="Ninguno"/>
    <s v="Sentencias Dictadas por Delitos Vinculados a la Mujer"/>
    <s v="Periodo 2013-2019"/>
    <s v="Número de sentencias"/>
    <s v="Poder Judicial"/>
    <x v="473"/>
    <s v="Gráfico que muestra la evolución anual de la frecuencia de Sentencias Dictadas por Delitos Vinculados a la Mujer por Delito en el Juzgado de Garantía de Aric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72"/>
    <s v="100-C-15"/>
    <s v="#1774B107"/>
    <e v="#VALUE!"/>
    <e v="#VALUE!"/>
    <e v="#VALUE!"/>
    <e v="#VALUE!"/>
    <e v="#VALUE!"/>
    <e v="#VALUE!"/>
  </r>
  <r>
    <x v="573"/>
    <n v="300"/>
    <x v="0"/>
    <s v="Mujeres"/>
    <n v="80"/>
    <x v="9"/>
    <x v="2"/>
    <x v="2"/>
    <x v="82"/>
    <s v="Ninguno"/>
    <s v="Sentencias Dictadas por Delitos Vinculados a la Mujer"/>
    <s v="Periodo 2013-2019"/>
    <s v="Número de sentencias"/>
    <s v="Poder Judicial"/>
    <x v="474"/>
    <s v="Gráfico que muestra la evolución anual de la frecuencia de Sentencias Dictadas por Delitos Vinculados a la Mujer por Delito en el Juzgado de Garantía de Chilla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73"/>
    <s v="100-C-16"/>
    <s v="#1774B107"/>
    <e v="#VALUE!"/>
    <e v="#VALUE!"/>
    <e v="#VALUE!"/>
    <e v="#VALUE!"/>
    <e v="#VALUE!"/>
    <e v="#VALUE!"/>
  </r>
  <r>
    <x v="574"/>
    <n v="300"/>
    <x v="0"/>
    <s v="Mujeres"/>
    <n v="81"/>
    <x v="9"/>
    <x v="2"/>
    <x v="2"/>
    <x v="83"/>
    <s v="Ninguno"/>
    <s v="Sentencias Dictadas por Delitos Vinculados a la Mujer"/>
    <s v="Periodo 2013-2019"/>
    <s v="Número de sentencias"/>
    <s v="Poder Judicial"/>
    <x v="475"/>
    <s v="Gráfico que muestra la evolución anual de la frecuencia de Sentencias Dictadas por Delitos Vinculados a la Mujer por Delito en el Juzgado de Garantía de San Carlo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74"/>
    <s v="100-C-16"/>
    <s v="#1774B107"/>
    <e v="#VALUE!"/>
    <e v="#VALUE!"/>
    <e v="#VALUE!"/>
    <e v="#VALUE!"/>
    <e v="#VALUE!"/>
    <e v="#VALUE!"/>
  </r>
  <r>
    <x v="575"/>
    <n v="300"/>
    <x v="0"/>
    <s v="Mujeres"/>
    <n v="82"/>
    <x v="9"/>
    <x v="2"/>
    <x v="2"/>
    <x v="84"/>
    <s v="Ninguno"/>
    <s v="Sentencias Dictadas por Delitos Vinculados a la Mujer"/>
    <s v="Periodo 2013-2019"/>
    <s v="Número de sentencias"/>
    <s v="Poder Judicial"/>
    <x v="476"/>
    <s v="Gráfico que muestra la evolución anual de la frecuencia de Sentencias Dictadas por Delitos Vinculados a la Mujer por Delito en el Juzgado de Garantía de Yungay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x v="575"/>
    <s v="100-C-16"/>
    <s v="#1774B107"/>
    <e v="#VALUE!"/>
    <e v="#VALUE!"/>
    <e v="#VALUE!"/>
    <e v="#VALUE!"/>
    <e v="#VALUE!"/>
    <e v="#VALUE!"/>
  </r>
  <r>
    <x v="576"/>
    <n v="300"/>
    <x v="0"/>
    <s v="Mujeres"/>
    <n v="270103002"/>
    <x v="6"/>
    <x v="2"/>
    <x v="0"/>
    <x v="0"/>
    <s v="Ninguno"/>
    <s v="Sentencias Dictadas por Delitos Vinculados a la Mujer"/>
    <s v="Periodo 2013-2019"/>
    <s v="Número de sentencias"/>
    <s v="Poder Judicial"/>
    <x v="477"/>
    <s v="El gráfico muestra la evolución anual de la frecuencia de Sentencias Dictadas por Delitos Vinculados a la Mujer por región para el delito de Femicidio Intimo, durante el Periodo 2013-2019 de acuerdo a datos provenientes del Poder Judicial de Chile."/>
    <s v="Gráfico de Evolución"/>
    <s v="sociedad delincuencia delitos frecuencia sentencias femicidio íntimo mujer violencia regional"/>
    <x v="576"/>
    <s v="300-R"/>
    <s v="#1774B107"/>
    <e v="#VALUE!"/>
    <e v="#VALUE!"/>
    <e v="#VALUE!"/>
    <e v="#VALUE!"/>
    <e v="#VALUE!"/>
    <e v="#VALUE!"/>
  </r>
  <r>
    <x v="577"/>
    <n v="300"/>
    <x v="0"/>
    <s v="Mujeres"/>
    <n v="270103003"/>
    <x v="6"/>
    <x v="2"/>
    <x v="0"/>
    <x v="0"/>
    <s v="Ninguno"/>
    <s v="Sentencias Dictadas por Delitos Vinculados a la Mujer"/>
    <s v="Periodo 2013-2019"/>
    <s v="Número de sentencias"/>
    <s v="Poder Judicial"/>
    <x v="478"/>
    <s v="El gráfico muestra la evolución anual de la frecuencia de Sentencias Dictadas por Delitos Vinculados a la Mujer por región para el delito de Secuestro Con Violación, durante el Periodo 2013-2019 de acuerdo a datos provenientes del Poder Judicial de Chile."/>
    <s v="Gráfico de Evolución"/>
    <s v="sociedad delincuencia delitos frecuencia sentencias secuestro violación mujer violencia regional"/>
    <x v="577"/>
    <s v="300-R"/>
    <s v="#1774B107"/>
    <e v="#VALUE!"/>
    <e v="#VALUE!"/>
    <e v="#VALUE!"/>
    <e v="#VALUE!"/>
    <e v="#VALUE!"/>
    <e v="#VALUE!"/>
  </r>
  <r>
    <x v="578"/>
    <n v="300"/>
    <x v="0"/>
    <s v="Mujeres"/>
    <n v="270103004"/>
    <x v="8"/>
    <x v="2"/>
    <x v="0"/>
    <x v="0"/>
    <s v="Ninguno"/>
    <s v="Sentencias Dictadas por Delitos Vinculados a la Mujer"/>
    <s v="Periodo 2013-2019"/>
    <s v="Número de sentencias"/>
    <s v="Poder Judicial"/>
    <x v="479"/>
    <s v="El gráfico muestra la evolución anual de la frecuencia de Sentencias Dictadas por Delitos Vinculados a la Mujer por región para el delito de Secuestro Con Homicidio, Violación O Lesiones, durante el Periodo 2013-2019 de acuerdo a datos provenientes del Poder Judicial de Chile."/>
    <s v="Gráfico de Evolución"/>
    <s v="sociedad delincuencia delitos frecuencia sentencias secuestro homicidio violación lesiones mujer violencia regional"/>
    <x v="578"/>
    <s v="300-R"/>
    <s v="#1774B107"/>
    <e v="#VALUE!"/>
    <e v="#VALUE!"/>
    <e v="#VALUE!"/>
    <e v="#VALUE!"/>
    <e v="#VALUE!"/>
    <e v="#VALUE!"/>
  </r>
  <r>
    <x v="579"/>
    <n v="300"/>
    <x v="0"/>
    <s v="Mujeres"/>
    <n v="270103005"/>
    <x v="6"/>
    <x v="2"/>
    <x v="0"/>
    <x v="0"/>
    <s v="Ninguno"/>
    <s v="Sentencias Dictadas por Delitos Vinculados a la Mujer"/>
    <s v="Periodo 2013-2019"/>
    <s v="Número de sentencias"/>
    <s v="Poder Judicial"/>
    <x v="480"/>
    <s v="El gráfico muestra la evolución anual de la frecuencia de Sentencias Dictadas por Delitos Vinculados a la Mujer por región para el delito de Tortura Con Violación, Abuso Sexual Agravado/Otros, durante el Periodo 2013-2019 de acuerdo a datos provenientes del Poder Judicial de Chile."/>
    <s v="Gráfico de Evolución"/>
    <s v="sociedad delincuencia delitos frecuencia sentencias tortura violación abuso sexual mujer violencia regional"/>
    <x v="579"/>
    <s v="300-R"/>
    <s v="#1774B107"/>
    <e v="#VALUE!"/>
    <e v="#VALUE!"/>
    <e v="#VALUE!"/>
    <e v="#VALUE!"/>
    <e v="#VALUE!"/>
    <e v="#VALUE!"/>
  </r>
  <r>
    <x v="580"/>
    <n v="300"/>
    <x v="0"/>
    <s v="Mujeres"/>
    <n v="270104001"/>
    <x v="7"/>
    <x v="2"/>
    <x v="0"/>
    <x v="0"/>
    <s v="Ninguno"/>
    <s v="Sentencias Dictadas por Delitos Vinculados a la Mujer"/>
    <s v="Periodo 2013-2019"/>
    <s v="Número de sentencias"/>
    <s v="Poder Judicial"/>
    <x v="481"/>
    <s v="El gráfico muestra la evolución anual de la frecuencia de Sentencias Dictadas por Delitos Vinculados a la Mujer por región para el delito de Maltrato Habitual (Violencia Intrafamiliar), durante el Periodo 2013-2019 de acuerdo a datos provenientes del Poder Judicial de Chile."/>
    <s v="Gráfico de Evolución"/>
    <s v="sociedad delincuencia delitos frecuencia sentencias maltrato intrafamiliar mujer violencia regional"/>
    <x v="580"/>
    <s v="300-R"/>
    <e v="#REF!"/>
    <e v="#VALUE!"/>
    <e v="#VALUE!"/>
    <e v="#VALUE!"/>
    <e v="#VALUE!"/>
    <e v="#VALUE!"/>
    <e v="#VALUE!"/>
  </r>
  <r>
    <x v="581"/>
    <n v="300"/>
    <x v="0"/>
    <s v="Mujeres"/>
    <n v="270105001"/>
    <x v="8"/>
    <x v="2"/>
    <x v="0"/>
    <x v="0"/>
    <s v="Ninguno"/>
    <s v="Sentencias Dictadas por Delitos Vinculados a la Mujer"/>
    <s v="Periodo 2013-2019"/>
    <s v="Número de sentencias"/>
    <s v="Poder Judicial"/>
    <x v="482"/>
    <s v="El gráfico muestra la evolución anual de la frecuencia de Sentencias Dictadas por Delitos Vinculados a la Mujer por región para el delito de Aborto Cometido Por Facultativo Por Causales No Reguladas, durante el Periodo 2013-2019 de acuerdo a datos provenientes del Poder Judicial de Chile."/>
    <s v="Gráfico de Evolución"/>
    <s v="sociedad delincuencia delitos frecuencia sentencias aborto causales reguladas mujer violencia regional"/>
    <x v="581"/>
    <s v="300-R"/>
    <e v="#REF!"/>
    <e v="#VALUE!"/>
    <e v="#VALUE!"/>
    <e v="#VALUE!"/>
    <e v="#VALUE!"/>
    <e v="#VALUE!"/>
    <e v="#VALUE!"/>
  </r>
  <r>
    <x v="582"/>
    <n v="300"/>
    <x v="0"/>
    <s v="Mujeres"/>
    <n v="270105002"/>
    <x v="8"/>
    <x v="2"/>
    <x v="0"/>
    <x v="0"/>
    <s v="Ninguno"/>
    <s v="Sentencias Dictadas por Delitos Vinculados a la Mujer"/>
    <s v="Periodo 2013-2019"/>
    <s v="Número de sentencias"/>
    <s v="Poder Judicial"/>
    <x v="483"/>
    <s v="El gráfico muestra la evolución anual de la frecuencia de Sentencias Dictadas por Delitos Vinculados a la Mujer por región para el delito de Aborto Consentido Causales No Reguladas, durante el Periodo 2013-2019 de acuerdo a datos provenientes del Poder Judicial de Chile."/>
    <s v="Gráfico de Evolución"/>
    <s v="sociedad delincuencia delitos frecuencia sentencias aborto causales consentimiento consentido reguladas mujer violencia regional"/>
    <x v="582"/>
    <s v="300-R"/>
    <e v="#REF!"/>
    <e v="#VALUE!"/>
    <e v="#VALUE!"/>
    <e v="#VALUE!"/>
    <e v="#VALUE!"/>
    <e v="#VALUE!"/>
    <e v="#VALUE!"/>
  </r>
  <r>
    <x v="583"/>
    <n v="300"/>
    <x v="0"/>
    <s v="Mujeres"/>
    <n v="270105003"/>
    <x v="8"/>
    <x v="2"/>
    <x v="0"/>
    <x v="0"/>
    <s v="Ninguno"/>
    <s v="Sentencias Dictadas por Delitos Vinculados a la Mujer"/>
    <s v="Periodo 2013-2019"/>
    <s v="Número de sentencias"/>
    <s v="Poder Judicial"/>
    <x v="484"/>
    <s v="El gráfico muestra la evolución anual de la frecuencia de Sentencias Dictadas por Delitos Vinculados a la Mujer por región para el delito de Aborto Sin Consentimiento, durante el Periodo 2013-2019 de acuerdo a datos provenientes del Poder Judicial de Chile."/>
    <s v="Gráfico de Evolución"/>
    <s v="sociedad delincuencia delitos frecuencia sentencias aborto consentimiento mujer violencia regional"/>
    <x v="583"/>
    <s v="300-R"/>
    <e v="#REF!"/>
    <e v="#VALUE!"/>
    <e v="#VALUE!"/>
    <e v="#VALUE!"/>
    <e v="#VALUE!"/>
    <e v="#VALUE!"/>
    <e v="#VALUE!"/>
  </r>
  <r>
    <x v="584"/>
    <n v="300"/>
    <x v="0"/>
    <s v="Mujeres"/>
    <n v="270103002"/>
    <x v="8"/>
    <x v="2"/>
    <x v="0"/>
    <x v="0"/>
    <s v="Ninguno"/>
    <s v="Sentencias Dictadas por Delitos Vinculados a la Mujer"/>
    <s v="Periodo 2013-2019"/>
    <s v="Número de sentencias"/>
    <s v="Poder Judicial"/>
    <x v="485"/>
    <s v="El gráfico muestra la evolución anual de la frecuencia de Sentencias Dictadas por Delitos Vinculados a la Mujer por Juzgado de Garantía para el delito de Femicidio Intimo, durante el Periodo 2013-2019 de acuerdo a datos provenientes del Poder Judicial de Chile."/>
    <s v="Gráfico de Evolución"/>
    <s v="sociedad delincuencia delitos frecuencia sentencias femicidio íntimo mujer violencia regional"/>
    <x v="584"/>
    <s v="300-C"/>
    <e v="#REF!"/>
    <e v="#VALUE!"/>
    <e v="#VALUE!"/>
    <e v="#VALUE!"/>
    <e v="#VALUE!"/>
    <e v="#VALUE!"/>
    <e v="#VALUE!"/>
  </r>
  <r>
    <x v="585"/>
    <n v="300"/>
    <x v="0"/>
    <s v="Mujeres"/>
    <n v="270103003"/>
    <x v="6"/>
    <x v="2"/>
    <x v="0"/>
    <x v="0"/>
    <s v="Ninguno"/>
    <s v="Sentencias Dictadas por Delitos Vinculados a la Mujer"/>
    <s v="Periodo 2013-2019"/>
    <s v="Número de sentencias"/>
    <s v="Poder Judicial"/>
    <x v="486"/>
    <s v="El gráfico muestra la evolución anual de la frecuencia de Sentencias Dictadas por Delitos Vinculados a la Mujer por Juzgado de Garantía para el delito de Secuestro Con Violación, durante el Periodo 2013-2019 de acuerdo a datos provenientes del Poder Judicial de Chile."/>
    <s v="Gráfico de Evolución"/>
    <s v="sociedad delincuencia delitos frecuencia sentencias secuestro violación mujer violencia juzgado garantía"/>
    <x v="585"/>
    <s v="300-C"/>
    <e v="#REF!"/>
    <e v="#VALUE!"/>
    <e v="#VALUE!"/>
    <e v="#VALUE!"/>
    <e v="#VALUE!"/>
    <e v="#VALUE!"/>
    <e v="#VALUE!"/>
  </r>
  <r>
    <x v="586"/>
    <n v="300"/>
    <x v="0"/>
    <s v="Mujeres"/>
    <n v="270103004"/>
    <x v="6"/>
    <x v="2"/>
    <x v="0"/>
    <x v="0"/>
    <s v="Ninguno"/>
    <s v="Sentencias Dictadas por Delitos Vinculados a la Mujer"/>
    <s v="Periodo 2013-2019"/>
    <s v="Número de sentencias"/>
    <s v="Poder Judicial"/>
    <x v="487"/>
    <s v="El gráfico muestra la evolución anual de la frecuencia de Sentencias Dictadas por Delitos Vinculados a la Mujer por Juzgado de Garantía para el delito de Secuestro Con Homicidio, Violación O Lesiones, durante el Periodo 2013-2019 de acuerdo a datos provenientes del Poder Judicial de Chile."/>
    <s v="Gráfico de Evolución"/>
    <s v="sociedad delincuencia delitos frecuencia sentencias secuestro homicidio violación lesiones mujer violencia juzgado garantía"/>
    <x v="586"/>
    <s v="300-C"/>
    <e v="#REF!"/>
    <e v="#VALUE!"/>
    <e v="#VALUE!"/>
    <e v="#VALUE!"/>
    <e v="#VALUE!"/>
    <e v="#VALUE!"/>
    <e v="#VALUE!"/>
  </r>
  <r>
    <x v="587"/>
    <n v="300"/>
    <x v="0"/>
    <s v="Mujeres"/>
    <n v="270103005"/>
    <x v="6"/>
    <x v="2"/>
    <x v="0"/>
    <x v="0"/>
    <s v="Ninguno"/>
    <s v="Sentencias Dictadas por Delitos Vinculados a la Mujer"/>
    <s v="Periodo 2013-2019"/>
    <s v="Número de sentencias"/>
    <s v="Poder Judicial"/>
    <x v="488"/>
    <s v="El gráfico muestra la evolución anual de la frecuencia de Sentencias Dictadas por Delitos Vinculados a la Mujer por Juzgado de Garantía para el delito de Tortura Con Violación, Abuso Sexual Agravado/Otros, durante el Periodo 2013-2019 de acuerdo a datos provenientes del Poder Judicial de Chile."/>
    <s v="Gráfico de Evolución"/>
    <s v="sociedad delincuencia delitos frecuencia sentencias tortura violación abuso sexual mujer violencia juzgado garantía"/>
    <x v="587"/>
    <s v="300-C"/>
    <e v="#REF!"/>
    <e v="#VALUE!"/>
    <e v="#VALUE!"/>
    <e v="#VALUE!"/>
    <e v="#VALUE!"/>
    <e v="#VALUE!"/>
    <e v="#VALUE!"/>
  </r>
  <r>
    <x v="588"/>
    <n v="300"/>
    <x v="0"/>
    <s v="Mujeres"/>
    <n v="270104001"/>
    <x v="7"/>
    <x v="2"/>
    <x v="0"/>
    <x v="0"/>
    <s v="Ninguno"/>
    <s v="Sentencias Dictadas por Delitos Vinculados a la Mujer"/>
    <s v="Periodo 2013-2019"/>
    <s v="Número de sentencias"/>
    <s v="Poder Judicial"/>
    <x v="489"/>
    <s v="El gráfico muestra la evolución anual de la frecuencia de Sentencias Dictadas por Delitos Vinculados a la Mujer por Juzgado de Garantía para el delito de Maltrato Habitual (Violencia Intrafamiliar), durante el Periodo 2013-2019 de acuerdo a datos provenientes del Poder Judicial de Chile."/>
    <s v="Gráfico de Evolución"/>
    <s v="sociedad delincuencia delitos frecuencia sentencias maltrato intrafamiliar mujer violencia juzgado garantía"/>
    <x v="588"/>
    <s v="300-C"/>
    <e v="#REF!"/>
    <e v="#VALUE!"/>
    <e v="#VALUE!"/>
    <e v="#VALUE!"/>
    <e v="#VALUE!"/>
    <e v="#VALUE!"/>
    <e v="#VALUE!"/>
  </r>
  <r>
    <x v="589"/>
    <n v="300"/>
    <x v="0"/>
    <s v="Mujeres"/>
    <n v="270105001"/>
    <x v="8"/>
    <x v="2"/>
    <x v="0"/>
    <x v="0"/>
    <s v="Ninguno"/>
    <s v="Sentencias Dictadas por Delitos Vinculados a la Mujer"/>
    <s v="Periodo 2013-2019"/>
    <s v="Número de sentencias"/>
    <s v="Poder Judicial"/>
    <x v="490"/>
    <s v="El gráfico muestra la evolución anual de la frecuencia de Sentencias Dictadas por Delitos Vinculados a la Mujer por Juzgado de Garantía para el delito de Aborto Cometido Por Facultativo Por Causales No Reguladas, durante el Periodo 2013-2019 de acuerdo a datos provenientes del Poder Judicial de Chile."/>
    <s v="Gráfico de Evolución"/>
    <s v="sociedad delincuencia delitos frecuencia sentencias aborto causales reguladas mujer violencia juzgado garantía"/>
    <x v="589"/>
    <s v="300-C"/>
    <e v="#REF!"/>
    <e v="#VALUE!"/>
    <e v="#VALUE!"/>
    <e v="#VALUE!"/>
    <e v="#VALUE!"/>
    <e v="#VALUE!"/>
    <e v="#VALUE!"/>
  </r>
  <r>
    <x v="590"/>
    <n v="300"/>
    <x v="0"/>
    <s v="Mujeres"/>
    <n v="270105002"/>
    <x v="8"/>
    <x v="2"/>
    <x v="0"/>
    <x v="0"/>
    <s v="Ninguno"/>
    <s v="Sentencias Dictadas por Delitos Vinculados a la Mujer"/>
    <s v="Periodo 2013-2019"/>
    <s v="Número de sentencias"/>
    <s v="Poder Judicial"/>
    <x v="491"/>
    <s v="El gráfico muestra la evolución anual de la frecuencia de Sentencias Dictadas por Delitos Vinculados a la Mujer por Juzgado de Garantía para el delito de Aborto Consentido Causales No Reguladas, durante el Periodo 2013-2019 de acuerdo a datos provenientes del Poder Judicial de Chile."/>
    <s v="Gráfico de Evolución"/>
    <s v="sociedad delincuencia delitos frecuencia sentencias aborto causales consentimiento consentido reguladas mujer violencia juzgado garantía"/>
    <x v="590"/>
    <s v="300-C"/>
    <e v="#REF!"/>
    <e v="#VALUE!"/>
    <e v="#VALUE!"/>
    <e v="#VALUE!"/>
    <e v="#VALUE!"/>
    <e v="#VALUE!"/>
    <e v="#VALUE!"/>
  </r>
  <r>
    <x v="591"/>
    <n v="300"/>
    <x v="0"/>
    <s v="Mujeres"/>
    <n v="270105003"/>
    <x v="8"/>
    <x v="2"/>
    <x v="0"/>
    <x v="0"/>
    <s v="Ninguno"/>
    <s v="Sentencias Dictadas por Delitos Vinculados a la Mujer"/>
    <s v="Periodo 2013-2019"/>
    <s v="Número de sentencias"/>
    <s v="Poder Judicial"/>
    <x v="492"/>
    <s v="El gráfico muestra la evolución anual de la frecuencia de Sentencias Dictadas por Delitos Vinculados a la Mujer por Juzgado de Garantía para el delito de Aborto Sin Consentimiento, durante el Periodo 2013-2019 de acuerdo a datos provenientes del Poder Judicial de Chile."/>
    <s v="Gráfico de Evolución"/>
    <s v="sociedad delincuencia delitos frecuencia sentencias aborto consentimiento mujer violencia juzgado garantía"/>
    <x v="591"/>
    <s v="300-C"/>
    <e v="#REF!"/>
    <e v="#VALUE!"/>
    <e v="#VALUE!"/>
    <e v="#VALUE!"/>
    <e v="#VALUE!"/>
    <e v="#VALUE!"/>
    <e v="#VALUE!"/>
  </r>
  <r>
    <x v="592"/>
    <n v="300"/>
    <x v="0"/>
    <s v="Mujeres"/>
    <n v="1"/>
    <x v="9"/>
    <x v="2"/>
    <x v="1"/>
    <x v="1"/>
    <s v="Ninguno"/>
    <s v="Variación Trimestral de Sentencias Dictadas (%)"/>
    <s v="Periodo 2013-2019"/>
    <s v="Porcentaje"/>
    <s v="Poder Judicial"/>
    <x v="493"/>
    <s v="El gráfico muestra la tendencia de la Variación Trimestral de Sentencias Dictadas (%) en la Región de Tarapacá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tarapacá"/>
    <x v="592"/>
    <s v="100-R-1"/>
    <e v="#REF!"/>
    <e v="#VALUE!"/>
    <e v="#VALUE!"/>
    <e v="#VALUE!"/>
    <e v="#VALUE!"/>
    <e v="#VALUE!"/>
    <e v="#VALUE!"/>
  </r>
  <r>
    <x v="593"/>
    <n v="300"/>
    <x v="0"/>
    <s v="Mujeres"/>
    <n v="2"/>
    <x v="9"/>
    <x v="2"/>
    <x v="1"/>
    <x v="2"/>
    <s v="Ninguno"/>
    <s v="Variación Trimestral de Sentencias Dictadas (%)"/>
    <s v="Periodo 2013-2019"/>
    <s v="Porcentaje"/>
    <s v="Poder Judicial"/>
    <x v="494"/>
    <s v="El gráfico muestra la tendencia de la Variación Trimestral de Sentencias Dictadas (%) en la Región de Antofagast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ntofagasta"/>
    <x v="593"/>
    <s v="100-R-2"/>
    <e v="#REF!"/>
    <e v="#VALUE!"/>
    <e v="#VALUE!"/>
    <e v="#VALUE!"/>
    <e v="#VALUE!"/>
    <e v="#VALUE!"/>
    <e v="#VALUE!"/>
  </r>
  <r>
    <x v="594"/>
    <n v="300"/>
    <x v="0"/>
    <s v="Mujeres"/>
    <n v="3"/>
    <x v="9"/>
    <x v="2"/>
    <x v="1"/>
    <x v="3"/>
    <s v="Ninguno"/>
    <s v="Variación Trimestral de Sentencias Dictadas (%)"/>
    <s v="Periodo 2013-2019"/>
    <s v="Porcentaje"/>
    <s v="Poder Judicial"/>
    <x v="495"/>
    <s v="El gráfico muestra la tendencia de la Variación Trimestral de Sentencias Dictadas (%) en la Región de Atacam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tacama"/>
    <x v="594"/>
    <s v="100-R-3"/>
    <e v="#REF!"/>
    <e v="#VALUE!"/>
    <e v="#VALUE!"/>
    <e v="#VALUE!"/>
    <e v="#VALUE!"/>
    <e v="#VALUE!"/>
    <e v="#VALUE!"/>
  </r>
  <r>
    <x v="595"/>
    <n v="300"/>
    <x v="0"/>
    <s v="Mujeres"/>
    <n v="4"/>
    <x v="9"/>
    <x v="2"/>
    <x v="1"/>
    <x v="4"/>
    <s v="Ninguno"/>
    <s v="Variación Trimestral de Sentencias Dictadas (%)"/>
    <s v="Periodo 2013-2019"/>
    <s v="Porcentaje"/>
    <s v="Poder Judicial"/>
    <x v="496"/>
    <s v="El gráfico muestra la tendencia de la Variación Trimestral de Sentencias Dictadas (%) en la Región de Coquimb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coquimbo"/>
    <x v="595"/>
    <s v="100-R-4"/>
    <e v="#REF!"/>
    <e v="#VALUE!"/>
    <e v="#VALUE!"/>
    <e v="#VALUE!"/>
    <e v="#VALUE!"/>
    <e v="#VALUE!"/>
    <e v="#VALUE!"/>
  </r>
  <r>
    <x v="596"/>
    <n v="300"/>
    <x v="0"/>
    <s v="Mujeres"/>
    <n v="5"/>
    <x v="9"/>
    <x v="2"/>
    <x v="1"/>
    <x v="5"/>
    <s v="Ninguno"/>
    <s v="Variación Trimestral de Sentencias Dictadas (%)"/>
    <s v="Periodo 2013-2019"/>
    <s v="Porcentaje"/>
    <s v="Poder Judicial"/>
    <x v="497"/>
    <s v="El gráfico muestra la tendencia de la Variación Trimestral de Sentencias Dictadas (%) en la Región de Valparaís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valparaíso"/>
    <x v="596"/>
    <s v="100-R-5"/>
    <e v="#REF!"/>
    <e v="#VALUE!"/>
    <e v="#VALUE!"/>
    <e v="#VALUE!"/>
    <e v="#VALUE!"/>
    <e v="#VALUE!"/>
    <e v="#VALUE!"/>
  </r>
  <r>
    <x v="597"/>
    <n v="300"/>
    <x v="0"/>
    <s v="Mujeres"/>
    <n v="6"/>
    <x v="9"/>
    <x v="2"/>
    <x v="1"/>
    <x v="6"/>
    <s v="Ninguno"/>
    <s v="Variación Trimestral de Sentencias Dictadas (%)"/>
    <s v="Periodo 2013-2019"/>
    <s v="Porcentaje"/>
    <s v="Poder Judicial"/>
    <x v="498"/>
    <s v="El gráfico muestra la tendencia de la Variación Trimestral de Sentencias Dictadas (%) en la Región de O'Higgin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ohiggins"/>
    <x v="597"/>
    <s v="100-R-6"/>
    <e v="#REF!"/>
    <e v="#VALUE!"/>
    <e v="#VALUE!"/>
    <e v="#VALUE!"/>
    <e v="#VALUE!"/>
    <e v="#VALUE!"/>
    <e v="#VALUE!"/>
  </r>
  <r>
    <x v="598"/>
    <n v="300"/>
    <x v="0"/>
    <s v="Mujeres"/>
    <n v="7"/>
    <x v="9"/>
    <x v="2"/>
    <x v="1"/>
    <x v="7"/>
    <s v="Ninguno"/>
    <s v="Variación Trimestral de Sentencias Dictadas (%)"/>
    <s v="Periodo 2013-2019"/>
    <s v="Porcentaje"/>
    <s v="Poder Judicial"/>
    <x v="499"/>
    <s v="El gráfico muestra la tendencia de la Variación Trimestral de Sentencias Dictadas (%) en la Región de Maule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ule"/>
    <x v="598"/>
    <s v="100-R-7"/>
    <e v="#REF!"/>
    <e v="#VALUE!"/>
    <e v="#VALUE!"/>
    <e v="#VALUE!"/>
    <e v="#VALUE!"/>
    <e v="#VALUE!"/>
    <e v="#VALUE!"/>
  </r>
  <r>
    <x v="599"/>
    <n v="300"/>
    <x v="0"/>
    <s v="Mujeres"/>
    <n v="8"/>
    <x v="9"/>
    <x v="2"/>
    <x v="1"/>
    <x v="8"/>
    <s v="Ninguno"/>
    <s v="Variación Trimestral de Sentencias Dictadas (%)"/>
    <s v="Periodo 2013-2019"/>
    <s v="Porcentaje"/>
    <s v="Poder Judicial"/>
    <x v="500"/>
    <s v="El gráfico muestra la tendencia de la Variación Trimestral de Sentencias Dictadas (%) en la Región del Biobí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biobío"/>
    <x v="599"/>
    <s v="100-R-8"/>
    <e v="#REF!"/>
    <e v="#VALUE!"/>
    <e v="#VALUE!"/>
    <e v="#VALUE!"/>
    <e v="#VALUE!"/>
    <e v="#VALUE!"/>
    <e v="#VALUE!"/>
  </r>
  <r>
    <x v="600"/>
    <n v="300"/>
    <x v="0"/>
    <s v="Mujeres"/>
    <n v="9"/>
    <x v="9"/>
    <x v="2"/>
    <x v="1"/>
    <x v="9"/>
    <s v="Ninguno"/>
    <s v="Variación Trimestral de Sentencias Dictadas (%)"/>
    <s v="Periodo 2013-2019"/>
    <s v="Porcentaje"/>
    <s v="Poder Judicial"/>
    <x v="501"/>
    <s v="El gráfico muestra la tendencia de la Variación Trimestral de Sentencias Dictadas (%) en la Región de La Araucaní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aucanía"/>
    <x v="600"/>
    <s v="100-R-9"/>
    <e v="#REF!"/>
    <e v="#VALUE!"/>
    <e v="#VALUE!"/>
    <e v="#VALUE!"/>
    <e v="#VALUE!"/>
    <e v="#VALUE!"/>
    <e v="#VALUE!"/>
  </r>
  <r>
    <x v="601"/>
    <n v="300"/>
    <x v="0"/>
    <s v="Mujeres"/>
    <n v="10"/>
    <x v="9"/>
    <x v="2"/>
    <x v="1"/>
    <x v="10"/>
    <s v="Ninguno"/>
    <s v="Variación Trimestral de Sentencias Dictadas (%)"/>
    <s v="Periodo 2013-2019"/>
    <s v="Porcentaje"/>
    <s v="Poder Judicial"/>
    <x v="502"/>
    <s v="El gráfico muestra la tendencia de la Variación Trimestral de Sentencias Dictadas (%) en la Región de Los Lago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lagos"/>
    <x v="601"/>
    <s v="100-R-10"/>
    <e v="#REF!"/>
    <e v="#VALUE!"/>
    <e v="#VALUE!"/>
    <e v="#VALUE!"/>
    <e v="#VALUE!"/>
    <e v="#VALUE!"/>
    <e v="#VALUE!"/>
  </r>
  <r>
    <x v="602"/>
    <n v="300"/>
    <x v="0"/>
    <s v="Mujeres"/>
    <n v="11"/>
    <x v="9"/>
    <x v="2"/>
    <x v="1"/>
    <x v="11"/>
    <s v="Ninguno"/>
    <s v="Variación Trimestral de Sentencias Dictadas (%)"/>
    <s v="Periodo 2013-2019"/>
    <s v="Porcentaje"/>
    <s v="Poder Judicial"/>
    <x v="503"/>
    <s v="El gráfico muestra la tendencia de la Variación Trimestral de Sentencias Dictadas (%) en la Región de Aysén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ysén"/>
    <x v="602"/>
    <s v="100-R-11"/>
    <e v="#REF!"/>
    <e v="#VALUE!"/>
    <e v="#VALUE!"/>
    <e v="#VALUE!"/>
    <e v="#VALUE!"/>
    <e v="#VALUE!"/>
    <e v="#VALUE!"/>
  </r>
  <r>
    <x v="603"/>
    <n v="300"/>
    <x v="0"/>
    <s v="Mujeres"/>
    <n v="12"/>
    <x v="9"/>
    <x v="2"/>
    <x v="1"/>
    <x v="12"/>
    <s v="Ninguno"/>
    <s v="Variación Trimestral de Sentencias Dictadas (%)"/>
    <s v="Periodo 2013-2019"/>
    <s v="Porcentaje"/>
    <s v="Poder Judicial"/>
    <x v="504"/>
    <s v="El gráfico muestra la tendencia de la Variación Trimestral de Sentencias Dictadas (%) en la Región de Magallane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gallanes"/>
    <x v="603"/>
    <s v="100-R-12"/>
    <e v="#REF!"/>
    <e v="#VALUE!"/>
    <e v="#VALUE!"/>
    <e v="#VALUE!"/>
    <e v="#VALUE!"/>
    <e v="#VALUE!"/>
    <e v="#VALUE!"/>
  </r>
  <r>
    <x v="604"/>
    <n v="300"/>
    <x v="0"/>
    <s v="Mujeres"/>
    <n v="13"/>
    <x v="9"/>
    <x v="2"/>
    <x v="1"/>
    <x v="13"/>
    <s v="Ninguno"/>
    <s v="Variación Trimestral de Sentencias Dictadas (%)"/>
    <s v="Periodo 2013-2019"/>
    <s v="Porcentaje"/>
    <s v="Poder Judicial"/>
    <x v="505"/>
    <s v="El gráfico muestra la tendencia de la Variación Trimestral de Sentencias Dictadas (%) en la Región Metropolitan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etropolitana"/>
    <x v="604"/>
    <s v="200-R-13"/>
    <e v="#REF!"/>
    <e v="#VALUE!"/>
    <e v="#VALUE!"/>
    <e v="#VALUE!"/>
    <e v="#VALUE!"/>
    <e v="#VALUE!"/>
    <e v="#VALUE!"/>
  </r>
  <r>
    <x v="605"/>
    <n v="300"/>
    <x v="0"/>
    <s v="Mujeres"/>
    <n v="14"/>
    <x v="9"/>
    <x v="2"/>
    <x v="1"/>
    <x v="14"/>
    <s v="Ninguno"/>
    <s v="Variación Trimestral de Sentencias Dictadas (%)"/>
    <s v="Periodo 2013-2019"/>
    <s v="Porcentaje"/>
    <s v="Poder Judicial"/>
    <x v="506"/>
    <s v="El gráfico muestra la tendencia de la Variación Trimestral de Sentencias Dictadas (%) en la Región de Los Río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ríos"/>
    <x v="605"/>
    <s v="100-R-14"/>
    <e v="#REF!"/>
    <e v="#VALUE!"/>
    <e v="#VALUE!"/>
    <e v="#VALUE!"/>
    <e v="#VALUE!"/>
    <e v="#VALUE!"/>
    <e v="#VALUE!"/>
  </r>
  <r>
    <x v="606"/>
    <n v="300"/>
    <x v="0"/>
    <s v="Mujeres"/>
    <n v="15"/>
    <x v="9"/>
    <x v="2"/>
    <x v="1"/>
    <x v="15"/>
    <s v="Ninguno"/>
    <s v="Variación Trimestral de Sentencias Dictadas (%)"/>
    <s v="Periodo 2013-2019"/>
    <s v="Porcentaje"/>
    <s v="Poder Judicial"/>
    <x v="507"/>
    <s v="El gráfico muestra la tendencia de la Variación Trimestral de Sentencias Dictadas (%) en la Región de Arica y Parinacot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ica parinacota"/>
    <x v="606"/>
    <s v="100-R-15"/>
    <e v="#REF!"/>
    <e v="#VALUE!"/>
    <e v="#VALUE!"/>
    <e v="#VALUE!"/>
    <e v="#VALUE!"/>
    <e v="#VALUE!"/>
    <e v="#VALUE!"/>
  </r>
  <r>
    <x v="607"/>
    <n v="300"/>
    <x v="0"/>
    <s v="Mujeres"/>
    <n v="16"/>
    <x v="9"/>
    <x v="2"/>
    <x v="1"/>
    <x v="16"/>
    <s v="Ninguno"/>
    <s v="Variación Trimestral de Sentencias Dictadas (%)"/>
    <s v="Periodo 2013-2019"/>
    <s v="Porcentaje"/>
    <s v="Poder Judicial"/>
    <x v="508"/>
    <s v="El gráfico muestra la tendencia de la Variación Trimestral de Sentencias Dictadas (%) en la Región de Ñuble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ñuble"/>
    <x v="607"/>
    <s v="100-R-16"/>
    <e v="#REF!"/>
    <e v="#VALUE!"/>
    <e v="#VALUE!"/>
    <e v="#VALUE!"/>
    <e v="#VALUE!"/>
    <e v="#VALUE!"/>
    <e v="#VALUE!"/>
  </r>
  <r>
    <x v="608"/>
    <n v="300"/>
    <x v="0"/>
    <s v="Mujeres"/>
    <n v="1"/>
    <x v="9"/>
    <x v="2"/>
    <x v="1"/>
    <x v="1"/>
    <s v="Ninguno"/>
    <s v="Variación Trimestral de Sentencias Dictadas (%)"/>
    <s v="Periodo 2013-2019"/>
    <s v="Porcentaje"/>
    <s v="Poder Judicial"/>
    <x v="509"/>
    <s v="El gráfico muestra la tendencia de la Variación Trimestral de Sentencias Dictadas (%) en la Región de Tarapacá por Delito, durante el Periodo 2013-2019 de acuerdo a datos provenientes del Poder Judicial de Chile."/>
    <s v="Gráfico de Evolución"/>
    <s v="sociedad delincuencia delitos frecuencia sentencias juzgado garantía mujer violencia tarapacá"/>
    <x v="608"/>
    <s v="100-R-1"/>
    <e v="#REF!"/>
    <e v="#VALUE!"/>
    <e v="#VALUE!"/>
    <e v="#VALUE!"/>
    <e v="#VALUE!"/>
    <e v="#VALUE!"/>
    <e v="#VALUE!"/>
  </r>
  <r>
    <x v="609"/>
    <n v="300"/>
    <x v="0"/>
    <s v="Mujeres"/>
    <n v="2"/>
    <x v="9"/>
    <x v="2"/>
    <x v="1"/>
    <x v="2"/>
    <s v="Ninguno"/>
    <s v="Variación Trimestral de Sentencias Dictadas (%)"/>
    <s v="Periodo 2013-2019"/>
    <s v="Porcentaje"/>
    <s v="Poder Judicial"/>
    <x v="510"/>
    <s v="El gráfico muestra la tendencia de la Variación Trimestral de Sentencias Dictadas (%) en la Región de Antofagasta por Delito, durante el Periodo 2013-2019 de acuerdo a datos provenientes del Poder Judicial de Chile."/>
    <s v="Gráfico de Evolución"/>
    <s v="sociedad delincuencia delitos frecuencia sentencias juzgado garantía mujer violencia antofagasta"/>
    <x v="609"/>
    <s v="100-R-2"/>
    <e v="#REF!"/>
    <e v="#VALUE!"/>
    <e v="#VALUE!"/>
    <e v="#VALUE!"/>
    <e v="#VALUE!"/>
    <e v="#VALUE!"/>
    <e v="#VALUE!"/>
  </r>
  <r>
    <x v="610"/>
    <n v="300"/>
    <x v="0"/>
    <s v="Mujeres"/>
    <n v="3"/>
    <x v="9"/>
    <x v="2"/>
    <x v="1"/>
    <x v="3"/>
    <s v="Ninguno"/>
    <s v="Variación Trimestral de Sentencias Dictadas (%)"/>
    <s v="Periodo 2013-2019"/>
    <s v="Porcentaje"/>
    <s v="Poder Judicial"/>
    <x v="511"/>
    <s v="El gráfico muestra la tendencia de la Variación Trimestral de Sentencias Dictadas (%) en la Región de Atacama por Delito, durante el Periodo 2013-2019 de acuerdo a datos provenientes del Poder Judicial de Chile."/>
    <s v="Gráfico de Evolución"/>
    <s v="sociedad delincuencia delitos frecuencia sentencias juzgado garantía mujer violencia atacama"/>
    <x v="610"/>
    <s v="100-R-3"/>
    <e v="#REF!"/>
    <e v="#VALUE!"/>
    <e v="#VALUE!"/>
    <e v="#VALUE!"/>
    <e v="#VALUE!"/>
    <e v="#VALUE!"/>
    <e v="#VALUE!"/>
  </r>
  <r>
    <x v="611"/>
    <n v="300"/>
    <x v="0"/>
    <s v="Mujeres"/>
    <n v="4"/>
    <x v="9"/>
    <x v="2"/>
    <x v="1"/>
    <x v="4"/>
    <s v="Ninguno"/>
    <s v="Variación Trimestral de Sentencias Dictadas (%)"/>
    <s v="Periodo 2013-2019"/>
    <s v="Porcentaje"/>
    <s v="Poder Judicial"/>
    <x v="512"/>
    <s v="El gráfico muestra la tendencia de la Variación Trimestral de Sentencias Dictadas (%) en la Región de Coquimbo por Delito, durante el Periodo 2013-2019 de acuerdo a datos provenientes del Poder Judicial de Chile."/>
    <s v="Gráfico de Evolución"/>
    <s v="sociedad delincuencia delitos frecuencia sentencias juzgado garantía mujer violencia coquimbo"/>
    <x v="611"/>
    <s v="100-R-4"/>
    <e v="#REF!"/>
    <e v="#VALUE!"/>
    <e v="#VALUE!"/>
    <e v="#VALUE!"/>
    <e v="#VALUE!"/>
    <e v="#VALUE!"/>
    <e v="#VALUE!"/>
  </r>
  <r>
    <x v="612"/>
    <n v="300"/>
    <x v="0"/>
    <s v="Mujeres"/>
    <n v="5"/>
    <x v="9"/>
    <x v="2"/>
    <x v="1"/>
    <x v="5"/>
    <s v="Ninguno"/>
    <s v="Variación Trimestral de Sentencias Dictadas (%)"/>
    <s v="Periodo 2013-2019"/>
    <s v="Porcentaje"/>
    <s v="Poder Judicial"/>
    <x v="513"/>
    <s v="El gráfico muestra la tendencia de la Variación Trimestral de Sentencias Dictadas (%) en la Región de Valparaíso por Delito, durante el Periodo 2013-2019 de acuerdo a datos provenientes del Poder Judicial de Chile."/>
    <s v="Gráfico de Evolución"/>
    <s v="sociedad delincuencia delitos frecuencia sentencias juzgado garantía mujer violencia valparaíso"/>
    <x v="612"/>
    <s v="100-R-5"/>
    <e v="#REF!"/>
    <e v="#VALUE!"/>
    <e v="#VALUE!"/>
    <e v="#VALUE!"/>
    <e v="#VALUE!"/>
    <e v="#VALUE!"/>
    <e v="#VALUE!"/>
  </r>
  <r>
    <x v="613"/>
    <n v="300"/>
    <x v="0"/>
    <s v="Mujeres"/>
    <n v="6"/>
    <x v="9"/>
    <x v="2"/>
    <x v="1"/>
    <x v="6"/>
    <s v="Ninguno"/>
    <s v="Variación Trimestral de Sentencias Dictadas (%)"/>
    <s v="Periodo 2013-2019"/>
    <s v="Porcentaje"/>
    <s v="Poder Judicial"/>
    <x v="514"/>
    <s v="El gráfico muestra la tendencia de la Variación Trimestral de Sentencias Dictadas (%) en la Región de O'Higgins por Delito, durante el Periodo 2013-2019 de acuerdo a datos provenientes del Poder Judicial de Chile."/>
    <s v="Gráfico de Evolución"/>
    <s v="sociedad delincuencia delitos frecuencia sentencias juzgado garantía mujer violencia ohiggins"/>
    <x v="613"/>
    <s v="100-R-6"/>
    <e v="#REF!"/>
    <e v="#VALUE!"/>
    <e v="#VALUE!"/>
    <e v="#VALUE!"/>
    <e v="#VALUE!"/>
    <e v="#VALUE!"/>
    <e v="#VALUE!"/>
  </r>
  <r>
    <x v="614"/>
    <n v="300"/>
    <x v="0"/>
    <s v="Mujeres"/>
    <n v="7"/>
    <x v="9"/>
    <x v="2"/>
    <x v="1"/>
    <x v="7"/>
    <s v="Ninguno"/>
    <s v="Variación Trimestral de Sentencias Dictadas (%)"/>
    <s v="Periodo 2013-2019"/>
    <s v="Porcentaje"/>
    <s v="Poder Judicial"/>
    <x v="515"/>
    <s v="El gráfico muestra la tendencia de la Variación Trimestral de Sentencias Dictadas (%) en la Región de Maule por Delito, durante el Periodo 2013-2019 de acuerdo a datos provenientes del Poder Judicial de Chile."/>
    <s v="Gráfico de Evolución"/>
    <s v="sociedad delincuencia delitos frecuencia sentencias juzgado garantía mujer violencia maule"/>
    <x v="614"/>
    <s v="100-R-7"/>
    <e v="#REF!"/>
    <e v="#VALUE!"/>
    <e v="#VALUE!"/>
    <e v="#VALUE!"/>
    <e v="#VALUE!"/>
    <e v="#VALUE!"/>
    <e v="#VALUE!"/>
  </r>
  <r>
    <x v="615"/>
    <n v="300"/>
    <x v="0"/>
    <s v="Mujeres"/>
    <n v="8"/>
    <x v="9"/>
    <x v="2"/>
    <x v="1"/>
    <x v="8"/>
    <s v="Ninguno"/>
    <s v="Variación Trimestral de Sentencias Dictadas (%)"/>
    <s v="Periodo 2013-2019"/>
    <s v="Porcentaje"/>
    <s v="Poder Judicial"/>
    <x v="516"/>
    <s v="El gráfico muestra la tendencia de la Variación Trimestral de Sentencias Dictadas (%) en la Región del Biobío por Delito, durante el Periodo 2013-2019 de acuerdo a datos provenientes del Poder Judicial de Chile."/>
    <s v="Gráfico de Evolución"/>
    <s v="sociedad delincuencia delitos frecuencia sentencias juzgado garantía mujer violencia biobío"/>
    <x v="615"/>
    <s v="100-R-8"/>
    <e v="#REF!"/>
    <e v="#VALUE!"/>
    <e v="#VALUE!"/>
    <e v="#VALUE!"/>
    <e v="#VALUE!"/>
    <e v="#VALUE!"/>
    <e v="#VALUE!"/>
  </r>
  <r>
    <x v="616"/>
    <n v="300"/>
    <x v="0"/>
    <s v="Mujeres"/>
    <n v="9"/>
    <x v="9"/>
    <x v="2"/>
    <x v="1"/>
    <x v="9"/>
    <s v="Ninguno"/>
    <s v="Variación Trimestral de Sentencias Dictadas (%)"/>
    <s v="Periodo 2013-2019"/>
    <s v="Porcentaje"/>
    <s v="Poder Judicial"/>
    <x v="517"/>
    <s v="El gráfico muestra la tendencia de la Variación Trimestral de Sentencias Dictadas (%) en la Región de La Araucanía por Delito, durante el Periodo 2013-2019 de acuerdo a datos provenientes del Poder Judicial de Chile."/>
    <s v="Gráfico de Evolución"/>
    <s v="sociedad delincuencia delitos frecuencia sentencias juzgado garantía mujer violencia araucanía"/>
    <x v="616"/>
    <s v="100-R-9"/>
    <e v="#REF!"/>
    <e v="#VALUE!"/>
    <e v="#VALUE!"/>
    <e v="#VALUE!"/>
    <e v="#VALUE!"/>
    <e v="#VALUE!"/>
    <e v="#VALUE!"/>
  </r>
  <r>
    <x v="617"/>
    <n v="300"/>
    <x v="0"/>
    <s v="Mujeres"/>
    <n v="10"/>
    <x v="9"/>
    <x v="2"/>
    <x v="1"/>
    <x v="10"/>
    <s v="Ninguno"/>
    <s v="Variación Trimestral de Sentencias Dictadas (%)"/>
    <s v="Periodo 2013-2019"/>
    <s v="Porcentaje"/>
    <s v="Poder Judicial"/>
    <x v="518"/>
    <s v="El gráfico muestra la tendencia de la Variación Trimestral de Sentencias Dictadas (%) en la Región de Los Lagos por Delito, durante el Periodo 2013-2019 de acuerdo a datos provenientes del Poder Judicial de Chile."/>
    <s v="Gráfico de Evolución"/>
    <s v="sociedad delincuencia delitos frecuencia sentencias juzgado garantía mujer violencia los lagos"/>
    <x v="617"/>
    <s v="100-R-10"/>
    <e v="#REF!"/>
    <e v="#VALUE!"/>
    <e v="#VALUE!"/>
    <e v="#VALUE!"/>
    <e v="#VALUE!"/>
    <e v="#VALUE!"/>
    <e v="#VALUE!"/>
  </r>
  <r>
    <x v="618"/>
    <n v="300"/>
    <x v="0"/>
    <s v="Mujeres"/>
    <n v="11"/>
    <x v="9"/>
    <x v="2"/>
    <x v="1"/>
    <x v="11"/>
    <s v="Ninguno"/>
    <s v="Variación Trimestral de Sentencias Dictadas (%)"/>
    <s v="Periodo 2013-2019"/>
    <s v="Porcentaje"/>
    <s v="Poder Judicial"/>
    <x v="519"/>
    <s v="El gráfico muestra la tendencia de la Variación Trimestral de Sentencias Dictadas (%) en la Región de Aysén por Delito, durante el Periodo 2013-2019 de acuerdo a datos provenientes del Poder Judicial de Chile."/>
    <s v="Gráfico de Evolución"/>
    <s v="sociedad delincuencia delitos frecuencia sentencias juzgado garantía mujer violencia aysén"/>
    <x v="618"/>
    <s v="100-R-11"/>
    <e v="#REF!"/>
    <e v="#VALUE!"/>
    <e v="#VALUE!"/>
    <e v="#VALUE!"/>
    <e v="#VALUE!"/>
    <e v="#VALUE!"/>
    <e v="#VALUE!"/>
  </r>
  <r>
    <x v="619"/>
    <n v="300"/>
    <x v="0"/>
    <s v="Mujeres"/>
    <n v="12"/>
    <x v="9"/>
    <x v="2"/>
    <x v="1"/>
    <x v="12"/>
    <s v="Ninguno"/>
    <s v="Variación Trimestral de Sentencias Dictadas (%)"/>
    <s v="Periodo 2013-2019"/>
    <s v="Porcentaje"/>
    <s v="Poder Judicial"/>
    <x v="520"/>
    <s v="El gráfico muestra la tendencia de la Variación Trimestral de Sentencias Dictadas (%) en la Región de Magallanes por Delito, durante el Periodo 2013-2019 de acuerdo a datos provenientes del Poder Judicial de Chile."/>
    <s v="Gráfico de Evolución"/>
    <s v="sociedad delincuencia delitos frecuencia sentencias juzgado garantía mujer violencia magallanes"/>
    <x v="619"/>
    <s v="100-R-12"/>
    <e v="#REF!"/>
    <e v="#VALUE!"/>
    <e v="#VALUE!"/>
    <e v="#VALUE!"/>
    <e v="#VALUE!"/>
    <e v="#VALUE!"/>
    <e v="#VALUE!"/>
  </r>
  <r>
    <x v="620"/>
    <n v="300"/>
    <x v="0"/>
    <s v="Mujeres"/>
    <n v="13"/>
    <x v="9"/>
    <x v="2"/>
    <x v="1"/>
    <x v="13"/>
    <s v="Ninguno"/>
    <s v="Variación Trimestral de Sentencias Dictadas (%)"/>
    <s v="Periodo 2013-2019"/>
    <s v="Porcentaje"/>
    <s v="Poder Judicial"/>
    <x v="521"/>
    <s v="El gráfico muestra la tendencia de la Variación Trimestral de Sentencias Dictadas (%) en la Región Metropolitana por Delito, durante el Periodo 2013-2019 de acuerdo a datos provenientes del Poder Judicial de Chile."/>
    <s v="Gráfico de Evolución"/>
    <s v="sociedad delincuencia delitos frecuencia sentencias juzgado garantía mujer violencia metropolitana"/>
    <x v="620"/>
    <s v="200-R-13"/>
    <e v="#REF!"/>
    <e v="#VALUE!"/>
    <e v="#VALUE!"/>
    <e v="#VALUE!"/>
    <e v="#VALUE!"/>
    <e v="#VALUE!"/>
    <e v="#VALUE!"/>
  </r>
  <r>
    <x v="621"/>
    <n v="300"/>
    <x v="0"/>
    <s v="Mujeres"/>
    <n v="14"/>
    <x v="9"/>
    <x v="2"/>
    <x v="1"/>
    <x v="14"/>
    <s v="Ninguno"/>
    <s v="Variación Trimestral de Sentencias Dictadas (%)"/>
    <s v="Periodo 2013-2019"/>
    <s v="Porcentaje"/>
    <s v="Poder Judicial"/>
    <x v="522"/>
    <s v="El gráfico muestra la tendencia de la Variación Trimestral de Sentencias Dictadas (%) en la Región de Los Ríos por Delito, durante el Periodo 2013-2019 de acuerdo a datos provenientes del Poder Judicial de Chile."/>
    <s v="Gráfico de Evolución"/>
    <s v="sociedad delincuencia delitos frecuencia sentencias juzgado garantía mujer violencia los ríos"/>
    <x v="621"/>
    <s v="100-R-14"/>
    <e v="#REF!"/>
    <e v="#VALUE!"/>
    <e v="#VALUE!"/>
    <e v="#VALUE!"/>
    <e v="#VALUE!"/>
    <e v="#VALUE!"/>
    <e v="#VALUE!"/>
  </r>
  <r>
    <x v="622"/>
    <n v="300"/>
    <x v="0"/>
    <s v="Mujeres"/>
    <n v="15"/>
    <x v="9"/>
    <x v="2"/>
    <x v="1"/>
    <x v="15"/>
    <s v="Ninguno"/>
    <s v="Variación Trimestral de Sentencias Dictadas (%)"/>
    <s v="Periodo 2013-2019"/>
    <s v="Porcentaje"/>
    <s v="Poder Judicial"/>
    <x v="523"/>
    <s v="El gráfico muestra la tendencia de la Variación Trimestral de Sentencias Dictadas (%) en la Región de Arica y Parinacota por Delito, durante el Periodo 2013-2019 de acuerdo a datos provenientes del Poder Judicial de Chile."/>
    <s v="Gráfico de Evolución"/>
    <s v="sociedad delincuencia delitos frecuencia sentencias juzgado garantía mujer violencia arica parinacota"/>
    <x v="622"/>
    <s v="100-R-15"/>
    <e v="#REF!"/>
    <e v="#VALUE!"/>
    <e v="#VALUE!"/>
    <e v="#VALUE!"/>
    <e v="#VALUE!"/>
    <e v="#VALUE!"/>
    <e v="#VALUE!"/>
  </r>
  <r>
    <x v="623"/>
    <n v="300"/>
    <x v="0"/>
    <s v="Mujeres"/>
    <n v="16"/>
    <x v="9"/>
    <x v="2"/>
    <x v="1"/>
    <x v="16"/>
    <s v="Ninguno"/>
    <s v="Variación Trimestral de Sentencias Dictadas (%)"/>
    <s v="Periodo 2013-2019"/>
    <s v="Porcentaje"/>
    <s v="Poder Judicial"/>
    <x v="524"/>
    <s v="El gráfico muestra la tendencia de la Variación Trimestral de Sentencias Dictadas (%) en la Región de Ñuble por Delito, durante el Periodo 2013-2019 de acuerdo a datos provenientes del Poder Judicial de Chile."/>
    <s v="Gráfico de Evolución"/>
    <s v="sociedad delincuencia delitos frecuencia sentencias juzgado garantía mujer violencia ñuble"/>
    <x v="623"/>
    <s v="100-R-16"/>
    <e v="#REF!"/>
    <e v="#VALUE!"/>
    <e v="#VALUE!"/>
    <e v="#VALUE!"/>
    <e v="#VALUE!"/>
    <e v="#VALUE!"/>
    <e v="#VALUE!"/>
  </r>
  <r>
    <x v="624"/>
    <n v="300"/>
    <x v="0"/>
    <s v="Mujeres"/>
    <n v="1"/>
    <x v="10"/>
    <x v="2"/>
    <x v="1"/>
    <x v="1"/>
    <s v="Ninguno"/>
    <s v="Variación Trimestral de Sentencias Dictadas (%)"/>
    <s v="Periodo 2013-2019"/>
    <s v="Porcentaje"/>
    <s v="Poder Judicial"/>
    <x v="525"/>
    <s v="El gráfico muestra la tendencia de la Variación Trimestral de Sentencias Dictadas (%) en la Región de Tarapacá por Juzgado de Garantía, durante el Periodo 2013-2019 de acuerdo a datos provenientes del Poder Judicial de Chile."/>
    <s v="Gráfico de Evolución"/>
    <s v="sociedad delincuencia delitos frecuencia sentencias secuestro homicio tortura aborto lesiones mujer violencia tarapacá"/>
    <x v="624"/>
    <s v="100-C-1"/>
    <e v="#REF!"/>
    <e v="#VALUE!"/>
    <e v="#VALUE!"/>
    <e v="#VALUE!"/>
    <e v="#VALUE!"/>
    <e v="#VALUE!"/>
    <e v="#VALUE!"/>
  </r>
  <r>
    <x v="625"/>
    <n v="300"/>
    <x v="0"/>
    <s v="Mujeres"/>
    <n v="2"/>
    <x v="10"/>
    <x v="2"/>
    <x v="1"/>
    <x v="2"/>
    <s v="Ninguno"/>
    <s v="Variación Trimestral de Sentencias Dictadas (%)"/>
    <s v="Periodo 2013-2019"/>
    <s v="Porcentaje"/>
    <s v="Poder Judicial"/>
    <x v="526"/>
    <s v="El gráfico muestra la tendencia de la Variación Trimestral de Sentencias Dictadas (%) en la Región de Antofagasta por Juzgado de Garantía, durante el Periodo 2013-2019 de acuerdo a datos provenientes del Poder Judicial de Chile."/>
    <s v="Gráfico de Evolución"/>
    <s v="sociedad delincuencia delitos frecuencia sentencias secuestro homicidio tortura aborto lesiones mujer violencia femicidio antofagasta"/>
    <x v="625"/>
    <s v="100-C-2"/>
    <e v="#REF!"/>
    <e v="#VALUE!"/>
    <e v="#VALUE!"/>
    <e v="#VALUE!"/>
    <e v="#VALUE!"/>
    <e v="#VALUE!"/>
    <e v="#VALUE!"/>
  </r>
  <r>
    <x v="626"/>
    <n v="300"/>
    <x v="0"/>
    <s v="Mujeres"/>
    <n v="3"/>
    <x v="10"/>
    <x v="2"/>
    <x v="1"/>
    <x v="3"/>
    <s v="Ninguno"/>
    <s v="Variación Trimestral de Sentencias Dictadas (%)"/>
    <s v="Periodo 2013-2019"/>
    <s v="Porcentaje"/>
    <s v="Poder Judicial"/>
    <x v="527"/>
    <s v="El gráfico muestra la tendencia de la Variación Trimestral de Sentencias Dictadas (%) en la Región de Atacama por Juzgado de Garantía, durante el Periodo 2013-2019 de acuerdo a datos provenientes del Poder Judicial de Chile."/>
    <s v="Gráfico de Evolución"/>
    <s v="sociedad delincuencia delitos frecuencia sentencias secuestro homicidio tortura aborto lesiones mujer violencia femicidio atacama"/>
    <x v="626"/>
    <s v="100-C-3"/>
    <e v="#REF!"/>
    <e v="#VALUE!"/>
    <e v="#VALUE!"/>
    <e v="#VALUE!"/>
    <e v="#VALUE!"/>
    <e v="#VALUE!"/>
    <e v="#VALUE!"/>
  </r>
  <r>
    <x v="627"/>
    <n v="300"/>
    <x v="0"/>
    <s v="Mujeres"/>
    <n v="4"/>
    <x v="10"/>
    <x v="2"/>
    <x v="1"/>
    <x v="4"/>
    <s v="Ninguno"/>
    <s v="Variación Trimestral de Sentencias Dictadas (%)"/>
    <s v="Periodo 2013-2019"/>
    <s v="Porcentaje"/>
    <s v="Poder Judicial"/>
    <x v="528"/>
    <s v="El gráfico muestra la tendencia de la Variación Trimestral de Sentencias Dictadas (%) en la Región de Coquimbo por Juzgado de Garantía, durante el Periodo 2013-2019 de acuerdo a datos provenientes del Poder Judicial de Chile."/>
    <s v="Gráfico de Evolución"/>
    <s v="sociedad delincuencia delitos frecuencia sentencias secuestro homicidio tortura aborto lesiones mujer violencia femicidio coquimbo"/>
    <x v="627"/>
    <s v="100-C-4"/>
    <e v="#REF!"/>
    <e v="#VALUE!"/>
    <e v="#VALUE!"/>
    <e v="#VALUE!"/>
    <e v="#VALUE!"/>
    <e v="#VALUE!"/>
    <e v="#VALUE!"/>
  </r>
  <r>
    <x v="628"/>
    <n v="300"/>
    <x v="0"/>
    <s v="Mujeres"/>
    <n v="5"/>
    <x v="10"/>
    <x v="2"/>
    <x v="1"/>
    <x v="5"/>
    <s v="Ninguno"/>
    <s v="Variación Trimestral de Sentencias Dictadas (%)"/>
    <s v="Periodo 2013-2019"/>
    <s v="Porcentaje"/>
    <s v="Poder Judicial"/>
    <x v="529"/>
    <s v="El gráfico muestra la tendencia de la Variación Trimestral de Sentencias Dictadas (%) en la Región de Valparaíso por Juzgado de Garantía, durante el Periodo 2013-2019 de acuerdo a datos provenientes del Poder Judicial de Chile."/>
    <s v="Gráfico de Evolución"/>
    <s v="sociedad delincuencia delitos frecuencia sentencias secuestro homicidio tortura aborto lesiones mujer violencia femicidio valparaíso"/>
    <x v="628"/>
    <s v="100-C-5"/>
    <e v="#REF!"/>
    <e v="#VALUE!"/>
    <e v="#VALUE!"/>
    <e v="#VALUE!"/>
    <e v="#VALUE!"/>
    <e v="#VALUE!"/>
    <e v="#VALUE!"/>
  </r>
  <r>
    <x v="629"/>
    <n v="300"/>
    <x v="0"/>
    <s v="Mujeres"/>
    <n v="6"/>
    <x v="10"/>
    <x v="2"/>
    <x v="1"/>
    <x v="6"/>
    <s v="Ninguno"/>
    <s v="Variación Trimestral de Sentencias Dictadas (%)"/>
    <s v="Periodo 2013-2019"/>
    <s v="Porcentaje"/>
    <s v="Poder Judicial"/>
    <x v="530"/>
    <s v="El gráfico muestra la tendencia de la Variación Trimestral de Sentencias Dictadas (%) en la Región de O'Higgins por Juzgado de Garantía, durante el Periodo 2013-2019 de acuerdo a datos provenientes del Poder Judicial de Chile."/>
    <s v="Gráfico de Evolución"/>
    <s v="sociedad delincuencia delitos frecuencia sentencias secuestro homicidio tortura aborto lesiones mujer violencia femicidio ohiggins"/>
    <x v="629"/>
    <s v="100-C-6"/>
    <e v="#REF!"/>
    <e v="#VALUE!"/>
    <e v="#VALUE!"/>
    <e v="#VALUE!"/>
    <e v="#VALUE!"/>
    <e v="#VALUE!"/>
    <e v="#VALUE!"/>
  </r>
  <r>
    <x v="630"/>
    <n v="300"/>
    <x v="0"/>
    <s v="Mujeres"/>
    <n v="7"/>
    <x v="10"/>
    <x v="2"/>
    <x v="1"/>
    <x v="7"/>
    <s v="Ninguno"/>
    <s v="Variación Trimestral de Sentencias Dictadas (%)"/>
    <s v="Periodo 2013-2019"/>
    <s v="Porcentaje"/>
    <s v="Poder Judicial"/>
    <x v="531"/>
    <s v="El gráfico muestra la tendencia de la Variación Trimestral de Sentencias Dictadas (%) en la Región de Maule por Juzgado de Garantía, durante el Periodo 2013-2019 de acuerdo a datos provenientes del Poder Judicial de Chile."/>
    <s v="Gráfico de Evolución"/>
    <s v="sociedad delincuencia delitos frecuencia sentencias secuestro homicidio tortura aborto lesiones mujer violencia femicidio maule"/>
    <x v="630"/>
    <s v="100-C-7"/>
    <e v="#REF!"/>
    <e v="#VALUE!"/>
    <e v="#VALUE!"/>
    <e v="#VALUE!"/>
    <e v="#VALUE!"/>
    <e v="#VALUE!"/>
    <e v="#VALUE!"/>
  </r>
  <r>
    <x v="631"/>
    <n v="300"/>
    <x v="0"/>
    <s v="Mujeres"/>
    <n v="8"/>
    <x v="10"/>
    <x v="2"/>
    <x v="1"/>
    <x v="8"/>
    <s v="Ninguno"/>
    <s v="Variación Trimestral de Sentencias Dictadas (%)"/>
    <s v="Periodo 2013-2019"/>
    <s v="Porcentaje"/>
    <s v="Poder Judicial"/>
    <x v="532"/>
    <s v="El gráfico muestra la tendencia de la Variación Trimestral de Sentencias Dictadas (%) en la Región del Biobío por Juzgado de Garantía, durante el Periodo 2013-2019 de acuerdo a datos provenientes del Poder Judicial de Chile."/>
    <s v="Gráfico de Evolución"/>
    <s v="sociedad delincuencia delitos frecuencia sentencias secuestro homicidio tortura aborto lesiones mujer violencia femicidio biobío"/>
    <x v="631"/>
    <s v="100-C-8"/>
    <e v="#REF!"/>
    <e v="#VALUE!"/>
    <e v="#VALUE!"/>
    <e v="#VALUE!"/>
    <e v="#VALUE!"/>
    <e v="#VALUE!"/>
    <e v="#VALUE!"/>
  </r>
  <r>
    <x v="632"/>
    <n v="300"/>
    <x v="0"/>
    <s v="Mujeres"/>
    <n v="9"/>
    <x v="10"/>
    <x v="2"/>
    <x v="1"/>
    <x v="9"/>
    <s v="Ninguno"/>
    <s v="Variación Trimestral de Sentencias Dictadas (%)"/>
    <s v="Periodo 2013-2019"/>
    <s v="Porcentaje"/>
    <s v="Poder Judicial"/>
    <x v="533"/>
    <s v="El gráfico muestra la tendencia de la Variación Trimestral de Sentencias Dictadas (%) en la Región de La Araucanía por Juzgado de Garantía, durante el Periodo 2013-2019 de acuerdo a datos provenientes del Poder Judicial de Chile."/>
    <s v="Gráfico de Evolución"/>
    <s v="sociedad delincuencia delitos frecuencia sentencias secuestro homicidio tortura aborto lesiones mujer violencia femicidio araucanía"/>
    <x v="632"/>
    <s v="100-C-9"/>
    <e v="#REF!"/>
    <e v="#VALUE!"/>
    <e v="#VALUE!"/>
    <e v="#VALUE!"/>
    <e v="#VALUE!"/>
    <e v="#VALUE!"/>
    <e v="#VALUE!"/>
  </r>
  <r>
    <x v="633"/>
    <n v="300"/>
    <x v="0"/>
    <s v="Mujeres"/>
    <n v="10"/>
    <x v="10"/>
    <x v="2"/>
    <x v="1"/>
    <x v="10"/>
    <s v="Ninguno"/>
    <s v="Variación Trimestral de Sentencias Dictadas (%)"/>
    <s v="Periodo 2013-2019"/>
    <s v="Porcentaje"/>
    <s v="Poder Judicial"/>
    <x v="534"/>
    <s v="El gráfico muestra la tendencia de la Variación Trimestral de Sentencias Dictadas (%) en la Región de Los Lagos por Juzgado de Garantía, durante el Periodo 2013-2019 de acuerdo a datos provenientes del Poder Judicial de Chile."/>
    <s v="Gráfico de Evolución"/>
    <s v="sociedad delincuencia delitos frecuencia sentencias secuestro homicidio tortura aborto lesiones mujer violencia femicidio los lagos"/>
    <x v="633"/>
    <s v="100-C-10"/>
    <e v="#REF!"/>
    <e v="#VALUE!"/>
    <e v="#VALUE!"/>
    <e v="#VALUE!"/>
    <e v="#VALUE!"/>
    <e v="#VALUE!"/>
    <e v="#VALUE!"/>
  </r>
  <r>
    <x v="634"/>
    <n v="300"/>
    <x v="0"/>
    <s v="Mujeres"/>
    <n v="11"/>
    <x v="10"/>
    <x v="2"/>
    <x v="1"/>
    <x v="11"/>
    <s v="Ninguno"/>
    <s v="Variación Trimestral de Sentencias Dictadas (%)"/>
    <s v="Periodo 2013-2019"/>
    <s v="Porcentaje"/>
    <s v="Poder Judicial"/>
    <x v="535"/>
    <s v="El gráfico muestra la tendencia de la Variación Trimestral de Sentencias Dictadas (%) en la Región de Aysén por Juzgado de Garantía, durante el Periodo 2013-2019 de acuerdo a datos provenientes del Poder Judicial de Chile."/>
    <s v="Gráfico de Evolución"/>
    <s v="sociedad delincuencia delitos frecuencia sentencias secuestro homicidio tortura aborto lesiones mujer violencia femicidio aysén"/>
    <x v="634"/>
    <s v="100-C-11"/>
    <e v="#REF!"/>
    <e v="#VALUE!"/>
    <e v="#VALUE!"/>
    <e v="#VALUE!"/>
    <e v="#VALUE!"/>
    <e v="#VALUE!"/>
    <e v="#VALUE!"/>
  </r>
  <r>
    <x v="635"/>
    <n v="300"/>
    <x v="0"/>
    <s v="Mujeres"/>
    <n v="12"/>
    <x v="10"/>
    <x v="2"/>
    <x v="1"/>
    <x v="12"/>
    <s v="Ninguno"/>
    <s v="Variación Trimestral de Sentencias Dictadas (%)"/>
    <s v="Periodo 2013-2019"/>
    <s v="Porcentaje"/>
    <s v="Poder Judicial"/>
    <x v="536"/>
    <s v="El gráfico muestra la tendencia de la Variación Trimestral de Sentencias Dictadas (%) en la Región de Magallanes por Juzgado de Garantía, durante el Periodo 2013-2019 de acuerdo a datos provenientes del Poder Judicial de Chile."/>
    <s v="Gráfico de Evolución"/>
    <s v="sociedad delincuencia delitos frecuencia sentencias secuestro homicidio tortura aborto lesiones mujer violencia femicidio magallanes"/>
    <x v="635"/>
    <s v="100-C-12"/>
    <e v="#REF!"/>
    <e v="#VALUE!"/>
    <e v="#VALUE!"/>
    <e v="#VALUE!"/>
    <e v="#VALUE!"/>
    <e v="#VALUE!"/>
    <e v="#VALUE!"/>
  </r>
  <r>
    <x v="636"/>
    <n v="300"/>
    <x v="0"/>
    <s v="Mujeres"/>
    <n v="13"/>
    <x v="10"/>
    <x v="2"/>
    <x v="1"/>
    <x v="13"/>
    <s v="Ninguno"/>
    <s v="Variación Trimestral de Sentencias Dictadas (%)"/>
    <s v="Periodo 2013-2019"/>
    <s v="Porcentaje"/>
    <s v="Poder Judicial"/>
    <x v="537"/>
    <s v="El gráfico muestra la tendencia de la Variación Trimestral de Sentencias Dictadas (%) en la Región Metropolitana por Juzgado de Garantía, durante el Periodo 2013-2019 de acuerdo a datos provenientes del Poder Judicial de Chile."/>
    <s v="Gráfico de Evolución"/>
    <s v="sociedad delincuencia delitos frecuencia sentencias secuestro homicidio tortura aborto lesiones mujer violencia femicidio metropolitana"/>
    <x v="636"/>
    <s v="200-C-13"/>
    <e v="#REF!"/>
    <e v="#VALUE!"/>
    <e v="#VALUE!"/>
    <e v="#VALUE!"/>
    <e v="#VALUE!"/>
    <e v="#VALUE!"/>
    <e v="#VALUE!"/>
  </r>
  <r>
    <x v="637"/>
    <n v="300"/>
    <x v="0"/>
    <s v="Mujeres"/>
    <n v="14"/>
    <x v="10"/>
    <x v="2"/>
    <x v="1"/>
    <x v="14"/>
    <s v="Ninguno"/>
    <s v="Variación Trimestral de Sentencias Dictadas (%)"/>
    <s v="Periodo 2013-2019"/>
    <s v="Porcentaje"/>
    <s v="Poder Judicial"/>
    <x v="538"/>
    <s v="El gráfico muestra la tendencia de la Variación Trimestral de Sentencias Dictadas (%) en la Región de Los Ríos por Juzgado de Garantía, durante el Periodo 2013-2019 de acuerdo a datos provenientes del Poder Judicial de Chile."/>
    <s v="Gráfico de Evolución"/>
    <s v="sociedad delincuencia delitos frecuencia sentencias secuestro homicidio tortura aborto lesiones mujer violencia femicidio los ríos"/>
    <x v="637"/>
    <s v="100-C-14"/>
    <e v="#REF!"/>
    <e v="#VALUE!"/>
    <e v="#VALUE!"/>
    <e v="#VALUE!"/>
    <e v="#VALUE!"/>
    <e v="#VALUE!"/>
    <e v="#VALUE!"/>
  </r>
  <r>
    <x v="638"/>
    <n v="300"/>
    <x v="0"/>
    <s v="Mujeres"/>
    <n v="15"/>
    <x v="10"/>
    <x v="2"/>
    <x v="1"/>
    <x v="15"/>
    <s v="Ninguno"/>
    <s v="Variación Trimestral de Sentencias Dictadas (%)"/>
    <s v="Periodo 2013-2019"/>
    <s v="Porcentaje"/>
    <s v="Poder Judicial"/>
    <x v="539"/>
    <s v="El gráfico muestra la tendencia de la Variación Trimestral de Sentencias Dictadas (%) en la Región de Arica y Parinacota por Juzgado de Garantía, durante el Periodo 2013-2019 de acuerdo a datos provenientes del Poder Judicial de Chile."/>
    <s v="Gráfico de Evolución"/>
    <s v="sociedad delincuencia delitos frecuencia sentencias secuestro homicidio tortura aborto lesiones mujer violencia femicidio arica parinacota"/>
    <x v="638"/>
    <s v="100-C-15"/>
    <e v="#REF!"/>
    <e v="#VALUE!"/>
    <e v="#VALUE!"/>
    <e v="#VALUE!"/>
    <e v="#VALUE!"/>
    <e v="#VALUE!"/>
    <e v="#VALUE!"/>
  </r>
  <r>
    <x v="639"/>
    <n v="300"/>
    <x v="0"/>
    <s v="Mujeres"/>
    <n v="16"/>
    <x v="10"/>
    <x v="2"/>
    <x v="1"/>
    <x v="16"/>
    <s v="Ninguno"/>
    <s v="Variación Trimestral de Sentencias Dictadas (%)"/>
    <s v="Periodo 2013-2019"/>
    <s v="Porcentaje"/>
    <s v="Poder Judicial"/>
    <x v="540"/>
    <s v="El gráfico muestra la tendencia de la Variación Trimestral de Sentencias Dictadas (%) en la Región de Ñuble por Juzgado de Garantía, durante el Periodo 2013-2019 de acuerdo a datos provenientes del Poder Judicial de Chile."/>
    <s v="Gráfico de Evolución"/>
    <s v="sociedad delincuencia delitos frecuencia sentencias secuestro homicidio tortura aborto lesiones mujer violencia femicidio ñuble"/>
    <x v="639"/>
    <s v="100-C-16"/>
    <e v="#REF!"/>
    <e v="#VALUE!"/>
    <e v="#VALUE!"/>
    <e v="#VALUE!"/>
    <e v="#VALUE!"/>
    <e v="#VALUE!"/>
    <e v="#VALUE!"/>
  </r>
  <r>
    <x v="640"/>
    <n v="300"/>
    <x v="0"/>
    <s v="Mujeres"/>
    <n v="270103002"/>
    <x v="6"/>
    <x v="2"/>
    <x v="0"/>
    <x v="0"/>
    <s v="Ninguno"/>
    <s v="Variación Trimestral de Sentencias Dictadas (%)"/>
    <s v="Periodo 2013-2019"/>
    <s v="Porcentaje"/>
    <s v="Poder Judicial"/>
    <x v="541"/>
    <s v="El gráfico muestra la evolución temporal de la Variación Trimestral de Sentencias Dictadas (%) para el Delito de Femicidio Intimo por región, durante el Periodo 2013-2019 de acuerdo a datos provenientes del Poder Judicial de Chile."/>
    <s v="Gráfico de Evolución"/>
    <s v="sociedad delincuencia delitos frecuencia sentencias femicidio íntimo mujer violencia regional"/>
    <x v="640"/>
    <s v="300-R"/>
    <e v="#REF!"/>
    <e v="#VALUE!"/>
    <e v="#VALUE!"/>
    <e v="#VALUE!"/>
    <e v="#VALUE!"/>
    <e v="#VALUE!"/>
    <e v="#VALUE!"/>
  </r>
  <r>
    <x v="641"/>
    <n v="300"/>
    <x v="0"/>
    <s v="Mujeres"/>
    <n v="270103003"/>
    <x v="6"/>
    <x v="2"/>
    <x v="0"/>
    <x v="0"/>
    <s v="Ninguno"/>
    <s v="Variación Trimestral de Sentencias Dictadas (%)"/>
    <s v="Periodo 2013-2019"/>
    <s v="Porcentaje"/>
    <s v="Poder Judicial"/>
    <x v="542"/>
    <s v="El gráfico muestra la evolución temporal de la Variación Trimestral de Sentencias Dictadas (%) para el Delito de Secuestro Con Violación por región, durante el Periodo 2013-2019 de acuerdo a datos provenientes del Poder Judicial de Chile."/>
    <s v="Gráfico de Evolución"/>
    <s v="sociedad delincuencia delitos frecuencia sentencias secuestro violación mujer violencia regional"/>
    <x v="641"/>
    <s v="300-R"/>
    <e v="#REF!"/>
    <e v="#VALUE!"/>
    <e v="#VALUE!"/>
    <e v="#VALUE!"/>
    <e v="#VALUE!"/>
    <e v="#VALUE!"/>
    <e v="#VALUE!"/>
  </r>
  <r>
    <x v="642"/>
    <n v="300"/>
    <x v="0"/>
    <s v="Mujeres"/>
    <n v="270103004"/>
    <x v="6"/>
    <x v="2"/>
    <x v="0"/>
    <x v="0"/>
    <s v="Ninguno"/>
    <s v="Variación Trimestral de Sentencias Dictadas (%)"/>
    <s v="Periodo 2013-2019"/>
    <s v="Porcentaje"/>
    <s v="Poder Judicial"/>
    <x v="543"/>
    <s v="El gráfico muestra la evolución temporal de la Variación Trimestral de Sentencias Dictadas (%) para el Delito de Secuestro Con Homicidio por región, durante el Periodo 2013-2019 de acuerdo a datos provenientes del Poder Judicial de Chile."/>
    <s v="Gráfico de Evolución"/>
    <s v="sociedad delincuencia delitos frecuencia sentencias secuestro homicidio violación lesiones mujer violencia regional"/>
    <x v="642"/>
    <s v="300-R"/>
    <e v="#REF!"/>
    <e v="#VALUE!"/>
    <e v="#VALUE!"/>
    <e v="#VALUE!"/>
    <e v="#VALUE!"/>
    <e v="#VALUE!"/>
    <e v="#VALUE!"/>
  </r>
  <r>
    <x v="643"/>
    <n v="300"/>
    <x v="0"/>
    <s v="Mujeres"/>
    <n v="270103005"/>
    <x v="6"/>
    <x v="2"/>
    <x v="0"/>
    <x v="0"/>
    <s v="Ninguno"/>
    <s v="Variación Trimestral de Sentencias Dictadas (%)"/>
    <s v="Periodo 2013-2019"/>
    <s v="Porcentaje"/>
    <s v="Poder Judicial"/>
    <x v="544"/>
    <s v="El gráfico muestra la evolución temporal de la Variación Trimestral de Sentencias Dictadas (%) para el Delito de Tortura Con Violación, Abuso Sexual Agravado/Otros por región, durante el Periodo 2013-2019 de acuerdo a datos provenientes del Poder Judicial de Chile."/>
    <s v="Gráfico de Evolución"/>
    <s v="sociedad delincuencia delitos frecuencia sentencias tortura violación abuso sexual mujer violencia regional"/>
    <x v="643"/>
    <s v="300-R"/>
    <e v="#REF!"/>
    <e v="#VALUE!"/>
    <e v="#VALUE!"/>
    <e v="#VALUE!"/>
    <e v="#VALUE!"/>
    <e v="#VALUE!"/>
    <e v="#VALUE!"/>
  </r>
  <r>
    <x v="644"/>
    <n v="300"/>
    <x v="0"/>
    <s v="Mujeres"/>
    <n v="270104001"/>
    <x v="7"/>
    <x v="2"/>
    <x v="0"/>
    <x v="0"/>
    <s v="Ninguno"/>
    <s v="Variación Trimestral de Sentencias Dictadas (%)"/>
    <s v="Periodo 2013-2019"/>
    <s v="Porcentaje"/>
    <s v="Poder Judicial"/>
    <x v="545"/>
    <s v="El gráfico muestra la evolución temporal de la Variación Trimestral de Sentencias Dictadas (%) para el Delito de Maltrato Habitual (Violencia Intrafamiliar) por región, durante el Periodo 2013-2019 de acuerdo a datos provenientes del Poder Judicial de Chile."/>
    <s v="Gráfico de Evolución"/>
    <s v="sociedad delincuencia delitos frecuencia sentencias maltrato intrafamiliar mujer violencia regional"/>
    <x v="644"/>
    <s v="300-R"/>
    <e v="#REF!"/>
    <e v="#VALUE!"/>
    <e v="#VALUE!"/>
    <e v="#VALUE!"/>
    <e v="#VALUE!"/>
    <e v="#VALUE!"/>
    <e v="#VALUE!"/>
  </r>
  <r>
    <x v="645"/>
    <n v="300"/>
    <x v="0"/>
    <s v="Mujeres"/>
    <n v="270105001"/>
    <x v="8"/>
    <x v="2"/>
    <x v="0"/>
    <x v="0"/>
    <s v="Ninguno"/>
    <s v="Variación Trimestral de Sentencias Dictadas (%)"/>
    <s v="Periodo 2013-2019"/>
    <s v="Porcentaje"/>
    <s v="Poder Judicial"/>
    <x v="546"/>
    <s v="El gráfico muestra la evolución temporal de la Variación Trimestral de Sentencias Dictadas (%) para el Delito de Aborto Cometido Por Facultativo Por Causales No Reguladas por región, durante el Periodo 2013-2019 de acuerdo a datos provenientes del Poder Judicial de Chile."/>
    <s v="Gráfico de Evolución"/>
    <s v="sociedad delincuencia delitos frecuencia sentencias aborto causales reguladas mujer violencia regional"/>
    <x v="645"/>
    <s v="300-R"/>
    <e v="#REF!"/>
    <e v="#VALUE!"/>
    <e v="#VALUE!"/>
    <e v="#VALUE!"/>
    <e v="#VALUE!"/>
    <e v="#VALUE!"/>
    <e v="#VALUE!"/>
  </r>
  <r>
    <x v="646"/>
    <n v="300"/>
    <x v="0"/>
    <s v="Mujeres"/>
    <n v="270105002"/>
    <x v="8"/>
    <x v="2"/>
    <x v="0"/>
    <x v="0"/>
    <s v="Ninguno"/>
    <s v="Variación Trimestral de Sentencias Dictadas (%)"/>
    <s v="Periodo 2013-2019"/>
    <s v="Porcentaje"/>
    <s v="Poder Judicial"/>
    <x v="547"/>
    <s v="El gráfico muestra la evolución temporal de la Variación Trimestral de Sentencias Dictadas (%) para el Delito de Aborto Consentido Causales No Reguladas por región, durante el Periodo 2013-2019 de acuerdo a datos provenientes del Poder Judicial de Chile."/>
    <s v="Gráfico de Evolución"/>
    <s v="sociedad delincuencia delitos frecuencia sentencias aborto causales consentimiento consentido reguladas mujer violencia regional"/>
    <x v="646"/>
    <s v="300-R"/>
    <e v="#REF!"/>
    <e v="#VALUE!"/>
    <e v="#VALUE!"/>
    <e v="#VALUE!"/>
    <e v="#VALUE!"/>
    <e v="#VALUE!"/>
    <e v="#VALUE!"/>
  </r>
  <r>
    <x v="647"/>
    <n v="300"/>
    <x v="0"/>
    <s v="Mujeres"/>
    <n v="270105003"/>
    <x v="8"/>
    <x v="2"/>
    <x v="0"/>
    <x v="0"/>
    <s v="Ninguno"/>
    <s v="Variación Trimestral de Sentencias Dictadas (%)"/>
    <s v="Periodo 2013-2019"/>
    <s v="Porcentaje"/>
    <s v="Poder Judicial"/>
    <x v="548"/>
    <s v="El gráfico muestra la evolución temporal de la Variación Trimestral de Sentencias Dictadas (%) para el Delito de Aborto Sin Consentimiento por región, durante el Periodo 2013-2019 de acuerdo a datos provenientes del Poder Judicial de Chile."/>
    <s v="Gráfico de Evolución"/>
    <s v="sociedad delincuencia delitos frecuencia sentencias aborto consentimiento mujer violencia regional"/>
    <x v="647"/>
    <s v="300-R"/>
    <e v="#REF!"/>
    <e v="#VALUE!"/>
    <e v="#VALUE!"/>
    <e v="#VALUE!"/>
    <e v="#VALUE!"/>
    <e v="#VALUE!"/>
    <e v="#VALUE!"/>
  </r>
  <r>
    <x v="648"/>
    <n v="300"/>
    <x v="0"/>
    <s v="Mujeres"/>
    <n v="270104001"/>
    <x v="7"/>
    <x v="2"/>
    <x v="0"/>
    <x v="0"/>
    <s v="Ninguno"/>
    <s v="Variación Trimestral de Sentencias Dictadas (%)"/>
    <s v="Periodo 2013-2019"/>
    <s v="Porcentaje"/>
    <s v="Poder Judicial"/>
    <x v="549"/>
    <s v="El gráfico muestra la evolución temporal de la Variación Trimestral de Sentencias Dictadas (%) para el Delito de Maltrato Habitual (Violencia Intrafamiliar) por Juzgado de Garantía, durante el Periodo 2013-2019 de acuerdo a datos provenientes del Poder Judicial de Chile."/>
    <s v="Gráfico de Evolución"/>
    <s v="sociedad delincuencia delitos frecuencia sentencias maltrato intrafamiliar mujer violencia juzgado garantía"/>
    <x v="648"/>
    <s v="300-C"/>
    <e v="#REF!"/>
    <e v="#VALUE!"/>
    <e v="#VALUE!"/>
    <e v="#VALUE!"/>
    <e v="#VALUE!"/>
    <e v="#VALUE!"/>
    <e v="#VALUE!"/>
  </r>
  <r>
    <x v="649"/>
    <n v="300"/>
    <x v="0"/>
    <s v="Mujeres"/>
    <n v="270103"/>
    <x v="6"/>
    <x v="2"/>
    <x v="0"/>
    <x v="0"/>
    <s v="Ninguno"/>
    <s v="Sentencias Dictadas por Delitos Vinculados a la Mujer"/>
    <s v="Periodo 2013-2019"/>
    <s v="Número de sentencias"/>
    <s v="Poder Judicial"/>
    <x v="550"/>
    <s v="El gráfico muestra la evolución anual de la frecuencia de Sentencias Dictadas por Delitos Vinculados a la Mujer por Juzgado de Garantía en la tipología de Delitos Violentos, para el Periodo 2013-2019 de acuerdo a datos provenientes del Poder Judicial de Chile."/>
    <s v="Gráfico de Evolución"/>
    <s v="sociedad delincuencia delitos frecuencia sentencias violentos secuestro homicidio tortura abuso lesiones mujer violencia femicidio violación juzgado garantía"/>
    <x v="649"/>
    <s v="300-C"/>
    <e v="#REF!"/>
    <e v="#VALUE!"/>
    <e v="#VALUE!"/>
    <e v="#VALUE!"/>
    <e v="#VALUE!"/>
    <e v="#VALUE!"/>
    <e v="#VALUE!"/>
  </r>
  <r>
    <x v="650"/>
    <n v="300"/>
    <x v="0"/>
    <s v="Mujeres"/>
    <n v="270104"/>
    <x v="7"/>
    <x v="2"/>
    <x v="0"/>
    <x v="0"/>
    <s v="Ninguno"/>
    <s v="Sentencias Dictadas por Delitos Vinculados a la Mujer"/>
    <s v="Periodo 2013-2019"/>
    <s v="Número de sentencias"/>
    <s v="Poder Judicial"/>
    <x v="551"/>
    <s v="El gráfico muestra la evolución anual de la frecuencia de Sentencias Dictadas por Delitos Vinculados a la Mujer por Juzgado de Garantía en la tipología de Delitos Contra el Estado Civil y la Familia, para el Periodo 2013-2019 de acuerdo a datos provenientes del Poder Judicial de Chile."/>
    <s v="Gráfico de Evolución"/>
    <s v="sociedad delincuencia delitos frecuencia sentencias violentos maltrato intrafamiliar mujer violencia juzgado garantía"/>
    <x v="650"/>
    <s v="300-C"/>
    <e v="#REF!"/>
    <e v="#VALUE!"/>
    <e v="#VALUE!"/>
    <e v="#VALUE!"/>
    <e v="#VALUE!"/>
    <e v="#VALUE!"/>
    <e v="#VALUE!"/>
  </r>
  <r>
    <x v="651"/>
    <n v="300"/>
    <x v="0"/>
    <s v="Mujeres"/>
    <n v="270105"/>
    <x v="8"/>
    <x v="2"/>
    <x v="0"/>
    <x v="0"/>
    <s v="Ninguno"/>
    <s v="Sentencias Dictadas por Delitos Vinculados a la Mujer"/>
    <s v="Periodo 2013-2019"/>
    <s v="Número de sentencias"/>
    <s v="Poder Judicial"/>
    <x v="552"/>
    <s v="El gráfico muestra la evolución anual de la frecuencia de Sentencias Dictadas por Delitos Vinculados a la Mujer por Juzgado de Garantía en la tipología de Delitos Contra la Vida, Integridad o Dignidad Personal, para el Periodo 2013-2019 de acuerdo a datos provenientes del Poder Judicial de Chile."/>
    <s v="Gráfico de Evolución"/>
    <s v="sociedad delincuencia delitos frecuencia sentencias violentos aborto causales mujer violencia consentimiento consentido juzgado garantía"/>
    <x v="651"/>
    <s v="300-C"/>
    <e v="#REF!"/>
    <e v="#VALUE!"/>
    <e v="#VALUE!"/>
    <e v="#VALUE!"/>
    <e v="#VALUE!"/>
    <e v="#VALUE!"/>
    <e v="#VALUE!"/>
  </r>
  <r>
    <x v="652"/>
    <n v="300"/>
    <x v="0"/>
    <s v="Mujeres"/>
    <n v="270103"/>
    <x v="6"/>
    <x v="2"/>
    <x v="0"/>
    <x v="0"/>
    <s v="Ninguno"/>
    <s v="Sentencias Dictadas por Delitos Vinculados a la Mujer"/>
    <s v="Periodo 2013-2019"/>
    <s v="Número de sentencias"/>
    <s v="Poder Judicial"/>
    <x v="553"/>
    <s v="El gráfico muestra la evolución anual de la frecuencia de Sentencias Dictadas por Delitos Vinculados a la Mujer por Delito en la tipología de Delitos Violentos, para el Periodo 2013-2019 de acuerdo a datos provenientes del Poder Judicial de Chile."/>
    <s v="Gráfico de Evolución"/>
    <s v="sociedad delincuencia delitos frecuencia sentencias violentos secuestro homicidio tortura abuso lesiones mujer violencia femicidio violación"/>
    <x v="652"/>
    <n v="0"/>
    <e v="#REF!"/>
    <e v="#VALUE!"/>
    <e v="#VALUE!"/>
    <e v="#VALUE!"/>
    <e v="#VALUE!"/>
    <e v="#VALUE!"/>
    <e v="#VALUE!"/>
  </r>
  <r>
    <x v="653"/>
    <n v="300"/>
    <x v="0"/>
    <s v="Mujeres"/>
    <n v="270104"/>
    <x v="7"/>
    <x v="2"/>
    <x v="0"/>
    <x v="0"/>
    <s v="Ninguno"/>
    <s v="Sentencias Dictadas por Delitos Vinculados a la Mujer"/>
    <s v="Periodo 2013-2019"/>
    <s v="Número de sentencias"/>
    <s v="Poder Judicial"/>
    <x v="554"/>
    <s v="El gráfico muestra la evolución anual de la frecuencia de Sentencias Dictadas por Delitos Vinculados a la Mujer por Delito en la tipología de Delitos Contra el Estado Civil y la Familia, para el Periodo 2013-2019 de acuerdo a datos provenientes del Poder Judicial de Chile."/>
    <s v="Gráfico de Evolución"/>
    <s v="sociedad delincuencia delitos frecuencia sentencias violentos maltrato intrafamiliar mujer violencia"/>
    <x v="653"/>
    <n v="0"/>
    <e v="#REF!"/>
    <e v="#VALUE!"/>
    <e v="#VALUE!"/>
    <e v="#VALUE!"/>
    <e v="#VALUE!"/>
    <e v="#VALUE!"/>
    <e v="#VALUE!"/>
  </r>
  <r>
    <x v="654"/>
    <n v="300"/>
    <x v="0"/>
    <s v="Mujeres"/>
    <n v="270105"/>
    <x v="8"/>
    <x v="2"/>
    <x v="0"/>
    <x v="0"/>
    <s v="Ninguno"/>
    <s v="Sentencias Dictadas por Delitos Vinculados a la Mujer"/>
    <s v="Periodo 2013-2019"/>
    <s v="Número de sentencias"/>
    <s v="Poder Judicial"/>
    <x v="555"/>
    <s v="El gráfico muestra la evolución anual de la frecuencia de Sentencias Dictadas por Delitos Vinculados a la Mujer por Delito en la tipología de Delitos Contra la Vida, Integridad o Dignidad Personal, para el Periodo 2013-2019 de acuerdo a datos provenientes del Poder Judicial de Chile."/>
    <s v="Gráfico de Evolución"/>
    <s v="sociedad delincuencia delitos frecuencia sentencias violentos aborto causales mujer violencia consentimiento consentido"/>
    <x v="654"/>
    <n v="0"/>
    <e v="#REF!"/>
    <e v="#VALUE!"/>
    <e v="#VALUE!"/>
    <e v="#VALUE!"/>
    <e v="#VALUE!"/>
    <e v="#VALUE!"/>
    <e v="#VALUE!"/>
  </r>
  <r>
    <x v="655"/>
    <n v="300"/>
    <x v="0"/>
    <s v="Mujeres"/>
    <n v="0"/>
    <x v="9"/>
    <x v="2"/>
    <x v="0"/>
    <x v="0"/>
    <s v="Región"/>
    <s v="Mapa de Sentencias Dictadas Acumuladas"/>
    <s v="Periodo 2013-2019"/>
    <s v="Número de sentencias"/>
    <s v="Poder Judicial"/>
    <x v="556"/>
    <s v="Se presenta la distribución geográfica por región de la frecuencia de sentencias a través del Mapa de Sentencias Dictadas Acumuladas, durante el Periodo 2013-2019, de acuerdo a datos provenientes del Poder Judicial de Chile."/>
    <s v="Mapa de calor"/>
    <s v="sociedad delincuencia delitos frecuencia sentencias mujer violencia mapa acumulado"/>
    <x v="655"/>
    <s v="300-R"/>
    <e v="#REF!"/>
    <e v="#VALUE!"/>
    <e v="#VALUE!"/>
    <e v="#VALUE!"/>
    <e v="#VALUE!"/>
    <e v="#VALUE!"/>
    <e v="#VALUE!"/>
  </r>
  <r>
    <x v="656"/>
    <n v="300"/>
    <x v="0"/>
    <s v="Mujeres"/>
    <n v="0"/>
    <x v="9"/>
    <x v="2"/>
    <x v="0"/>
    <x v="0"/>
    <s v="Región"/>
    <s v="Mapa de Sentencias Dictadas"/>
    <s v="Año 2019"/>
    <s v="Número de sentencias"/>
    <s v="Poder Judicial"/>
    <x v="557"/>
    <s v="Se presenta la distribución geográfica por región de la frecuencia de sentencias a través del Mapa de Sentencias Dictadas, durante el Año 2019, de acuerdo a datos provenientes del Poder Judicial de Chile."/>
    <s v="Mapa de calor"/>
    <s v="sociedad delincuencia delitos frecuencia sentencias mujer violencia mapa"/>
    <x v="656"/>
    <s v="300-R"/>
    <e v="#REF!"/>
    <e v="#VALUE!"/>
    <e v="#VALUE!"/>
    <e v="#VALUE!"/>
    <e v="#VALUE!"/>
    <e v="#VALUE!"/>
    <e v="#VALU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9">
  <r>
    <s v="0001"/>
    <n v="300"/>
    <s v="Violencia contra la mujer"/>
    <s v="Mujeres"/>
    <n v="0"/>
    <x v="0"/>
    <x v="0"/>
    <x v="0"/>
    <x v="0"/>
    <x v="0"/>
    <x v="0"/>
    <s v="Año 2021"/>
    <s v="Número de centros"/>
    <s v="Servicio Nacional de la Mujer y la Equidad de Género"/>
    <s v="Cantidad de Centros de la Mujer por región"/>
    <s v="Gráfico que muestra la cantidad de Centros de la Mujer por región, de acuerdo a los datos publicados por el Servicio Nacional de la Mujer y la Equidad de Género de Chile para el año 2021."/>
    <s v="Gráfico"/>
    <s v="mujer mujeres género violencia minmeg sernameg ministerio centro apoyo regional"/>
    <s v="https://analytics.zoho.com/open-view/2395394000006849343"/>
    <x v="0"/>
    <s v="#1774B9"/>
  </r>
  <r>
    <s v="0002"/>
    <n v="300"/>
    <s v="Violencia contra la mujer"/>
    <s v="Mujeres"/>
    <n v="1"/>
    <x v="0"/>
    <x v="0"/>
    <x v="1"/>
    <x v="1"/>
    <x v="1"/>
    <x v="1"/>
    <s v="Año 2021"/>
    <s v="Número de centros"/>
    <s v="Servicio Nacional de la Mujer y la Equidad de Género"/>
    <s v="Cantidad de Centros de la Mujer por comuna en la Región de Tarapacá"/>
    <s v="Gráfico que muestra la cantidad de Centros de la Mujer por comuna en la  Región de Tarapacá, de acuerdo a los datos publicados por el Servicio Nacional de la Mujer y la Equidad de Género para el Año 2021."/>
    <s v="Gráfico"/>
    <s v="mujer mujeres género violencia minmeg sernameg ministerio centro apoyo tarapacá"/>
    <s v="https://analytics.zoho.com/open-view/2395394000008621922?ZOHO_CRITERIA=%2227.11%22.%22C%C3%B3digo_Regi%C3%B3n%22%20%3D%201"/>
    <x v="1"/>
    <s v="#1774B9"/>
  </r>
  <r>
    <s v="0003"/>
    <n v="300"/>
    <s v="Violencia contra la mujer"/>
    <s v="Mujeres"/>
    <n v="2"/>
    <x v="0"/>
    <x v="0"/>
    <x v="1"/>
    <x v="2"/>
    <x v="1"/>
    <x v="1"/>
    <s v="Año 2021"/>
    <s v="Número de centros"/>
    <s v="Servicio Nacional de la Mujer y la Equidad de Género"/>
    <s v="Cantidad de Centros de la Mujer por comuna en la Región de Antofagasta"/>
    <s v="Gráfico que muestra la cantidad de Centros de la Mujer por comuna en la  Región de Antofagasta, de acuerdo a los datos publicados por el Servicio Nacional de la Mujer y la Equidad de Género para el Año 2021."/>
    <s v="Gráfico"/>
    <s v="mujer mujeres género violencia minmeg sernameg ministerio centro apoyo antofagasta"/>
    <s v="https://analytics.zoho.com/open-view/2395394000008621922?ZOHO_CRITERIA=%2227.11%22.%22C%C3%B3digo_Regi%C3%B3n%22%20%3D%202"/>
    <x v="2"/>
    <s v="#1774B9"/>
  </r>
  <r>
    <s v="0004"/>
    <n v="300"/>
    <s v="Violencia contra la mujer"/>
    <s v="Mujeres"/>
    <n v="3"/>
    <x v="0"/>
    <x v="0"/>
    <x v="1"/>
    <x v="3"/>
    <x v="1"/>
    <x v="1"/>
    <s v="Año 2021"/>
    <s v="Número de centros"/>
    <s v="Servicio Nacional de la Mujer y la Equidad de Género"/>
    <s v="Cantidad de Centros de la Mujer por comuna en la Región de Atacama"/>
    <s v="Gráfico que muestra la cantidad de Centros de la Mujer por comuna en la  Región de Atacama, de acuerdo a los datos publicados por el Servicio Nacional de la Mujer y la Equidad de Género para el Año 2021."/>
    <s v="Gráfico"/>
    <s v="mujer mujeres género violencia minmeg sernameg ministerio centro apoyo atacama"/>
    <s v="https://analytics.zoho.com/open-view/2395394000008621922?ZOHO_CRITERIA=%2227.11%22.%22C%C3%B3digo_Regi%C3%B3n%22%20%3D%203"/>
    <x v="3"/>
    <s v="#1774B9"/>
  </r>
  <r>
    <s v="0005"/>
    <n v="300"/>
    <s v="Violencia contra la mujer"/>
    <s v="Mujeres"/>
    <n v="4"/>
    <x v="0"/>
    <x v="0"/>
    <x v="1"/>
    <x v="4"/>
    <x v="1"/>
    <x v="1"/>
    <s v="Año 2021"/>
    <s v="Número de centros"/>
    <s v="Servicio Nacional de la Mujer y la Equidad de Género"/>
    <s v="Cantidad de Centros de la Mujer por comuna en la Región de Coquimbo"/>
    <s v="Gráfico que muestra la cantidad de Centros de la Mujer por comuna en la  Región de Coquimbo, de acuerdo a los datos publicados por el Servicio Nacional de la Mujer y la Equidad de Género para el Año 2021."/>
    <s v="Gráfico"/>
    <s v="mujer mujeres género violencia minmeg sernameg ministerio centro apoyo coquimbo"/>
    <s v="https://analytics.zoho.com/open-view/2395394000008621922?ZOHO_CRITERIA=%2227.11%22.%22C%C3%B3digo_Regi%C3%B3n%22%20%3D%204"/>
    <x v="4"/>
    <s v="#1774B9"/>
  </r>
  <r>
    <s v="0006"/>
    <n v="300"/>
    <s v="Violencia contra la mujer"/>
    <s v="Mujeres"/>
    <n v="5"/>
    <x v="0"/>
    <x v="0"/>
    <x v="1"/>
    <x v="5"/>
    <x v="1"/>
    <x v="1"/>
    <s v="Año 2021"/>
    <s v="Número de centros"/>
    <s v="Servicio Nacional de la Mujer y la Equidad de Género"/>
    <s v="Cantidad de Centros de la Mujer por comuna en la Región de Valparaíso"/>
    <s v="Gráfico que muestra la cantidad de Centros de la Mujer por comuna en la  Región de Valparaíso, de acuerdo a los datos publicados por el Servicio Nacional de la Mujer y la Equidad de Género para el Año 2021."/>
    <s v="Gráfico"/>
    <s v="mujer mujeres género violencia minmeg sernameg ministerio centro apoyo valparaíso"/>
    <s v="https://analytics.zoho.com/open-view/2395394000008621922?ZOHO_CRITERIA=%2227.11%22.%22C%C3%B3digo_Regi%C3%B3n%22%20%3D%205"/>
    <x v="5"/>
    <s v="#1774B9"/>
  </r>
  <r>
    <s v="0007"/>
    <n v="300"/>
    <s v="Violencia contra la mujer"/>
    <s v="Mujeres"/>
    <n v="6"/>
    <x v="0"/>
    <x v="0"/>
    <x v="1"/>
    <x v="6"/>
    <x v="1"/>
    <x v="1"/>
    <s v="Año 2021"/>
    <s v="Número de centros"/>
    <s v="Servicio Nacional de la Mujer y la Equidad de Género"/>
    <s v="Cantidad de Centros de la Mujer por comuna en la Región de O'Higgins"/>
    <s v="Gráfico que muestra la cantidad de Centros de la Mujer por comuna en la  Región de O'Higgins, de acuerdo a los datos publicados por el Servicio Nacional de la Mujer y la Equidad de Género para el Año 2021."/>
    <s v="Gráfico"/>
    <s v="mujer mujeres género violencia minmeg sernameg ministerio centro apoyo ohiggins"/>
    <s v="https://analytics.zoho.com/open-view/2395394000008621922?ZOHO_CRITERIA=%2227.11%22.%22C%C3%B3digo_Regi%C3%B3n%22%20%3D%206"/>
    <x v="6"/>
    <s v="#1774B9"/>
  </r>
  <r>
    <s v="0008"/>
    <n v="300"/>
    <s v="Violencia contra la mujer"/>
    <s v="Mujeres"/>
    <n v="7"/>
    <x v="0"/>
    <x v="0"/>
    <x v="1"/>
    <x v="7"/>
    <x v="1"/>
    <x v="1"/>
    <s v="Año 2021"/>
    <s v="Número de centros"/>
    <s v="Servicio Nacional de la Mujer y la Equidad de Género"/>
    <s v="Cantidad de Centros de la Mujer por comuna en la Región de Maule"/>
    <s v="Gráfico que muestra la cantidad de Centros de la Mujer por comuna en la  Región de Maule, de acuerdo a los datos publicados por el Servicio Nacional de la Mujer y la Equidad de Género para el Año 2021."/>
    <s v="Gráfico"/>
    <s v="mujer mujeres género violencia minmeg sernameg ministerio centro apoyo maule"/>
    <s v="https://analytics.zoho.com/open-view/2395394000008621922?ZOHO_CRITERIA=%2227.11%22.%22C%C3%B3digo_Regi%C3%B3n%22%20%3D%207"/>
    <x v="7"/>
    <s v="#1774B9"/>
  </r>
  <r>
    <s v="0009"/>
    <n v="300"/>
    <s v="Violencia contra la mujer"/>
    <s v="Mujeres"/>
    <n v="8"/>
    <x v="0"/>
    <x v="0"/>
    <x v="1"/>
    <x v="8"/>
    <x v="1"/>
    <x v="1"/>
    <s v="Año 2021"/>
    <s v="Número de centros"/>
    <s v="Servicio Nacional de la Mujer y la Equidad de Género"/>
    <s v="Cantidad de Centros de la Mujer por comuna en la Región del Biobío"/>
    <s v="Gráfico que muestra la cantidad de Centros de la Mujer por comuna en la  Región del Biobío, de acuerdo a los datos publicados por el Servicio Nacional de la Mujer y la Equidad de Género para el Año 2021."/>
    <s v="Gráfico"/>
    <s v="mujer mujeres género violencia minmeg sernameg ministerio centro apoyo biobío"/>
    <s v="https://analytics.zoho.com/open-view/2395394000008621922?ZOHO_CRITERIA=%2227.11%22.%22C%C3%B3digo_Regi%C3%B3n%22%20%3D%208"/>
    <x v="8"/>
    <s v="#1774B9"/>
  </r>
  <r>
    <s v="0010"/>
    <n v="300"/>
    <s v="Violencia contra la mujer"/>
    <s v="Mujeres"/>
    <n v="9"/>
    <x v="0"/>
    <x v="0"/>
    <x v="1"/>
    <x v="9"/>
    <x v="1"/>
    <x v="1"/>
    <s v="Año 2021"/>
    <s v="Número de centros"/>
    <s v="Servicio Nacional de la Mujer y la Equidad de Género"/>
    <s v="Cantidad de Centros de la Mujer por comuna en la Región de La Araucanía"/>
    <s v="Gráfico que muestra la cantidad de Centros de la Mujer por comuna en la  Región de La Araucanía, de acuerdo a los datos publicados por el Servicio Nacional de la Mujer y la Equidad de Género para el Año 2021."/>
    <s v="Gráfico"/>
    <s v="mujer mujeres género violencia minmeg sernameg ministerio centro apoyo araucanía"/>
    <s v="https://analytics.zoho.com/open-view/2395394000008621922?ZOHO_CRITERIA=%2227.11%22.%22C%C3%B3digo_Regi%C3%B3n%22%20%3D%209"/>
    <x v="9"/>
    <s v="#1774B9"/>
  </r>
  <r>
    <s v="0011"/>
    <n v="300"/>
    <s v="Violencia contra la mujer"/>
    <s v="Mujeres"/>
    <n v="10"/>
    <x v="0"/>
    <x v="0"/>
    <x v="1"/>
    <x v="10"/>
    <x v="1"/>
    <x v="1"/>
    <s v="Año 2021"/>
    <s v="Número de centros"/>
    <s v="Servicio Nacional de la Mujer y la Equidad de Género"/>
    <s v="Cantidad de Centros de la Mujer por comuna en la Región de Los Lagos"/>
    <s v="Gráfico que muestra la cantidad de Centros de la Mujer por comuna en la  Región de Los Lagos, de acuerdo a los datos publicados por el Servicio Nacional de la Mujer y la Equidad de Género para el Año 2021."/>
    <s v="Gráfico"/>
    <s v="mujer mujeres género violencia minmeg sernameg ministerio centro apoyo lagos"/>
    <s v="https://analytics.zoho.com/open-view/2395394000008621922?ZOHO_CRITERIA=%2227.11%22.%22C%C3%B3digo_Regi%C3%B3n%22%20%3D%2010"/>
    <x v="10"/>
    <s v="#1774B9"/>
  </r>
  <r>
    <s v="0012"/>
    <n v="300"/>
    <s v="Violencia contra la mujer"/>
    <s v="Mujeres"/>
    <n v="11"/>
    <x v="0"/>
    <x v="0"/>
    <x v="1"/>
    <x v="11"/>
    <x v="1"/>
    <x v="1"/>
    <s v="Año 2021"/>
    <s v="Número de centros"/>
    <s v="Servicio Nacional de la Mujer y la Equidad de Género"/>
    <s v="Cantidad de Centros de la Mujer por comuna en la Región de Aysén"/>
    <s v="Gráfico que muestra la cantidad de Centros de la Mujer por comuna en la  Región de Aysén, de acuerdo a los datos publicados por el Servicio Nacional de la Mujer y la Equidad de Género para el Año 2021."/>
    <s v="Gráfico"/>
    <s v="mujer mujeres género violencia minmeg sernameg ministerio centro apoyo aysén"/>
    <s v="https://analytics.zoho.com/open-view/2395394000008621922?ZOHO_CRITERIA=%2227.11%22.%22C%C3%B3digo_Regi%C3%B3n%22%20%3D%2011"/>
    <x v="11"/>
    <s v="#1774B9"/>
  </r>
  <r>
    <s v="0013"/>
    <n v="300"/>
    <s v="Violencia contra la mujer"/>
    <s v="Mujeres"/>
    <n v="12"/>
    <x v="0"/>
    <x v="0"/>
    <x v="1"/>
    <x v="12"/>
    <x v="1"/>
    <x v="1"/>
    <s v="Año 2021"/>
    <s v="Número de centros"/>
    <s v="Servicio Nacional de la Mujer y la Equidad de Género"/>
    <s v="Cantidad de Centros de la Mujer por comuna en la Región de Magallanes"/>
    <s v="Gráfico que muestra la cantidad de Centros de la Mujer por comuna en la  Región de Magallanes, de acuerdo a los datos publicados por el Servicio Nacional de la Mujer y la Equidad de Género para el Año 2021."/>
    <s v="Gráfico"/>
    <s v="mujer mujeres género violencia minmeg sernameg ministerio centro apoyo magallanes"/>
    <s v="https://analytics.zoho.com/open-view/2395394000008621922?ZOHO_CRITERIA=%2227.11%22.%22C%C3%B3digo_Regi%C3%B3n%22%20%3D%2012"/>
    <x v="12"/>
    <s v="#1774B9"/>
  </r>
  <r>
    <s v="0014"/>
    <n v="300"/>
    <s v="Violencia contra la mujer"/>
    <s v="Mujeres"/>
    <n v="13"/>
    <x v="0"/>
    <x v="0"/>
    <x v="1"/>
    <x v="13"/>
    <x v="1"/>
    <x v="1"/>
    <s v="Año 2021"/>
    <s v="Número de centros"/>
    <s v="Servicio Nacional de la Mujer y la Equidad de Género"/>
    <s v="Cantidad de Centros de la Mujer por comuna en la Región Metropolitana"/>
    <s v="Gráfico que muestra la cantidad de Centros de la Mujer por comuna en la  Región Metropolitana, de acuerdo a los datos publicados por el Servicio Nacional de la Mujer y la Equidad de Género para el Año 2021."/>
    <s v="Gráfico"/>
    <s v="mujer mujeres género violencia minmeg sernameg ministerio centro apoyo metropolitana"/>
    <s v="https://analytics.zoho.com/open-view/2395394000008621922?ZOHO_CRITERIA=%2227.11%22.%22C%C3%B3digo_Regi%C3%B3n%22%20%3D%2013"/>
    <x v="13"/>
    <s v="#1774B9"/>
  </r>
  <r>
    <s v="0015"/>
    <n v="300"/>
    <s v="Violencia contra la mujer"/>
    <s v="Mujeres"/>
    <n v="14"/>
    <x v="0"/>
    <x v="0"/>
    <x v="1"/>
    <x v="14"/>
    <x v="1"/>
    <x v="1"/>
    <s v="Año 2021"/>
    <s v="Número de centros"/>
    <s v="Servicio Nacional de la Mujer y la Equidad de Género"/>
    <s v="Cantidad de Centros de la Mujer por comuna en la Región de Los Ríos"/>
    <s v="Gráfico que muestra la cantidad de Centros de la Mujer por comuna en la  Región de Los Ríos, de acuerdo a los datos publicados por el Servicio Nacional de la Mujer y la Equidad de Género para el Año 2021."/>
    <s v="Gráfico"/>
    <s v="mujer mujeres género violencia minmeg sernameg ministerio centro apoyo ríos"/>
    <s v="https://analytics.zoho.com/open-view/2395394000008621922?ZOHO_CRITERIA=%2227.11%22.%22C%C3%B3digo_Regi%C3%B3n%22%20%3D%2014"/>
    <x v="14"/>
    <s v="#1774B9"/>
  </r>
  <r>
    <s v="0016"/>
    <n v="300"/>
    <s v="Violencia contra la mujer"/>
    <s v="Mujeres"/>
    <n v="15"/>
    <x v="0"/>
    <x v="0"/>
    <x v="1"/>
    <x v="15"/>
    <x v="1"/>
    <x v="1"/>
    <s v="Año 2021"/>
    <s v="Número de centros"/>
    <s v="Servicio Nacional de la Mujer y la Equidad de Género"/>
    <s v="Cantidad de Centros de la Mujer por comuna en la Región de Arica y Parinacota"/>
    <s v="Gráfico que muestra la cantidad de Centros de la Mujer por comuna en la  Región de Arica y Parinacota, de acuerdo a los datos publicados por el Servicio Nacional de la Mujer y la Equidad de Género para el Año 2021."/>
    <s v="Gráfico"/>
    <s v="mujer mujeres género violencia minmeg sernameg ministerio centro apoyo arica parinacota"/>
    <s v="https://analytics.zoho.com/open-view/2395394000008621922?ZOHO_CRITERIA=%2227.11%22.%22C%C3%B3digo_Regi%C3%B3n%22%20%3D%2015"/>
    <x v="15"/>
    <s v="#1774B9"/>
  </r>
  <r>
    <s v="0017"/>
    <n v="300"/>
    <s v="Violencia contra la mujer"/>
    <s v="Mujeres"/>
    <n v="16"/>
    <x v="0"/>
    <x v="0"/>
    <x v="1"/>
    <x v="16"/>
    <x v="1"/>
    <x v="1"/>
    <s v="Año 2021"/>
    <s v="Número de centros"/>
    <s v="Servicio Nacional de la Mujer y la Equidad de Género"/>
    <s v="Cantidad de Centros de la Mujer por comuna en la Región de Ñuble"/>
    <s v="Gráfico que muestra la cantidad de Centros de la Mujer por comuna en la  Región de Ñuble, de acuerdo a los datos publicados por el Servicio Nacional de la Mujer y la Equidad de Género para el Año 2021."/>
    <s v="Gráfico"/>
    <s v="mujer mujeres género violencia minmeg sernameg ministerio centro apoyo ñuble"/>
    <s v="https://analytics.zoho.com/open-view/2395394000008621922?ZOHO_CRITERIA=%2227.11%22.%22C%C3%B3digo_Regi%C3%B3n%22%20%3D%2016"/>
    <x v="16"/>
    <s v="#1774B9"/>
  </r>
  <r>
    <s v="0018"/>
    <n v="300"/>
    <s v="Violencia contra la mujer"/>
    <s v="Mujeres"/>
    <n v="1"/>
    <x v="0"/>
    <x v="0"/>
    <x v="1"/>
    <x v="1"/>
    <x v="2"/>
    <x v="1"/>
    <s v="Año 2021"/>
    <s v="Número de centros"/>
    <s v="Servicio Nacional de la Mujer y la Equidad de Género"/>
    <s v="Cantidad de Centros de la Mujer por tipo de atención en la Región de Tarapacá"/>
    <s v="Gráfico que muestra la cantidad de Centros de la Mujer por tipo de atención en la  Región de Tarapacá, de acuerdo a los datos publicados por el Servicio Nacional de la Mujer y la Equidad de Género para el Año 2021."/>
    <s v="Gráfico"/>
    <s v="mujer mujeres género violencia minmeg sernameg ministerio centro apoyo tarapacá atención"/>
    <s v="https://analytics.zoho.com/open-view/2395394000008621848?ZOHO_CRITERIA=%2227.11%22.%22C%C3%B3digo_Regi%C3%B3n%22%20%3D%201"/>
    <x v="17"/>
    <s v="#1774B9"/>
  </r>
  <r>
    <s v="0019"/>
    <n v="300"/>
    <s v="Violencia contra la mujer"/>
    <s v="Mujeres"/>
    <n v="2"/>
    <x v="0"/>
    <x v="0"/>
    <x v="1"/>
    <x v="2"/>
    <x v="2"/>
    <x v="1"/>
    <s v="Año 2021"/>
    <s v="Número de centros"/>
    <s v="Servicio Nacional de la Mujer y la Equidad de Género"/>
    <s v="Cantidad de Centros de la Mujer por tipo de atención en la Región de Antofagasta"/>
    <s v="Gráfico que muestra la cantidad de Centros de la Mujer por tipo de atención en la  Región de Antofagasta, de acuerdo a los datos publicados por el Servicio Nacional de la Mujer y la Equidad de Género para el Año 2021."/>
    <s v="Gráfico"/>
    <s v="mujer mujeres género violencia minmeg sernameg ministerio centro apoyo antofagasta atención"/>
    <s v="https://analytics.zoho.com/open-view/2395394000008621848?ZOHO_CRITERIA=%2227.11%22.%22C%C3%B3digo_Regi%C3%B3n%22%20%3D%202"/>
    <x v="18"/>
    <s v="#1774B9"/>
  </r>
  <r>
    <s v="0020"/>
    <n v="300"/>
    <s v="Violencia contra la mujer"/>
    <s v="Mujeres"/>
    <n v="3"/>
    <x v="0"/>
    <x v="0"/>
    <x v="1"/>
    <x v="3"/>
    <x v="2"/>
    <x v="1"/>
    <s v="Año 2021"/>
    <s v="Número de centros"/>
    <s v="Servicio Nacional de la Mujer y la Equidad de Género"/>
    <s v="Cantidad de Centros de la Mujer por tipo de atención en la Región de Atacama"/>
    <s v="Gráfico que muestra la cantidad de Centros de la Mujer por tipo de atención en la  Región de Atacama, de acuerdo a los datos publicados por el Servicio Nacional de la Mujer y la Equidad de Género para el Año 2021."/>
    <s v="Gráfico"/>
    <s v="mujer mujeres género violencia minmeg sernameg ministerio centro apoyo atacama atención"/>
    <s v="https://analytics.zoho.com/open-view/2395394000008621848?ZOHO_CRITERIA=%2227.11%22.%22C%C3%B3digo_Regi%C3%B3n%22%20%3D%203"/>
    <x v="19"/>
    <s v="#1774B9"/>
  </r>
  <r>
    <s v="0021"/>
    <n v="300"/>
    <s v="Violencia contra la mujer"/>
    <s v="Mujeres"/>
    <n v="4"/>
    <x v="0"/>
    <x v="0"/>
    <x v="1"/>
    <x v="4"/>
    <x v="2"/>
    <x v="1"/>
    <s v="Año 2021"/>
    <s v="Número de centros"/>
    <s v="Servicio Nacional de la Mujer y la Equidad de Género"/>
    <s v="Cantidad de Centros de la Mujer por tipo de atención en la Región de Coquimbo"/>
    <s v="Gráfico que muestra la cantidad de Centros de la Mujer por tipo de atención en la  Región de Coquimbo, de acuerdo a los datos publicados por el Servicio Nacional de la Mujer y la Equidad de Género para el Año 2021."/>
    <s v="Gráfico"/>
    <s v="mujer mujeres género violencia minmeg sernameg ministerio centro apoyo coquimbo atención"/>
    <s v="https://analytics.zoho.com/open-view/2395394000008621848?ZOHO_CRITERIA=%2227.11%22.%22C%C3%B3digo_Regi%C3%B3n%22%20%3D%204"/>
    <x v="20"/>
    <s v="#1774B9"/>
  </r>
  <r>
    <s v="0022"/>
    <n v="300"/>
    <s v="Violencia contra la mujer"/>
    <s v="Mujeres"/>
    <n v="5"/>
    <x v="0"/>
    <x v="0"/>
    <x v="1"/>
    <x v="5"/>
    <x v="2"/>
    <x v="1"/>
    <s v="Año 2021"/>
    <s v="Número de centros"/>
    <s v="Servicio Nacional de la Mujer y la Equidad de Género"/>
    <s v="Cantidad de Centros de la Mujer por tipo de atención en la Región de Valparaíso"/>
    <s v="Gráfico que muestra la cantidad de Centros de la Mujer por tipo de atención en la  Región de Valparaíso, de acuerdo a los datos publicados por el Servicio Nacional de la Mujer y la Equidad de Género para el Año 2021."/>
    <s v="Gráfico"/>
    <s v="mujer mujeres género violencia minmeg sernameg ministerio centro apoyo valparaíso atención"/>
    <s v="https://analytics.zoho.com/open-view/2395394000008621848?ZOHO_CRITERIA=%2227.11%22.%22C%C3%B3digo_Regi%C3%B3n%22%20%3D%205"/>
    <x v="21"/>
    <s v="#1774B9"/>
  </r>
  <r>
    <s v="0023"/>
    <n v="300"/>
    <s v="Violencia contra la mujer"/>
    <s v="Mujeres"/>
    <n v="6"/>
    <x v="0"/>
    <x v="0"/>
    <x v="1"/>
    <x v="6"/>
    <x v="2"/>
    <x v="1"/>
    <s v="Año 2021"/>
    <s v="Número de centros"/>
    <s v="Servicio Nacional de la Mujer y la Equidad de Género"/>
    <s v="Cantidad de Centros de la Mujer por tipo de atención en la Región de O'Higgins"/>
    <s v="Gráfico que muestra la cantidad de Centros de la Mujer por tipo de atención en la  Región de O'Higgins, de acuerdo a los datos publicados por el Servicio Nacional de la Mujer y la Equidad de Género para el Año 2021."/>
    <s v="Gráfico"/>
    <s v="mujer mujeres género violencia minmeg sernameg ministerio centro apoyo ohiggins atención"/>
    <s v="https://analytics.zoho.com/open-view/2395394000008621848?ZOHO_CRITERIA=%2227.11%22.%22C%C3%B3digo_Regi%C3%B3n%22%20%3D%206"/>
    <x v="22"/>
    <s v="#1774B9"/>
  </r>
  <r>
    <s v="0024"/>
    <n v="300"/>
    <s v="Violencia contra la mujer"/>
    <s v="Mujeres"/>
    <n v="7"/>
    <x v="0"/>
    <x v="0"/>
    <x v="1"/>
    <x v="7"/>
    <x v="2"/>
    <x v="1"/>
    <s v="Año 2021"/>
    <s v="Número de centros"/>
    <s v="Servicio Nacional de la Mujer y la Equidad de Género"/>
    <s v="Cantidad de Centros de la Mujer por tipo de atención en la Región de Maule"/>
    <s v="Gráfico que muestra la cantidad de Centros de la Mujer por tipo de atención en la  Región de Maule, de acuerdo a los datos publicados por el Servicio Nacional de la Mujer y la Equidad de Género para el Año 2021."/>
    <s v="Gráfico"/>
    <s v="mujer mujeres género violencia minmeg sernameg ministerio centro apoyo maule atención"/>
    <s v="https://analytics.zoho.com/open-view/2395394000008621848?ZOHO_CRITERIA=%2227.11%22.%22C%C3%B3digo_Regi%C3%B3n%22%20%3D%207"/>
    <x v="23"/>
    <s v="#1774B9"/>
  </r>
  <r>
    <s v="0025"/>
    <n v="300"/>
    <s v="Violencia contra la mujer"/>
    <s v="Mujeres"/>
    <n v="8"/>
    <x v="0"/>
    <x v="0"/>
    <x v="1"/>
    <x v="8"/>
    <x v="2"/>
    <x v="1"/>
    <s v="Año 2021"/>
    <s v="Número de centros"/>
    <s v="Servicio Nacional de la Mujer y la Equidad de Género"/>
    <s v="Cantidad de Centros de la Mujer por tipo de atención en la Región del Biobío"/>
    <s v="Gráfico que muestra la cantidad de Centros de la Mujer por tipo de atención en la  Región del Biobío, de acuerdo a los datos publicados por el Servicio Nacional de la Mujer y la Equidad de Género para el Año 2021."/>
    <s v="Gráfico"/>
    <s v="mujer mujeres género violencia minmeg sernameg ministerio centro apoyo biobío atención"/>
    <s v="https://analytics.zoho.com/open-view/2395394000008621848?ZOHO_CRITERIA=%2227.11%22.%22C%C3%B3digo_Regi%C3%B3n%22%20%3D%208"/>
    <x v="24"/>
    <s v="#1774B9"/>
  </r>
  <r>
    <s v="0026"/>
    <n v="300"/>
    <s v="Violencia contra la mujer"/>
    <s v="Mujeres"/>
    <n v="9"/>
    <x v="0"/>
    <x v="0"/>
    <x v="1"/>
    <x v="9"/>
    <x v="2"/>
    <x v="1"/>
    <s v="Año 2021"/>
    <s v="Número de centros"/>
    <s v="Servicio Nacional de la Mujer y la Equidad de Género"/>
    <s v="Cantidad de Centros de la Mujer por tipo de atención en la Región de La Araucanía"/>
    <s v="Gráfico que muestra la cantidad de Centros de la Mujer por tipo de atención en la  Región de La Araucanía, de acuerdo a los datos publicados por el Servicio Nacional de la Mujer y la Equidad de Género para el Año 2021."/>
    <s v="Gráfico"/>
    <s v="mujer mujeres género violencia minmeg sernameg ministerio centro apoyo araucanía atención"/>
    <s v="https://analytics.zoho.com/open-view/2395394000008621848?ZOHO_CRITERIA=%2227.11%22.%22C%C3%B3digo_Regi%C3%B3n%22%20%3D%209"/>
    <x v="25"/>
    <s v="#1774B9"/>
  </r>
  <r>
    <s v="0027"/>
    <n v="300"/>
    <s v="Violencia contra la mujer"/>
    <s v="Mujeres"/>
    <n v="10"/>
    <x v="0"/>
    <x v="0"/>
    <x v="1"/>
    <x v="10"/>
    <x v="2"/>
    <x v="1"/>
    <s v="Año 2021"/>
    <s v="Número de centros"/>
    <s v="Servicio Nacional de la Mujer y la Equidad de Género"/>
    <s v="Cantidad de Centros de la Mujer por tipo de atención en la Región de Los Lagos"/>
    <s v="Gráfico que muestra la cantidad de Centros de la Mujer por tipo de atención en la  Región de Los Lagos, de acuerdo a los datos publicados por el Servicio Nacional de la Mujer y la Equidad de Género para el Año 2021."/>
    <s v="Gráfico"/>
    <s v="mujer mujeres género violencia minmeg sernameg ministerio centro apoyo lagos atención"/>
    <s v="https://analytics.zoho.com/open-view/2395394000008621848?ZOHO_CRITERIA=%2227.11%22.%22C%C3%B3digo_Regi%C3%B3n%22%20%3D%2010"/>
    <x v="26"/>
    <s v="#1774B9"/>
  </r>
  <r>
    <s v="0028"/>
    <n v="300"/>
    <s v="Violencia contra la mujer"/>
    <s v="Mujeres"/>
    <n v="11"/>
    <x v="0"/>
    <x v="0"/>
    <x v="1"/>
    <x v="11"/>
    <x v="2"/>
    <x v="1"/>
    <s v="Año 2021"/>
    <s v="Número de centros"/>
    <s v="Servicio Nacional de la Mujer y la Equidad de Género"/>
    <s v="Cantidad de Centros de la Mujer por tipo de atención en la Región de Aysén"/>
    <s v="Gráfico que muestra la cantidad de Centros de la Mujer por tipo de atención en la  Región de Aysén, de acuerdo a los datos publicados por el Servicio Nacional de la Mujer y la Equidad de Género para el Año 2021."/>
    <s v="Gráfico"/>
    <s v="mujer mujeres género violencia minmeg sernameg ministerio centro apoyo aysén atención"/>
    <s v="https://analytics.zoho.com/open-view/2395394000008621848?ZOHO_CRITERIA=%2227.11%22.%22C%C3%B3digo_Regi%C3%B3n%22%20%3D%2011"/>
    <x v="27"/>
    <s v="#1774B9"/>
  </r>
  <r>
    <s v="0029"/>
    <n v="300"/>
    <s v="Violencia contra la mujer"/>
    <s v="Mujeres"/>
    <n v="12"/>
    <x v="0"/>
    <x v="0"/>
    <x v="1"/>
    <x v="12"/>
    <x v="2"/>
    <x v="1"/>
    <s v="Año 2021"/>
    <s v="Número de centros"/>
    <s v="Servicio Nacional de la Mujer y la Equidad de Género"/>
    <s v="Cantidad de Centros de la Mujer por tipo de atención en la Región de Magallanes"/>
    <s v="Gráfico que muestra la cantidad de Centros de la Mujer por tipo de atención en la  Región de Magallanes, de acuerdo a los datos publicados por el Servicio Nacional de la Mujer y la Equidad de Género para el Año 2021."/>
    <s v="Gráfico"/>
    <s v="mujer mujeres género violencia minmeg sernameg ministerio centro apoyo magallanes atención"/>
    <s v="https://analytics.zoho.com/open-view/2395394000008621848?ZOHO_CRITERIA=%2227.11%22.%22C%C3%B3digo_Regi%C3%B3n%22%20%3D%2012"/>
    <x v="28"/>
    <s v="#1774B9"/>
  </r>
  <r>
    <s v="0030"/>
    <n v="300"/>
    <s v="Violencia contra la mujer"/>
    <s v="Mujeres"/>
    <n v="13"/>
    <x v="0"/>
    <x v="0"/>
    <x v="1"/>
    <x v="13"/>
    <x v="2"/>
    <x v="1"/>
    <s v="Año 2021"/>
    <s v="Número de centros"/>
    <s v="Servicio Nacional de la Mujer y la Equidad de Género"/>
    <s v="Cantidad de Centros de la Mujer por tipo de atención en la Región Metropolitana"/>
    <s v="Gráfico que muestra la cantidad de Centros de la Mujer por tipo de atención en la  Región Metropolitana, de acuerdo a los datos publicados por el Servicio Nacional de la Mujer y la Equidad de Género para el Año 2021."/>
    <s v="Gráfico"/>
    <s v="mujer mujeres género violencia minmeg sernameg ministerio centro apoyo metropolitana atención"/>
    <s v="https://analytics.zoho.com/open-view/2395394000008621848?ZOHO_CRITERIA=%2227.11%22.%22C%C3%B3digo_Regi%C3%B3n%22%20%3D%2013"/>
    <x v="29"/>
    <s v="#1774B9"/>
  </r>
  <r>
    <s v="0031"/>
    <n v="300"/>
    <s v="Violencia contra la mujer"/>
    <s v="Mujeres"/>
    <n v="14"/>
    <x v="0"/>
    <x v="0"/>
    <x v="1"/>
    <x v="14"/>
    <x v="2"/>
    <x v="1"/>
    <s v="Año 2021"/>
    <s v="Número de centros"/>
    <s v="Servicio Nacional de la Mujer y la Equidad de Género"/>
    <s v="Cantidad de Centros de la Mujer por tipo de atención en la Región de Los Ríos"/>
    <s v="Gráfico que muestra la cantidad de Centros de la Mujer por tipo de atención en la  Región de Los Ríos, de acuerdo a los datos publicados por el Servicio Nacional de la Mujer y la Equidad de Género para el Año 2021."/>
    <s v="Gráfico"/>
    <s v="mujer mujeres género violencia minmeg sernameg ministerio centro apoyo ríos atención"/>
    <s v="https://analytics.zoho.com/open-view/2395394000008621848?ZOHO_CRITERIA=%2227.11%22.%22C%C3%B3digo_Regi%C3%B3n%22%20%3D%2014"/>
    <x v="30"/>
    <s v="#1774B9"/>
  </r>
  <r>
    <s v="0032"/>
    <n v="300"/>
    <s v="Violencia contra la mujer"/>
    <s v="Mujeres"/>
    <n v="15"/>
    <x v="0"/>
    <x v="0"/>
    <x v="1"/>
    <x v="15"/>
    <x v="2"/>
    <x v="1"/>
    <s v="Año 2021"/>
    <s v="Número de centros"/>
    <s v="Servicio Nacional de la Mujer y la Equidad de Género"/>
    <s v="Cantidad de Centros de la Mujer por tipo de atención en la Región de Arica y Parinacota"/>
    <s v="Gráfico que muestra la cantidad de Centros de la Mujer por tipo de atención en la  Región de Arica y Parinacota, de acuerdo a los datos publicados por el Servicio Nacional de la Mujer y la Equidad de Género para el Año 2021."/>
    <s v="Gráfico"/>
    <s v="mujer mujeres género violencia minmeg sernameg ministerio centro apoyo arica parinacota atención"/>
    <s v="https://analytics.zoho.com/open-view/2395394000008621848?ZOHO_CRITERIA=%2227.11%22.%22C%C3%B3digo_Regi%C3%B3n%22%20%3D%2015"/>
    <x v="31"/>
    <s v="#1774B9"/>
  </r>
  <r>
    <s v="0033"/>
    <n v="300"/>
    <s v="Violencia contra la mujer"/>
    <s v="Mujeres"/>
    <n v="16"/>
    <x v="0"/>
    <x v="0"/>
    <x v="1"/>
    <x v="16"/>
    <x v="2"/>
    <x v="1"/>
    <s v="Año 2021"/>
    <s v="Número de centros"/>
    <s v="Servicio Nacional de la Mujer y la Equidad de Género"/>
    <s v="Cantidad de Centros de la Mujer por tipo de atención en la Región de Ñuble"/>
    <s v="Gráfico que muestra la cantidad de Centros de la Mujer por tipo de atención en la  Región de Ñuble, de acuerdo a los datos publicados por el Servicio Nacional de la Mujer y la Equidad de Género para el Año 2021."/>
    <s v="Gráfico"/>
    <s v="mujer mujeres género violencia minmeg sernameg ministerio centro apoyo ñuble atención"/>
    <s v="https://analytics.zoho.com/open-view/2395394000008621848?ZOHO_CRITERIA=%2227.11%22.%22C%C3%B3digo_Regi%C3%B3n%22%20%3D%2016"/>
    <x v="32"/>
    <s v="#1774B9"/>
  </r>
  <r>
    <s v="0034"/>
    <n v="300"/>
    <s v="Violencia contra la mujer"/>
    <s v="Mujeres"/>
    <n v="5"/>
    <x v="1"/>
    <x v="0"/>
    <x v="1"/>
    <x v="5"/>
    <x v="2"/>
    <x v="2"/>
    <s v="Periodo 2017-2019"/>
    <s v="Número de atenciones"/>
    <s v="Servicio Nacional de la Mujer y la Equidad de Género"/>
    <s v="Cantidad de mujeres atendidas en Centros de Atención y Reparación para Mujeres Víctimas/Sobrevivientes de Violencia Sexual por tipo de atención en la Región de Valparaíso"/>
    <s v="Gráfico que muestra la cantidad de mujeres atendidas en Centros de Atención y Reparación para Mujeres Víctimas/Sobrevivientes de Violencia Sexual por tipo de atención en la Región de Valparaíso, de acuerdo a los datos publicados por el Servicio Nacional de la Mujer y la Equidad de Género de Chile para el Periodo 2017-2019."/>
    <s v="Gráfico"/>
    <s v="mujer mujeres género violencia minmeg sernameg ministerio de la mujer centro sexual víctimas sobrevivientes valparaíso"/>
    <s v="https://analytics.zoho.com/open-view/2395394000007114973?ZOHO_CRITERIA=%2227.12%22.%22C%C3%B3digo_Regi%C3%B3n%22%20%3D%205"/>
    <x v="21"/>
    <s v="#1774B9"/>
  </r>
  <r>
    <s v="0035"/>
    <n v="300"/>
    <s v="Violencia contra la mujer"/>
    <s v="Mujeres"/>
    <n v="13"/>
    <x v="1"/>
    <x v="0"/>
    <x v="1"/>
    <x v="13"/>
    <x v="2"/>
    <x v="2"/>
    <s v="Periodo 2017-2019"/>
    <s v="Número de atenciones"/>
    <s v="Servicio Nacional de la Mujer y la Equidad de Género"/>
    <s v="Cantidad de mujeres atendidas en Centros de Atención y Reparación para Mujeres Víctimas/Sobrevivientes de Violencia Sexual por tipo de atención en la Región Metropolitana"/>
    <s v="Gráfico que muestra la cantidad de mujeres atendidas en Centros de Atención y Reparación para Mujeres Víctimas/Sobrevivientes de Violencia Sexual por tipo de atención en la Región Metropolitana, de acuerdo a los datos publicados por el Servicio Nacional de la Mujer y la Equidad de Género de Chile para el Periodo 2017-2019."/>
    <s v="Gráfico"/>
    <s v="mujer mujeres género violencia minmeg sernameg ministerio de la mujer centro sexual víctimas sobrevivientes metropolitana"/>
    <s v="https://analytics.zoho.com/open-view/2395394000007114973?ZOHO_CRITERIA=%2227.12%22.%22C%C3%B3digo_Regi%C3%B3n%22%20%3D%2013"/>
    <x v="29"/>
    <s v="#1774B9"/>
  </r>
  <r>
    <s v="0036"/>
    <n v="300"/>
    <s v="Violencia contra la mujer"/>
    <s v="Mujeres"/>
    <n v="8"/>
    <x v="1"/>
    <x v="0"/>
    <x v="1"/>
    <x v="8"/>
    <x v="2"/>
    <x v="2"/>
    <s v="Periodo 2017-2019"/>
    <s v="Número de atenciones"/>
    <s v="Servicio Nacional de la Mujer y la Equidad de Género"/>
    <s v="Cantidad de mujeres atendidas en Centros de Atención y Reparación para Mujeres Víctimas/Sobrevivientes de Violencia Sexual por tipo de atención en la Región del Biobío"/>
    <s v="Gráfico que muestra la cantidad de mujeres atendidas en Centros de Atención y Reparación para Mujeres Víctimas/Sobrevivientes de Violencia Sexual por tipo de atención en la Región del Biobío, de acuerdo a los datos publicados por el Servicio Nacional de la Mujer y la Equidad de Género de Chile para el Periodo 2017-2019."/>
    <s v="Gráfico"/>
    <s v="mujer mujeres género violencia minmeg sernameg ministerio de la mujer centro sexual víctimas sobrevivientes biobío"/>
    <s v="https://analytics.zoho.com/open-view/2395394000007114973?ZOHO_CRITERIA=%2227.12%22.%22C%C3%B3digo_Regi%C3%B3n%22%20%3D%208"/>
    <x v="24"/>
    <s v="#1774B9"/>
  </r>
  <r>
    <s v="0037"/>
    <n v="300"/>
    <s v="Violencia contra la mujer"/>
    <s v="Mujeres"/>
    <n v="270110001"/>
    <x v="1"/>
    <x v="0"/>
    <x v="0"/>
    <x v="0"/>
    <x v="0"/>
    <x v="3"/>
    <s v="Periodo 2017-2019"/>
    <s v="Número de atenciones"/>
    <s v="Servicio Nacional de la Mujer y la Equidad de Género"/>
    <s v="Cantidad de mujeres atendidas en Centros de Atención y Reparación para Mujeres Víctimas/Sobrevivientes de Violencia Sexual por región en el proceso de Orientación e Información (OI)"/>
    <s v="Gráfico que muestra la cantidad de mujeres atendidas en Centros de Atención y Reparación para Mujeres Víctimas/Sobrevivientes de Violencia Sexual por región en la fase de Orientación e Información (OI), de acuerdo a los datos publicados por el Servicio Nacional de la Mujer y la Equidad de Género de Chile para el Periodo 2017-2019."/>
    <s v="Gráfico"/>
    <s v="mujer mujeres género violencia minmeg sernameg ministerio de la mujer centro sexual víctimas sobrevivientes atención"/>
    <s v="https://analytics.zoho.com/open-view/2395394000007117231?ZOHO_CRITERIA=%2227.12%22.%22Id_Categor%C3%ADa%22%20%3D%20270110001%0A"/>
    <x v="0"/>
    <s v="#1774B9"/>
  </r>
  <r>
    <s v="0038"/>
    <n v="300"/>
    <s v="Violencia contra la mujer"/>
    <s v="Mujeres"/>
    <n v="270110002"/>
    <x v="1"/>
    <x v="0"/>
    <x v="0"/>
    <x v="0"/>
    <x v="0"/>
    <x v="3"/>
    <s v="Periodo 2017-2019"/>
    <s v="Número de atenciones"/>
    <s v="Servicio Nacional de la Mujer y la Equidad de Género"/>
    <s v="Cantidad de mujeres atendidas en Centros de Atención y Reparación para Mujeres Víctimas/Sobrevivientes de Violencia Sexual por región en el proceso de Atención Reparatoria"/>
    <s v="Gráfico que muestra la cantidad de mujeres atendidas en Centros de Atención y Reparación para Mujeres Víctimas/Sobrevivientes de Violencia Sexual por región en la fase de Atención Reparatoria (AR), de acuerdo a los datos publicados por el Servicio Nacional de la Mujer y la Equidad de Género de Chile para el Periodo 2017-2019."/>
    <s v="Gráfico"/>
    <s v="mujer mujeres género violencia minmeg sernameg ministerio de la mujer centro sexual víctimas sobrevivientes atención"/>
    <s v="https://analytics.zoho.com/open-view/2395394000007117231?ZOHO_CRITERIA=%2227.12%22.%22Id_Categor%C3%ADa%22%20%3D%20270110002%0A"/>
    <x v="0"/>
    <s v="#1774B9"/>
  </r>
  <r>
    <s v="0039"/>
    <n v="300"/>
    <s v="Violencia contra la mujer"/>
    <s v="Mujeres"/>
    <n v="270110003"/>
    <x v="1"/>
    <x v="0"/>
    <x v="0"/>
    <x v="0"/>
    <x v="0"/>
    <x v="3"/>
    <s v="Periodo 2017-2019"/>
    <s v="Número de atenciones"/>
    <s v="Servicio Nacional de la Mujer y la Equidad de Género"/>
    <s v="Cantidad de mujeres atendidas en Centros de Atención y Reparación para Mujeres Víctimas/Sobrevivientes de Violencia Sexual que continúan del año anterior por región "/>
    <s v="Gráfico que muestra la cantidad de mujeres atendidas en Centros de Atención y Reparación para Mujeres Víctimas/Sobrevivientes de Violencia Sexual que continúan del año anterior por región, de acuerdo a los datos publicados por el Servicio Nacional de la Mujer y la Equidad de Género de Chile para el Periodo 2017-2019. Las mujeres que continúan del año anterior aún tienen su proceso de intervención vigente."/>
    <s v="Gráfico"/>
    <s v="mujer mujeres género violencia minmeg sernameg ministerio de la mujer centro sexual víctimas sobrevivientes atención"/>
    <s v="https://analytics.zoho.com/open-view/2395394000007117231?ZOHO_CRITERIA=%2227.12%22.%22Id_Categor%C3%ADa%22%20%3D%20270110003%0A"/>
    <x v="0"/>
    <s v="#1774B9"/>
  </r>
  <r>
    <s v="0040"/>
    <n v="300"/>
    <s v="Violencia contra la mujer"/>
    <s v="Mujeres"/>
    <n v="0"/>
    <x v="2"/>
    <x v="0"/>
    <x v="0"/>
    <x v="0"/>
    <x v="2"/>
    <x v="4"/>
    <s v="Periodo 2015-2019"/>
    <s v="Número de atenciones"/>
    <s v="Servicio Nacional de la Mujer y la Equidad de Género"/>
    <s v="Cantidad de hombres registrados en Centros de Reeducación de Hombres por tipo de procedimiento"/>
    <s v="Gráfico que muestra la cantidad de registros existentes en Centros de Reeducación de Hombres por tipo de procedimiento, de acuerdo a los datos publicados por el Servicio Nacional de la Mujer y la Equidad de Género de Chile para el Periodo 2015-2019."/>
    <s v="Gráfico"/>
    <s v="hombre hombres violencia minmeg sernameg centro reeducación"/>
    <s v="https://analytics.zoho.com/open-view/2395394000007149310"/>
    <x v="33"/>
    <s v="#1774B9"/>
  </r>
  <r>
    <s v="0041"/>
    <n v="300"/>
    <s v="Violencia contra la mujer"/>
    <s v="Mujeres"/>
    <n v="270108"/>
    <x v="0"/>
    <x v="0"/>
    <x v="0"/>
    <x v="0"/>
    <x v="2"/>
    <x v="3"/>
    <s v="Periodo 2014-2019"/>
    <s v="Número de atenciones"/>
    <s v="Servicio Nacional de la Mujer y la Equidad de Género"/>
    <s v="Cantidad de mujeres atendidas en Centros de la Mujer por procedimiento"/>
    <s v="Gráfico que muestra la cantidad de mujeres atendidas por procedimiento en Centros de la Mujer, de acuerdo a los datos publicados por el Servicio Nacional de la Mujer y la Equidad de Género de Chile para el Periodo 2014-2019."/>
    <s v="Gráfico"/>
    <s v="mujer mujeres género violencia minmeg sernameg ministerio de la mujer centro de la mujer delitos atenciones"/>
    <s v="https://analytics.zoho.com/open-view/2395394000006929198?ZOHO_CRITERIA=%22Trasposicion_27.14%22.%22Id_producto%22%20%3D%20270108%0A"/>
    <x v="33"/>
    <s v="#1774B9"/>
  </r>
  <r>
    <s v="0042"/>
    <n v="300"/>
    <s v="Violencia contra la mujer"/>
    <s v="Mujeres"/>
    <n v="270109"/>
    <x v="3"/>
    <x v="0"/>
    <x v="0"/>
    <x v="0"/>
    <x v="2"/>
    <x v="3"/>
    <s v="Periodo 2014-2019"/>
    <s v="Número de atenciones"/>
    <s v="Servicio Nacional de la Mujer y la Equidad de Género"/>
    <s v="Cantidad de mujeres atendidas en Casas de Acogida por procedimiento"/>
    <s v="Gráfico que muestra la cantidad de mujeres atendidas por procedimiento en Casas de Acogida, de acuerdo a los datos publicados por el Servicio Nacional de la Mujer y la Equidad de Género de Chile para el Periodo 2014-2019."/>
    <s v="Gráfico"/>
    <s v="mujer mujeres género violencia minmeg sernameg ministerio de la mujer casa de la mujer delitos atenciones"/>
    <s v="https://analytics.zoho.com/open-view/2395394000006929198?ZOHO_CRITERIA=%22Trasposicion_27.14%22.%22Id_producto%22%20%3D%20270109%0A"/>
    <x v="33"/>
    <s v="#1774B9"/>
  </r>
  <r>
    <s v="0043"/>
    <n v="300"/>
    <s v="Violencia contra la mujer"/>
    <s v="Mujeres"/>
    <n v="270108"/>
    <x v="0"/>
    <x v="0"/>
    <x v="0"/>
    <x v="0"/>
    <x v="2"/>
    <x v="3"/>
    <s v="Periodo 2014-2019"/>
    <s v="Número de atenciones"/>
    <s v="Servicio Nacional de la Mujer y la Equidad de Género"/>
    <s v="Cantidad de mujeres atendidas en Centros de la Mujer por tipo de procedimiento"/>
    <s v="Gráfico que muestra la cantidad de mujeres atendidas por procedimiento en Centros de la Mujer, de acuerdo a los datos publicados por el Servicio Nacional de la Mujer y la Equidad de Género de Chile para el Periodo 2014-2019."/>
    <s v="Gráfico"/>
    <s v="mujer mujeres género violencia minmeg sernameg ministerio de la mujer centro de la mujer delitos atenciones"/>
    <s v="https://analytics.zoho.com/open-view/2395394000006929327?ZOHO_CRITERIA=%22Trasposicion_27.14%22.%22Id_producto%22%20%3D%20270109%0A"/>
    <x v="33"/>
    <s v="#1774B9"/>
  </r>
  <r>
    <s v="0044"/>
    <n v="300"/>
    <s v="Violencia contra la mujer"/>
    <s v="Mujeres"/>
    <n v="270109"/>
    <x v="3"/>
    <x v="0"/>
    <x v="0"/>
    <x v="0"/>
    <x v="2"/>
    <x v="3"/>
    <s v="Periodo 2014-2019"/>
    <s v="Número de atenciones"/>
    <s v="Servicio Nacional de la Mujer y la Equidad de Género"/>
    <s v="Cantidad de mujeres atendidas en Casas de Acogida por tipo de procedimiento"/>
    <s v="Gráfico que muestra la cantidad de mujeres atendidas por procedimiento en Casas de Acogida, de acuerdo a los datos publicados por el Servicio Nacional de la Mujer y la Equidad de Género de Chile para el Periodo 2014-2019."/>
    <s v="Gráfico"/>
    <s v="mujer mujeres género violencia minmeg sernameg ministerio de la mujer casa de la mujer delitos atenciones"/>
    <s v="https://analytics.zoho.com/open-view/2395394000006929327?ZOHO_CRITERIA=%22Trasposicion_27.14%22.%22Id_producto%22%20%3D%20270108%0A"/>
    <x v="33"/>
    <s v="#1774B9"/>
  </r>
  <r>
    <s v="0045"/>
    <n v="300"/>
    <s v="Violencia contra la mujer"/>
    <s v="Mujeres"/>
    <n v="1"/>
    <x v="4"/>
    <x v="0"/>
    <x v="0"/>
    <x v="0"/>
    <x v="2"/>
    <x v="3"/>
    <s v="Periodo 2014-2019"/>
    <s v="Número de atenciones"/>
    <s v="Servicio Nacional de la Mujer y la Equidad de Género"/>
    <s v="Cantidad de mujeres atendidas en Centros de Apoyo por procedimiento en la fase de Atención"/>
    <s v="Gráfico que muestra la cantidad de mujeres atendidas por procedimiento en la fase de Atención, de acuerdo a los datos publicados por el Servicio Nacional de la Mujer y la Equidad de Género de Chile para el Periodo 2014-2019."/>
    <s v="Gráfico"/>
    <s v="mujer mujeres género violencia minmeg sernameg ministerio de la mujer delitos atenciones"/>
    <s v="https://analytics.zoho.com/open-view/2395394000006929437?ZOHO_CRITERIA=%22Trasposicion_27.14%22.%22Id_Tipo_de_Procedimiento%22%20%3D%201%0A"/>
    <x v="33"/>
    <s v="#1774B9"/>
  </r>
  <r>
    <s v="0046"/>
    <n v="300"/>
    <s v="Violencia contra la mujer"/>
    <s v="Mujeres"/>
    <n v="2"/>
    <x v="4"/>
    <x v="0"/>
    <x v="0"/>
    <x v="0"/>
    <x v="2"/>
    <x v="3"/>
    <s v="Periodo 2014-2019"/>
    <s v="Número de atenciones"/>
    <s v="Servicio Nacional de la Mujer y la Equidad de Género"/>
    <s v="Cantidad de mujeres atendidas en Centros de Apoyo por procedimiento en la fase de Ingreso"/>
    <s v="Gráfico que muestra la cantidad de mujeres atendidas por procedimiento en la fase de Ingreso, de acuerdo a los datos publicados por el Servicio Nacional de la Mujer y la Equidad de Género de Chile para el Periodo 2014-2019."/>
    <s v="Gráfico"/>
    <s v="mujer mujeres género violencia minmeg sernameg ministerio de la mujer delitos atenciones"/>
    <s v="https://analytics.zoho.com/open-view/2395394000006929437?ZOHO_CRITERIA=%22Trasposicion_27.14%22.%22Id_Tipo_de_Procedimiento%22%20%3D%202%0A"/>
    <x v="33"/>
    <s v="#1774B9"/>
  </r>
  <r>
    <s v="0047"/>
    <n v="300"/>
    <s v="Violencia contra la mujer"/>
    <s v="Mujeres"/>
    <n v="3"/>
    <x v="4"/>
    <x v="0"/>
    <x v="0"/>
    <x v="0"/>
    <x v="2"/>
    <x v="3"/>
    <s v="Periodo 2014-2019"/>
    <s v="Número de atenciones"/>
    <s v="Servicio Nacional de la Mujer y la Equidad de Género"/>
    <s v="Cantidad de mujeres atendidas en Centros de Apoyo por procedimiento en la fase de Pre Ingreso"/>
    <s v="Gráfico que muestra la cantidad de mujeres atendidas por procedimiento en la fase de Pre Ingreso, de acuerdo a los datos publicados por el Servicio Nacional de la Mujer y la Equidad de Género de Chile para el Periodo 2014-2019."/>
    <s v="Gráfico"/>
    <s v="mujer mujeres género violencia minmeg sernameg ministerio de la mujer delitos atenciones"/>
    <s v="https://analytics.zoho.com/open-view/2395394000006929437?ZOHO_CRITERIA=%22Trasposicion_27.14%22.%22Id_Tipo_de_Procedimiento%22%20%3D%203%0A"/>
    <x v="33"/>
    <s v="#1774B9"/>
  </r>
  <r>
    <s v="0048"/>
    <n v="300"/>
    <s v="Violencia contra la mujer"/>
    <s v="Mujeres"/>
    <n v="4"/>
    <x v="4"/>
    <x v="0"/>
    <x v="0"/>
    <x v="0"/>
    <x v="2"/>
    <x v="3"/>
    <s v="Periodo 2014-2019"/>
    <s v="Número de atenciones"/>
    <s v="Servicio Nacional de la Mujer y la Equidad de Género"/>
    <s v="Cantidad de mujeres atendidas en Centros de Apoyo por procedimiento en la fase de Salida"/>
    <s v="Gráfico que muestra la cantidad de mujeres atendidas por procedimiento en la fase de Salida, de acuerdo a los datos publicados por el Servicio Nacional de la Mujer y la Equidad de Género de Chile para el Periodo 2014-2019."/>
    <s v="Gráfico"/>
    <s v="mujer mujeres género violencia minmeg sernameg ministerio de la mujer delitos atenciones"/>
    <s v="https://analytics.zoho.com/open-view/2395394000006929437?ZOHO_CRITERIA=%22Trasposicion_27.14%22.%22Id_Tipo_de_Procedimiento%22%20%3D%204%0A"/>
    <x v="33"/>
    <s v="#1774B9"/>
  </r>
  <r>
    <s v="0049"/>
    <n v="300"/>
    <s v="Violencia contra la mujer"/>
    <s v="Mujeres"/>
    <n v="0"/>
    <x v="0"/>
    <x v="0"/>
    <x v="0"/>
    <x v="0"/>
    <x v="1"/>
    <x v="0"/>
    <s v="Año 2021"/>
    <s v="Número de centros"/>
    <s v="Servicio Nacional de la Mujer y la Equidad de Género"/>
    <s v="Mapa de Centros de la Mujer por comuna"/>
    <s v="Mapa que muestra los Centros de la Mujer por comuna, de acuerdo a los datos publicados por el Servicio Nacional de la Mujer y la Equidad de Género de Chile para el año 2021."/>
    <s v="Gráfico"/>
    <s v="mujer mujeres género violencia minmeg sernameg ministerio centro apoyo comunal"/>
    <s v="https://analytics.zoho.com/open-view/2395394000006849227"/>
    <x v="34"/>
    <s v="#1774B9"/>
  </r>
  <r>
    <s v="0050"/>
    <n v="300"/>
    <s v="Violencia contra la mujer"/>
    <s v="Mujeres"/>
    <n v="0"/>
    <x v="0"/>
    <x v="0"/>
    <x v="0"/>
    <x v="0"/>
    <x v="0"/>
    <x v="0"/>
    <s v="Año 2021"/>
    <s v="Número de centros"/>
    <s v="Servicio Nacional de la Mujer y la Equidad de Género"/>
    <s v="Cantidad de Centros de la Mujer por tipo de atención"/>
    <s v="Gráfico que muestra la cantidad de Centros de la Mujer por tipo de atención en  Chile, de acuerdo a los datos publicados por el Servicio Nacional de la Mujer y la Equidad de Género para el Periodo 2015-2019."/>
    <s v="Gráfico"/>
    <s v="mujer mujeres género violencia minmeg sernameg ministerio centro apoyo chile atención"/>
    <s v="https://analytics.zoho.com/open-view/2395394000006849284"/>
    <x v="0"/>
    <s v="#1774B9"/>
  </r>
  <r>
    <s v="0051"/>
    <n v="300"/>
    <s v="Violencia contra la mujer"/>
    <s v="Mujeres"/>
    <n v="0"/>
    <x v="5"/>
    <x v="1"/>
    <x v="0"/>
    <x v="0"/>
    <x v="0"/>
    <x v="5"/>
    <s v="Periodo 2013-2019"/>
    <s v="Número de sentencias"/>
    <s v="Poder Judicial"/>
    <s v="Sentencias Dictadas por Delitos de Abuso Sexual por región en la tipología de  Delitos sexuales, para el Periodo 2013-2019"/>
    <s v="El gráfico muestra la evolución anual de la frecuencia de Sentencias Dictadas por Delitos de Abuso Sexual por región en la tipología de  Delitos sexuales, para el Periodo 2013-2019 de acuerdo a datos provenientes del Poder Judicial de Chile."/>
    <s v="Gráfico de Evolución"/>
    <s v="abuso sexual delitos género violencia mujer mujeres casos víctimas detenciones sentencias regional"/>
    <s v="https://analytics.zoho.com/open-view/2395394000007166769"/>
    <x v="0"/>
    <s v="#1774B9"/>
  </r>
  <r>
    <s v="0052"/>
    <n v="300"/>
    <s v="Violencia contra la mujer"/>
    <s v="Mujeres"/>
    <n v="0"/>
    <x v="5"/>
    <x v="1"/>
    <x v="0"/>
    <x v="0"/>
    <x v="2"/>
    <x v="5"/>
    <s v="Periodo 2013-2019"/>
    <s v="Número de sentencias"/>
    <s v="Poder Judicial"/>
    <s v="Sentencias Dictadas por Delitos de Abuso Sexual por Juzgado de Garantía en la tipología de  Delitos sexuales, para el Periodo 2013-2019"/>
    <s v="El gráfico muestra la evolución anual de la frecuencia de Sentencias Dictadas por Delitos de Abuso Sexual por Juzgado de Garantía en la tipología de  Delitos sexuales, para el Periodo 2013-2019 de acuerdo a datos provenientes del Poder Judicial de Chile."/>
    <s v="Gráfico de Evolución"/>
    <s v="abuso sexual delitos género violencia mujer mujeres casos víctimas detenciones sentencias juzgado garantía"/>
    <s v="https://analytics.zoho.com/open-view/2395394000007166733"/>
    <x v="34"/>
    <s v="#1774B9"/>
  </r>
  <r>
    <s v="0053"/>
    <n v="300"/>
    <s v="Violencia contra la mujer"/>
    <s v="Mujeres"/>
    <n v="0"/>
    <x v="5"/>
    <x v="1"/>
    <x v="0"/>
    <x v="0"/>
    <x v="2"/>
    <x v="5"/>
    <s v="Periodo 2013-2019"/>
    <s v="Número de sentencias"/>
    <s v="Poder Judicial"/>
    <s v="Sentencias Dictadas por Delitos de Abuso Sexual por Delito en la tipología de  Delitos sexuales, para el Periodo 2013-2019"/>
    <s v="El gráfico muestra la evolución anual de la frecuencia de Sentencias Dictadas por Delitos de Abuso Sexual por Delito en la tipología de  Delitos sexuales, para el Periodo 2013-2019 de acuerdo a datos provenientes del Poder Judicial de Chile."/>
    <s v="Gráfico de Evolución"/>
    <s v="abuso sexual delitos género violencia mujer mujeres casos víctimas detenciones sentencias"/>
    <s v="https://analytics.zoho.com/open-view/2395394000007166697"/>
    <x v="0"/>
    <s v="#1774B9"/>
  </r>
  <r>
    <s v="0054"/>
    <n v="300"/>
    <s v="Violencia contra la mujer"/>
    <s v="Mujeres"/>
    <n v="1"/>
    <x v="5"/>
    <x v="1"/>
    <x v="1"/>
    <x v="1"/>
    <x v="2"/>
    <x v="5"/>
    <s v="Periodo 2013-2019"/>
    <s v="Número de sentencias"/>
    <s v="Poder Judicial"/>
    <s v="Sentencias Dictadas por Delitos de Abuso Sexual en la Calama durante el Periodo 2013-2019"/>
    <s v="Gráfico que muestra la frecuencia mensual de Sentencias Dictadas por Delitos de Abuso Sexual en la Calama durante el Periodo 2013-2019 de acuerdo a datos provenientes del Poder Judicial de Chile."/>
    <s v="Gráfico de Evolución"/>
    <s v="abuso sexual delitos género violencia mujer mujeres casos víctimas detenciones sentencias tarapacá"/>
    <s v="https://analytics.zoho.com/open-view/2395394000007166209?ZOHO_CRITERIA=%22Localiza%20CL%22.%22Codreg%22%3D1"/>
    <x v="17"/>
    <s v="#1774B9"/>
  </r>
  <r>
    <s v="0055"/>
    <n v="300"/>
    <s v="Violencia contra la mujer"/>
    <s v="Mujeres"/>
    <n v="2"/>
    <x v="5"/>
    <x v="1"/>
    <x v="1"/>
    <x v="2"/>
    <x v="2"/>
    <x v="5"/>
    <s v="Periodo 2013-2019"/>
    <s v="Número de sentencias"/>
    <s v="Poder Judicial"/>
    <s v="Sentencias Dictadas por Delitos de Abuso Sexual en la Tocopilla durante el Periodo 2013-2019"/>
    <s v="Gráfico que muestra la frecuencia mensual de Sentencias Dictadas por Delitos de Abuso Sexual en la Tocopilla durante el Periodo 2013-2019 de acuerdo a datos provenientes del Poder Judicial de Chile."/>
    <s v="Gráfico de Evolución"/>
    <s v="abuso sexual delitos género violencia mujer mujeres casos víctimas detenciones sentencias antofagasta"/>
    <s v="https://analytics.zoho.com/open-view/2395394000007166209?ZOHO_CRITERIA=%22Localiza%20CL%22.%22Codreg%22%3D2"/>
    <x v="18"/>
    <s v="#1774B9"/>
  </r>
  <r>
    <s v="0056"/>
    <n v="300"/>
    <s v="Violencia contra la mujer"/>
    <s v="Mujeres"/>
    <n v="3"/>
    <x v="5"/>
    <x v="1"/>
    <x v="1"/>
    <x v="3"/>
    <x v="2"/>
    <x v="5"/>
    <s v="Periodo 2013-2019"/>
    <s v="Número de sentencias"/>
    <s v="Poder Judicial"/>
    <s v="Sentencias Dictadas por Delitos de Abuso Sexual en la Copiapo durante el Periodo 2013-2019"/>
    <s v="Gráfico que muestra la frecuencia mensual de Sentencias Dictadas por Delitos de Abuso Sexual en la Copiapo durante el Periodo 2013-2019 de acuerdo a datos provenientes del Poder Judicial de Chile."/>
    <s v="Gráfico de Evolución"/>
    <s v="abuso sexual delitos género violencia mujer mujeres casos víctimas detenciones sentencias atacama"/>
    <s v="https://analytics.zoho.com/open-view/2395394000007166209?ZOHO_CRITERIA=%22Localiza%20CL%22.%22Codreg%22%3D3"/>
    <x v="19"/>
    <s v="#1774B9"/>
  </r>
  <r>
    <s v="0057"/>
    <n v="300"/>
    <s v="Violencia contra la mujer"/>
    <s v="Mujeres"/>
    <n v="4"/>
    <x v="5"/>
    <x v="1"/>
    <x v="1"/>
    <x v="4"/>
    <x v="2"/>
    <x v="5"/>
    <s v="Periodo 2013-2019"/>
    <s v="Número de sentencias"/>
    <s v="Poder Judicial"/>
    <s v="Sentencias Dictadas por Delitos de Abuso Sexual en la Diego de Almagro durante el Periodo 2013-2019"/>
    <s v="Gráfico que muestra la frecuencia mensual de Sentencias Dictadas por Delitos de Abuso Sexual en la Diego de Almagro durante el Periodo 2013-2019 de acuerdo a datos provenientes del Poder Judicial de Chile."/>
    <s v="Gráfico de Evolución"/>
    <s v="abuso sexual delitos género violencia mujer mujeres casos víctimas detenciones sentencias coquimbo"/>
    <s v="https://analytics.zoho.com/open-view/2395394000007166209?ZOHO_CRITERIA=%22Localiza%20CL%22.%22Codreg%22%3D4"/>
    <x v="20"/>
    <s v="#1774B9"/>
  </r>
  <r>
    <s v="0058"/>
    <n v="300"/>
    <s v="Violencia contra la mujer"/>
    <s v="Mujeres"/>
    <n v="5"/>
    <x v="5"/>
    <x v="1"/>
    <x v="1"/>
    <x v="5"/>
    <x v="2"/>
    <x v="5"/>
    <s v="Periodo 2013-2019"/>
    <s v="Número de sentencias"/>
    <s v="Poder Judicial"/>
    <s v="Sentencias Dictadas por Delitos de Abuso Sexual en la Vallenar durante el Periodo 2013-2019"/>
    <s v="Gráfico que muestra la frecuencia mensual de Sentencias Dictadas por Delitos de Abuso Sexual en la Vallenar durante el Periodo 2013-2019 de acuerdo a datos provenientes del Poder Judicial de Chile."/>
    <s v="Gráfico de Evolución"/>
    <s v="abuso sexual delitos género violencia mujer mujeres casos víctimas detenciones sentencias valparaíso"/>
    <s v="https://analytics.zoho.com/open-view/2395394000007166209?ZOHO_CRITERIA=%22Localiza%20CL%22.%22Codreg%22%3D5"/>
    <x v="21"/>
    <s v="#1774B9"/>
  </r>
  <r>
    <s v="0059"/>
    <n v="300"/>
    <s v="Violencia contra la mujer"/>
    <s v="Mujeres"/>
    <n v="6"/>
    <x v="5"/>
    <x v="1"/>
    <x v="1"/>
    <x v="6"/>
    <x v="2"/>
    <x v="5"/>
    <s v="Periodo 2013-2019"/>
    <s v="Número de sentencias"/>
    <s v="Poder Judicial"/>
    <s v="Sentencias Dictadas por Delitos de Abuso Sexual en la Coquimbo durante el Periodo 2013-2019"/>
    <s v="Gráfico que muestra la frecuencia mensual de Sentencias Dictadas por Delitos de Abuso Sexual en la Coquimbo durante el Periodo 2013-2019 de acuerdo a datos provenientes del Poder Judicial de Chile."/>
    <s v="Gráfico de Evolución"/>
    <s v="abuso sexual delitos género violencia mujer mujeres casos víctimas detenciones sentencias ohiggins"/>
    <s v="https://analytics.zoho.com/open-view/2395394000007166209?ZOHO_CRITERIA=%22Localiza%20CL%22.%22Codreg%22%3D6"/>
    <x v="22"/>
    <s v="#1774B9"/>
  </r>
  <r>
    <s v="0060"/>
    <n v="300"/>
    <s v="Violencia contra la mujer"/>
    <s v="Mujeres"/>
    <n v="7"/>
    <x v="5"/>
    <x v="1"/>
    <x v="1"/>
    <x v="7"/>
    <x v="2"/>
    <x v="5"/>
    <s v="Periodo 2013-2019"/>
    <s v="Número de sentencias"/>
    <s v="Poder Judicial"/>
    <s v="Sentencias Dictadas por Delitos de Abuso Sexual en la Illapel durante el Periodo 2013-2019"/>
    <s v="Gráfico que muestra la frecuencia mensual de Sentencias Dictadas por Delitos de Abuso Sexual en la Illapel durante el Periodo 2013-2019 de acuerdo a datos provenientes del Poder Judicial de Chile."/>
    <s v="Gráfico de Evolución"/>
    <s v="abuso sexual delitos género violencia mujer mujeres casos víctimas detenciones sentencias maule"/>
    <s v="https://analytics.zoho.com/open-view/2395394000007166209?ZOHO_CRITERIA=%22Localiza%20CL%22.%22Codreg%22%3D7"/>
    <x v="23"/>
    <s v="#1774B9"/>
  </r>
  <r>
    <s v="0061"/>
    <n v="300"/>
    <s v="Violencia contra la mujer"/>
    <s v="Mujeres"/>
    <n v="8"/>
    <x v="5"/>
    <x v="1"/>
    <x v="1"/>
    <x v="8"/>
    <x v="2"/>
    <x v="5"/>
    <s v="Periodo 2013-2019"/>
    <s v="Número de sentencias"/>
    <s v="Poder Judicial"/>
    <s v="Sentencias Dictadas por Delitos de Abuso Sexual en la La Serena durante el Periodo 2013-2019"/>
    <s v="Gráfico que muestra la frecuencia mensual de Sentencias Dictadas por Delitos de Abuso Sexual en la La Serena durante el Periodo 2013-2019 de acuerdo a datos provenientes del Poder Judicial de Chile."/>
    <s v="Gráfico de Evolución"/>
    <s v="abuso sexual delitos género violencia mujer mujeres casos víctimas detenciones sentencias biobío"/>
    <s v="https://analytics.zoho.com/open-view/2395394000007166209?ZOHO_CRITERIA=%22Localiza%20CL%22.%22Codreg%22%3D8"/>
    <x v="24"/>
    <s v="#1774B9"/>
  </r>
  <r>
    <s v="0062"/>
    <n v="300"/>
    <s v="Violencia contra la mujer"/>
    <s v="Mujeres"/>
    <n v="9"/>
    <x v="5"/>
    <x v="1"/>
    <x v="1"/>
    <x v="9"/>
    <x v="2"/>
    <x v="5"/>
    <s v="Periodo 2013-2019"/>
    <s v="Número de sentencias"/>
    <s v="Poder Judicial"/>
    <s v="Sentencias Dictadas por Delitos de Abuso Sexual en la Ovalle durante el Periodo 2013-2019"/>
    <s v="Gráfico que muestra la frecuencia mensual de Sentencias Dictadas por Delitos de Abuso Sexual en la Ovalle durante el Periodo 2013-2019 de acuerdo a datos provenientes del Poder Judicial de Chile."/>
    <s v="Gráfico de Evolución"/>
    <s v="abuso sexual delitos género violencia mujer mujeres casos víctimas detenciones sentencias araucanía"/>
    <s v="https://analytics.zoho.com/open-view/2395394000007166209?ZOHO_CRITERIA=%22Localiza%20CL%22.%22Codreg%22%3D9"/>
    <x v="25"/>
    <s v="#1774B9"/>
  </r>
  <r>
    <s v="0063"/>
    <n v="300"/>
    <s v="Violencia contra la mujer"/>
    <s v="Mujeres"/>
    <n v="10"/>
    <x v="5"/>
    <x v="1"/>
    <x v="1"/>
    <x v="10"/>
    <x v="2"/>
    <x v="5"/>
    <s v="Periodo 2013-2019"/>
    <s v="Número de sentencias"/>
    <s v="Poder Judicial"/>
    <s v="Sentencias Dictadas por Delitos de Abuso Sexual en la Vicuña durante el Periodo 2013-2019"/>
    <s v="Gráfico que muestra la frecuencia mensual de Sentencias Dictadas por Delitos de Abuso Sexual en la Vicuña durante el Periodo 2013-2019 de acuerdo a datos provenientes del Poder Judicial de Chile."/>
    <s v="Gráfico de Evolución"/>
    <s v="abuso sexual delitos género violencia mujer mujeres casos víctimas detenciones sentencias lagos"/>
    <s v="https://analytics.zoho.com/open-view/2395394000007166209?ZOHO_CRITERIA=%22Localiza%20CL%22.%22Codreg%22%3D10"/>
    <x v="26"/>
    <s v="#1774B9"/>
  </r>
  <r>
    <s v="0064"/>
    <n v="300"/>
    <s v="Violencia contra la mujer"/>
    <s v="Mujeres"/>
    <n v="11"/>
    <x v="5"/>
    <x v="1"/>
    <x v="1"/>
    <x v="11"/>
    <x v="2"/>
    <x v="5"/>
    <s v="Periodo 2013-2019"/>
    <s v="Número de sentencias"/>
    <s v="Poder Judicial"/>
    <s v="Sentencias Dictadas por Delitos de Abuso Sexual en la Calera durante el Periodo 2013-2019"/>
    <s v="Gráfico que muestra la frecuencia mensual de Sentencias Dictadas por Delitos de Abuso Sexual en la Calera durante el Periodo 2013-2019 de acuerdo a datos provenientes del Poder Judicial de Chile."/>
    <s v="Gráfico de Evolución"/>
    <s v="abuso sexual delitos género violencia mujer mujeres casos víctimas detenciones sentencias aysén"/>
    <s v="https://analytics.zoho.com/open-view/2395394000007166209?ZOHO_CRITERIA=%22Localiza%20CL%22.%22Codreg%22%3D11"/>
    <x v="27"/>
    <s v="#1774B9"/>
  </r>
  <r>
    <s v="0065"/>
    <n v="300"/>
    <s v="Violencia contra la mujer"/>
    <s v="Mujeres"/>
    <n v="12"/>
    <x v="5"/>
    <x v="1"/>
    <x v="1"/>
    <x v="12"/>
    <x v="2"/>
    <x v="5"/>
    <s v="Periodo 2013-2019"/>
    <s v="Número de sentencias"/>
    <s v="Poder Judicial"/>
    <s v="Sentencias Dictadas por Delitos de Abuso Sexual en la La Ligua durante el Periodo 2013-2019"/>
    <s v="Gráfico que muestra la frecuencia mensual de Sentencias Dictadas por Delitos de Abuso Sexual en la La Ligua durante el Periodo 2013-2019 de acuerdo a datos provenientes del Poder Judicial de Chile."/>
    <s v="Gráfico de Evolución"/>
    <s v="abuso sexual delitos género violencia mujer mujeres casos víctimas detenciones sentencias magallanes"/>
    <s v="https://analytics.zoho.com/open-view/2395394000007166209?ZOHO_CRITERIA=%22Localiza%20CL%22.%22Codreg%22%3D12"/>
    <x v="28"/>
    <s v="#1774B9"/>
  </r>
  <r>
    <s v="0066"/>
    <n v="300"/>
    <s v="Violencia contra la mujer"/>
    <s v="Mujeres"/>
    <n v="13"/>
    <x v="5"/>
    <x v="1"/>
    <x v="1"/>
    <x v="13"/>
    <x v="2"/>
    <x v="5"/>
    <s v="Periodo 2013-2019"/>
    <s v="Número de sentencias"/>
    <s v="Poder Judicial"/>
    <s v="Sentencias Dictadas por Delitos de Abuso Sexual en la Limache durante el Periodo 2013-2019"/>
    <s v="Gráfico que muestra la frecuencia mensual de Sentencias Dictadas por Delitos de Abuso Sexual en la Limache durante el Periodo 2013-2019 de acuerdo a datos provenientes del Poder Judicial de Chile."/>
    <s v="Gráfico de Evolución"/>
    <s v="abuso sexual delitos género violencia mujer mujeres casos víctimas detenciones sentencias metropolitana"/>
    <s v="https://analytics.zoho.com/open-view/2395394000007166209?ZOHO_CRITERIA=%22Localiza%20CL%22.%22Codreg%22%3D13"/>
    <x v="29"/>
    <s v="#1774B9"/>
  </r>
  <r>
    <s v="0067"/>
    <n v="300"/>
    <s v="Violencia contra la mujer"/>
    <s v="Mujeres"/>
    <n v="14"/>
    <x v="5"/>
    <x v="1"/>
    <x v="1"/>
    <x v="14"/>
    <x v="2"/>
    <x v="5"/>
    <s v="Periodo 2013-2019"/>
    <s v="Número de sentencias"/>
    <s v="Poder Judicial"/>
    <s v="Sentencias Dictadas por Delitos de Abuso Sexual en la Los Andes durante el Periodo 2013-2019"/>
    <s v="Gráfico que muestra la frecuencia mensual de Sentencias Dictadas por Delitos de Abuso Sexual en la Los Andes durante el Periodo 2013-2019 de acuerdo a datos provenientes del Poder Judicial de Chile."/>
    <s v="Gráfico de Evolución"/>
    <s v="abuso sexual delitos género violencia mujer mujeres casos víctimas detenciones sentencias ríos"/>
    <s v="https://analytics.zoho.com/open-view/2395394000007166209?ZOHO_CRITERIA=%22Localiza%20CL%22.%22Codreg%22%3D14"/>
    <x v="30"/>
    <s v="#1774B9"/>
  </r>
  <r>
    <s v="0068"/>
    <n v="300"/>
    <s v="Violencia contra la mujer"/>
    <s v="Mujeres"/>
    <n v="15"/>
    <x v="5"/>
    <x v="1"/>
    <x v="1"/>
    <x v="15"/>
    <x v="2"/>
    <x v="5"/>
    <s v="Periodo 2013-2019"/>
    <s v="Número de sentencias"/>
    <s v="Poder Judicial"/>
    <s v="Sentencias Dictadas por Delitos de Abuso Sexual en la Quillota durante el Periodo 2013-2019"/>
    <s v="Gráfico que muestra la frecuencia mensual de Sentencias Dictadas por Delitos de Abuso Sexual en la Quillota durante el Periodo 2013-2019 de acuerdo a datos provenientes del Poder Judicial de Chile."/>
    <s v="Gráfico de Evolución"/>
    <s v="abuso sexual delitos género violencia mujer mujeres casos víctimas detenciones sentencias arica parinacota"/>
    <s v="https://analytics.zoho.com/open-view/2395394000007166209?ZOHO_CRITERIA=%22Localiza%20CL%22.%22Codreg%22%3D15"/>
    <x v="31"/>
    <s v="#1774B9"/>
  </r>
  <r>
    <s v="0069"/>
    <n v="300"/>
    <s v="Violencia contra la mujer"/>
    <s v="Mujeres"/>
    <n v="16"/>
    <x v="5"/>
    <x v="1"/>
    <x v="1"/>
    <x v="16"/>
    <x v="2"/>
    <x v="5"/>
    <s v="Periodo 2013-2019"/>
    <s v="Número de sentencias"/>
    <s v="Poder Judicial"/>
    <s v="Sentencias Dictadas por Delitos de Abuso Sexual en la Quilpue durante el Periodo 2013-2019"/>
    <s v="Gráfico que muestra la frecuencia mensual de Sentencias Dictadas por Delitos de Abuso Sexual en la Quilpue durante el Periodo 2013-2019 de acuerdo a datos provenientes del Poder Judicial de Chile."/>
    <s v="Gráfico de Evolución"/>
    <s v="abuso sexual delitos género violencia mujer mujeres casos víctimas detenciones sentencias ñuble"/>
    <s v="https://analytics.zoho.com/open-view/2395394000007166209?ZOHO_CRITERIA=%22Localiza%20CL%22.%22Codreg%22%3D16"/>
    <x v="32"/>
    <s v="#1774B9"/>
  </r>
  <r>
    <s v="0070"/>
    <n v="300"/>
    <s v="Violencia contra la mujer"/>
    <s v="Mujeres"/>
    <n v="1"/>
    <x v="5"/>
    <x v="1"/>
    <x v="1"/>
    <x v="1"/>
    <x v="2"/>
    <x v="5"/>
    <s v="Periodo 2013-2019"/>
    <s v="Número de sentencias"/>
    <s v="Poder Judicial"/>
    <s v="Sentencias Dictadas por Delitos de Abuso Sexual por Juzgado de Garantía en la San Felipe durante el Periodo 2013-2019"/>
    <s v="El gráfico muestra la evolución anual de la frecuencia de Sentencias Dictadas por Delitos de Abuso Sexual por Juzgado de Garantía en la San Felipe durante el Periodo 2013-2019 de acuerdo a datos provenientes del Poder Judicial de Chile."/>
    <s v="Gráfico de Evolución"/>
    <s v="abuso sexual delitos género violencia mujer mujeres casos víctimas detenciones sentencias tarapacá juzgado garantía"/>
    <s v="https://analytics.zoho.com/open-view/2395394000007130420?ZOHO_CRITERIA=%22Localiza%20CL%22.%22Codreg%22%3D1"/>
    <x v="1"/>
    <s v="#1774B9"/>
  </r>
  <r>
    <s v="0071"/>
    <n v="300"/>
    <s v="Violencia contra la mujer"/>
    <s v="Mujeres"/>
    <n v="2"/>
    <x v="5"/>
    <x v="1"/>
    <x v="1"/>
    <x v="2"/>
    <x v="2"/>
    <x v="5"/>
    <s v="Periodo 2013-2019"/>
    <s v="Número de sentencias"/>
    <s v="Poder Judicial"/>
    <s v="Sentencias Dictadas por Delitos de Abuso Sexual por Juzgado de Garantía en la Valparaiso durante el Periodo 2013-2019"/>
    <s v="El gráfico muestra la evolución anual de la frecuencia de Sentencias Dictadas por Delitos de Abuso Sexual por Juzgado de Garantía en la Valparaiso durante el Periodo 2013-2019 de acuerdo a datos provenientes del Poder Judicial de Chile."/>
    <s v="Gráfico de Evolución"/>
    <s v="abuso sexual delitos género violencia mujer mujeres casos víctimas detenciones sentencias juzgado garantía antofagasta"/>
    <s v="https://analytics.zoho.com/open-view/2395394000007130420?ZOHO_CRITERIA=%22Localiza%20CL%22.%22Codreg%22%3D2"/>
    <x v="2"/>
    <s v="#1774B9"/>
  </r>
  <r>
    <s v="0072"/>
    <n v="300"/>
    <s v="Violencia contra la mujer"/>
    <s v="Mujeres"/>
    <n v="3"/>
    <x v="5"/>
    <x v="1"/>
    <x v="1"/>
    <x v="3"/>
    <x v="2"/>
    <x v="5"/>
    <s v="Periodo 2013-2019"/>
    <s v="Número de sentencias"/>
    <s v="Poder Judicial"/>
    <s v="Sentencias Dictadas por Delitos de Abuso Sexual por Juzgado de Garantía en la Villa Alemana durante el Periodo 2013-2019"/>
    <s v="El gráfico muestra la evolución anual de la frecuencia de Sentencias Dictadas por Delitos de Abuso Sexual por Juzgado de Garantía en la Villa Alemana durante el Periodo 2013-2019 de acuerdo a datos provenientes del Poder Judicial de Chile."/>
    <s v="Gráfico de Evolución"/>
    <s v="abuso sexual delitos género violencia mujer mujeres casos víctimas detenciones sentencias juzgado garantía atacama"/>
    <s v="https://analytics.zoho.com/open-view/2395394000007130420?ZOHO_CRITERIA=%22Localiza%20CL%22.%22Codreg%22%3D3"/>
    <x v="3"/>
    <s v="#1774B9"/>
  </r>
  <r>
    <s v="0073"/>
    <n v="300"/>
    <s v="Violencia contra la mujer"/>
    <s v="Mujeres"/>
    <n v="4"/>
    <x v="5"/>
    <x v="1"/>
    <x v="1"/>
    <x v="4"/>
    <x v="2"/>
    <x v="5"/>
    <s v="Periodo 2013-2019"/>
    <s v="Número de sentencias"/>
    <s v="Poder Judicial"/>
    <s v="Sentencias Dictadas por Delitos de Abuso Sexual por Juzgado de Garantía en la Viña Del Mar durante el Periodo 2013-2019"/>
    <s v="El gráfico muestra la evolución anual de la frecuencia de Sentencias Dictadas por Delitos de Abuso Sexual por Juzgado de Garantía en la Viña Del Mar durante el Periodo 2013-2019 de acuerdo a datos provenientes del Poder Judicial de Chile."/>
    <s v="Gráfico de Evolución"/>
    <s v="abuso sexual delitos género violencia mujer mujeres casos víctimas detenciones sentencias coquimbo juzgado garantía"/>
    <s v="https://analytics.zoho.com/open-view/2395394000007130420?ZOHO_CRITERIA=%22Localiza%20CL%22.%22Codreg%22%3D4"/>
    <x v="4"/>
    <s v="#1774B9"/>
  </r>
  <r>
    <s v="0074"/>
    <n v="300"/>
    <s v="Violencia contra la mujer"/>
    <s v="Mujeres"/>
    <n v="5"/>
    <x v="5"/>
    <x v="1"/>
    <x v="1"/>
    <x v="5"/>
    <x v="2"/>
    <x v="5"/>
    <s v="Periodo 2013-2019"/>
    <s v="Número de sentencias"/>
    <s v="Poder Judicial"/>
    <s v="Sentencias Dictadas por Delitos de Abuso Sexual por Juzgado de Garantía en la Graneros durante el Periodo 2013-2019"/>
    <s v="El gráfico muestra la evolución anual de la frecuencia de Sentencias Dictadas por Delitos de Abuso Sexual por Juzgado de Garantía en la Graneros durante el Periodo 2013-2019 de acuerdo a datos provenientes del Poder Judicial de Chile."/>
    <s v="Gráfico de Evolución"/>
    <s v="abuso sexual delitos género violencia mujer mujeres casos víctimas detenciones sentencias valparaíso juzgado garantía"/>
    <s v="https://analytics.zoho.com/open-view/2395394000007130420?ZOHO_CRITERIA=%22Localiza%20CL%22.%22Codreg%22%3D5"/>
    <x v="5"/>
    <s v="#1774B9"/>
  </r>
  <r>
    <s v="0075"/>
    <n v="300"/>
    <s v="Violencia contra la mujer"/>
    <s v="Mujeres"/>
    <n v="6"/>
    <x v="5"/>
    <x v="1"/>
    <x v="1"/>
    <x v="6"/>
    <x v="2"/>
    <x v="5"/>
    <s v="Periodo 2013-2019"/>
    <s v="Número de sentencias"/>
    <s v="Poder Judicial"/>
    <s v="Sentencias Dictadas por Delitos de Abuso Sexual por Juzgado de Garantía en la Rancagua durante el Periodo 2013-2019"/>
    <s v="El gráfico muestra la evolución anual de la frecuencia de Sentencias Dictadas por Delitos de Abuso Sexual por Juzgado de Garantía en la Rancagua durante el Periodo 2013-2019 de acuerdo a datos provenientes del Poder Judicial de Chile."/>
    <s v="Gráfico de Evolución"/>
    <s v="abuso sexual delitos género violencia mujer mujeres casos víctimas detenciones sentencias ohiggins juzgado garantía"/>
    <s v="https://analytics.zoho.com/open-view/2395394000007130420?ZOHO_CRITERIA=%22Localiza%20CL%22.%22Codreg%22%3D6"/>
    <x v="6"/>
    <s v="#1774B9"/>
  </r>
  <r>
    <s v="0076"/>
    <n v="300"/>
    <s v="Violencia contra la mujer"/>
    <s v="Mujeres"/>
    <n v="7"/>
    <x v="5"/>
    <x v="1"/>
    <x v="1"/>
    <x v="7"/>
    <x v="2"/>
    <x v="5"/>
    <s v="Periodo 2013-2019"/>
    <s v="Número de sentencias"/>
    <s v="Poder Judicial"/>
    <s v="Sentencias Dictadas por Delitos de Abuso Sexual por Juzgado de Garantía en la Rengo durante el Periodo 2013-2019"/>
    <s v="El gráfico muestra la evolución anual de la frecuencia de Sentencias Dictadas por Delitos de Abuso Sexual por Juzgado de Garantía en la Rengo durante el Periodo 2013-2019 de acuerdo a datos provenientes del Poder Judicial de Chile."/>
    <s v="Gráfico de Evolución"/>
    <s v="abuso sexual delitos género violencia mujer mujeres casos víctimas detenciones sentencias maule juzgado garantía"/>
    <s v="https://analytics.zoho.com/open-view/2395394000007130420?ZOHO_CRITERIA=%22Localiza%20CL%22.%22Codreg%22%3D7"/>
    <x v="7"/>
    <s v="#1774B9"/>
  </r>
  <r>
    <s v="0077"/>
    <n v="300"/>
    <s v="Violencia contra la mujer"/>
    <s v="Mujeres"/>
    <n v="8"/>
    <x v="5"/>
    <x v="1"/>
    <x v="1"/>
    <x v="8"/>
    <x v="2"/>
    <x v="5"/>
    <s v="Periodo 2013-2019"/>
    <s v="Número de sentencias"/>
    <s v="Poder Judicial"/>
    <s v="Sentencias Dictadas por Delitos de Abuso Sexual por Juzgado de Garantía en la San Fernando durante el Periodo 2013-2019"/>
    <s v="El gráfico muestra la evolución anual de la frecuencia de Sentencias Dictadas por Delitos de Abuso Sexual por Juzgado de Garantía en la San Fernando durante el Periodo 2013-2019 de acuerdo a datos provenientes del Poder Judicial de Chile."/>
    <s v="Gráfico de Evolución"/>
    <s v="abuso sexual delitos género violencia mujer mujeres casos víctimas detenciones sentencias biobío juzgado garantía"/>
    <s v="https://analytics.zoho.com/open-view/2395394000007130420?ZOHO_CRITERIA=%22Localiza%20CL%22.%22Codreg%22%3D8"/>
    <x v="8"/>
    <s v="#1774B9"/>
  </r>
  <r>
    <s v="0078"/>
    <n v="300"/>
    <s v="Violencia contra la mujer"/>
    <s v="Mujeres"/>
    <n v="9"/>
    <x v="5"/>
    <x v="1"/>
    <x v="1"/>
    <x v="9"/>
    <x v="2"/>
    <x v="5"/>
    <s v="Periodo 2013-2019"/>
    <s v="Número de sentencias"/>
    <s v="Poder Judicial"/>
    <s v="Sentencias Dictadas por Delitos de Abuso Sexual por Juzgado de Garantía en la San Vicente durante el Periodo 2013-2019"/>
    <s v="El gráfico muestra la evolución anual de la frecuencia de Sentencias Dictadas por Delitos de Abuso Sexual por Juzgado de Garantía en la San Vicente durante el Periodo 2013-2019 de acuerdo a datos provenientes del Poder Judicial de Chile."/>
    <s v="Gráfico de Evolución"/>
    <s v="abuso sexual delitos género violencia mujer mujeres casos víctimas detenciones sentencias araucanía juzgado garantía"/>
    <s v="https://analytics.zoho.com/open-view/2395394000007130420?ZOHO_CRITERIA=%22Localiza%20CL%22.%22Codreg%22%3D9"/>
    <x v="9"/>
    <s v="#1774B9"/>
  </r>
  <r>
    <s v="0079"/>
    <n v="300"/>
    <s v="Violencia contra la mujer"/>
    <s v="Mujeres"/>
    <n v="10"/>
    <x v="5"/>
    <x v="1"/>
    <x v="1"/>
    <x v="10"/>
    <x v="2"/>
    <x v="5"/>
    <s v="Periodo 2013-2019"/>
    <s v="Número de sentencias"/>
    <s v="Poder Judicial"/>
    <s v="Sentencias Dictadas por Delitos de Abuso Sexual por Juzgado de Garantía en la Santa Cruz durante el Periodo 2013-2019"/>
    <s v="El gráfico muestra la evolución anual de la frecuencia de Sentencias Dictadas por Delitos de Abuso Sexual por Juzgado de Garantía en la Santa Cruz durante el Periodo 2013-2019 de acuerdo a datos provenientes del Poder Judicial de Chile."/>
    <s v="Gráfico de Evolución"/>
    <s v="abuso sexual delitos género violencia mujer mujeres casos víctimas detenciones sentencias lagos juzgado garantía"/>
    <s v="https://analytics.zoho.com/open-view/2395394000007130420?ZOHO_CRITERIA=%22Localiza%20CL%22.%22Codreg%22%3D10"/>
    <x v="10"/>
    <s v="#1774B9"/>
  </r>
  <r>
    <s v="0080"/>
    <n v="300"/>
    <s v="Violencia contra la mujer"/>
    <s v="Mujeres"/>
    <n v="11"/>
    <x v="5"/>
    <x v="1"/>
    <x v="1"/>
    <x v="11"/>
    <x v="2"/>
    <x v="5"/>
    <s v="Periodo 2013-2019"/>
    <s v="Número de sentencias"/>
    <s v="Poder Judicial"/>
    <s v="Sentencias Dictadas por Delitos de Abuso Sexual por Juzgado de Garantía en la Cauquenes durante el Periodo 2013-2019"/>
    <s v="El gráfico muestra la evolución anual de la frecuencia de Sentencias Dictadas por Delitos de Abuso Sexual por Juzgado de Garantía en la Cauquenes durante el Periodo 2013-2019 de acuerdo a datos provenientes del Poder Judicial de Chile."/>
    <s v="Gráfico de Evolución"/>
    <s v="abuso sexual delitos género violencia mujer mujeres casos víctimas detenciones sentencias aysén juzgado garantía"/>
    <s v="https://analytics.zoho.com/open-view/2395394000007130420?ZOHO_CRITERIA=%22Localiza%20CL%22.%22Codreg%22%3D11"/>
    <x v="11"/>
    <s v="#1774B9"/>
  </r>
  <r>
    <s v="0081"/>
    <n v="300"/>
    <s v="Violencia contra la mujer"/>
    <s v="Mujeres"/>
    <n v="12"/>
    <x v="5"/>
    <x v="1"/>
    <x v="1"/>
    <x v="12"/>
    <x v="2"/>
    <x v="5"/>
    <s v="Periodo 2013-2019"/>
    <s v="Número de sentencias"/>
    <s v="Poder Judicial"/>
    <s v="Sentencias Dictadas por Delitos de Abuso Sexual por Juzgado de Garantía en la Constitucion durante el Periodo 2013-2019"/>
    <s v="El gráfico muestra la evolución anual de la frecuencia de Sentencias Dictadas por Delitos de Abuso Sexual por Juzgado de Garantía en la Constitucion durante el Periodo 2013-2019 de acuerdo a datos provenientes del Poder Judicial de Chile."/>
    <s v="Gráfico de Evolución"/>
    <s v="abuso sexual delitos género violencia mujer mujeres casos víctimas detenciones sentencias magallanes juzgado garantía"/>
    <s v="https://analytics.zoho.com/open-view/2395394000007130420?ZOHO_CRITERIA=%22Localiza%20CL%22.%22Codreg%22%3D12"/>
    <x v="12"/>
    <s v="#1774B9"/>
  </r>
  <r>
    <s v="0082"/>
    <n v="300"/>
    <s v="Violencia contra la mujer"/>
    <s v="Mujeres"/>
    <n v="13"/>
    <x v="5"/>
    <x v="1"/>
    <x v="1"/>
    <x v="13"/>
    <x v="2"/>
    <x v="5"/>
    <s v="Periodo 2013-2019"/>
    <s v="Número de sentencias"/>
    <s v="Poder Judicial"/>
    <s v="Sentencias Dictadas por Delitos de Abuso Sexual por Juzgado de Garantía en la Curico durante el Periodo 2013-2019"/>
    <s v="El gráfico muestra la evolución anual de la frecuencia de Sentencias Dictadas por Delitos de Abuso Sexual por Juzgado de Garantía en la Curico durante el Periodo 2013-2019 de acuerdo a datos provenientes del Poder Judicial de Chile."/>
    <s v="Gráfico de Evolución"/>
    <s v="abuso sexual delitos género violencia mujer mujeres casos víctimas detenciones sentencias metropolitana juzgado garantía"/>
    <s v="https://analytics.zoho.com/open-view/2395394000007130420?ZOHO_CRITERIA=%22Localiza%20CL%22.%22Codreg%22%3D13"/>
    <x v="13"/>
    <s v="#1774B9"/>
  </r>
  <r>
    <s v="0083"/>
    <n v="300"/>
    <s v="Violencia contra la mujer"/>
    <s v="Mujeres"/>
    <n v="14"/>
    <x v="5"/>
    <x v="1"/>
    <x v="1"/>
    <x v="14"/>
    <x v="2"/>
    <x v="5"/>
    <s v="Periodo 2013-2019"/>
    <s v="Número de sentencias"/>
    <s v="Poder Judicial"/>
    <s v="Sentencias Dictadas por Delitos de Abuso Sexual por Juzgado de Garantía en la Linares durante el Periodo 2013-2019"/>
    <s v="El gráfico muestra la evolución anual de la frecuencia de Sentencias Dictadas por Delitos de Abuso Sexual por Juzgado de Garantía en la Linares durante el Periodo 2013-2019 de acuerdo a datos provenientes del Poder Judicial de Chile."/>
    <s v="Gráfico de Evolución"/>
    <s v="abuso sexual delitos género violencia mujer mujeres casos víctimas detenciones sentencias ríos juzgado garantía"/>
    <s v="https://analytics.zoho.com/open-view/2395394000007130420?ZOHO_CRITERIA=%22Localiza%20CL%22.%22Codreg%22%3D14"/>
    <x v="14"/>
    <s v="#1774B9"/>
  </r>
  <r>
    <s v="0084"/>
    <n v="300"/>
    <s v="Violencia contra la mujer"/>
    <s v="Mujeres"/>
    <n v="15"/>
    <x v="5"/>
    <x v="1"/>
    <x v="1"/>
    <x v="15"/>
    <x v="2"/>
    <x v="5"/>
    <s v="Periodo 2013-2019"/>
    <s v="Número de sentencias"/>
    <s v="Poder Judicial"/>
    <s v="Sentencias Dictadas por Delitos de Abuso Sexual por Juzgado de Garantía en la Molina durante el Periodo 2013-2019"/>
    <s v="El gráfico muestra la evolución anual de la frecuencia de Sentencias Dictadas por Delitos de Abuso Sexual por Juzgado de Garantía en la Molina durante el Periodo 2013-2019 de acuerdo a datos provenientes del Poder Judicial de Chile."/>
    <s v="Gráfico de Evolución"/>
    <s v="abuso sexual delitos género violencia mujer mujeres casos víctimas detenciones sentencias arica parinacota juzgado garantía"/>
    <s v="https://analytics.zoho.com/open-view/2395394000007130420?ZOHO_CRITERIA=%22Localiza%20CL%22.%22Codreg%22%3D15"/>
    <x v="15"/>
    <s v="#1774B9"/>
  </r>
  <r>
    <s v="0085"/>
    <n v="300"/>
    <s v="Violencia contra la mujer"/>
    <s v="Mujeres"/>
    <n v="16"/>
    <x v="5"/>
    <x v="1"/>
    <x v="1"/>
    <x v="16"/>
    <x v="2"/>
    <x v="5"/>
    <s v="Periodo 2013-2019"/>
    <s v="Número de sentencias"/>
    <s v="Poder Judicial"/>
    <s v="Sentencias Dictadas por Delitos de Abuso Sexual por Juzgado de Garantía en la Parral durante el Periodo 2013-2019"/>
    <s v="El gráfico muestra la evolución anual de la frecuencia de Sentencias Dictadas por Delitos de Abuso Sexual por Juzgado de Garantía en la Parral durante el Periodo 2013-2019 de acuerdo a datos provenientes del Poder Judicial de Chile."/>
    <s v="Gráfico de Evolución"/>
    <s v="abuso sexual delitos género violencia mujer mujeres casos víctimas detenciones sentencias ñuble juzgado garantía"/>
    <s v="https://analytics.zoho.com/open-view/2395394000007130420?ZOHO_CRITERIA=%22Localiza%20CL%22.%22Codreg%22%3D16"/>
    <x v="16"/>
    <s v="#1774B9"/>
  </r>
  <r>
    <s v="0086"/>
    <n v="300"/>
    <s v="Violencia contra la mujer"/>
    <s v="Mujeres"/>
    <n v="1"/>
    <x v="5"/>
    <x v="1"/>
    <x v="1"/>
    <x v="1"/>
    <x v="2"/>
    <x v="5"/>
    <s v="Periodo 2013-2019"/>
    <s v="Número de sentencias"/>
    <s v="Poder Judicial"/>
    <s v="Sentencias Dictadas por Delitos de Abuso Sexual por Delito en la San Javier durante el Periodo 2013-2019"/>
    <s v="El gráfico muestra la evolución anual de la frecuencia de Sentencias Dictadas por Delitos de Abuso Sexual por Delito en la San Javier durante el Periodo 2013-2019 de acuerdo a datos provenientes del Poder Judicial de Chile."/>
    <s v="Gráfico de Evolución"/>
    <s v="abuso sexual delitos género violencia mujer mujeres casos víctimas detenciones sentencias tarapacá"/>
    <s v="https://analytics.zoho.com/open-view/2395394000007166809?ZOHO_CRITERIA=%22Localiza%20CL%22.%22Codreg%22%3D1"/>
    <x v="17"/>
    <s v="#1774B9"/>
  </r>
  <r>
    <s v="0087"/>
    <n v="300"/>
    <s v="Violencia contra la mujer"/>
    <s v="Mujeres"/>
    <n v="2"/>
    <x v="5"/>
    <x v="1"/>
    <x v="1"/>
    <x v="2"/>
    <x v="2"/>
    <x v="5"/>
    <s v="Periodo 2013-2019"/>
    <s v="Número de sentencias"/>
    <s v="Poder Judicial"/>
    <s v="Sentencias Dictadas por Delitos de Abuso Sexual por Delito en la Talca durante el Periodo 2013-2019"/>
    <s v="El gráfico muestra la evolución anual de la frecuencia de Sentencias Dictadas por Delitos de Abuso Sexual por Delito en la Talca durante el Periodo 2013-2019 de acuerdo a datos provenientes del Poder Judicial de Chile."/>
    <s v="Gráfico de Evolución"/>
    <s v="abuso sexual delitos género violencia mujer mujeres casos víctimas detenciones sentencias antofagasta"/>
    <s v="https://analytics.zoho.com/open-view/2395394000007166809?ZOHO_CRITERIA=%22Localiza%20CL%22.%22Codreg%22%3D2"/>
    <x v="18"/>
    <s v="#1774B9"/>
  </r>
  <r>
    <s v="0088"/>
    <n v="300"/>
    <s v="Violencia contra la mujer"/>
    <s v="Mujeres"/>
    <n v="3"/>
    <x v="5"/>
    <x v="1"/>
    <x v="1"/>
    <x v="3"/>
    <x v="2"/>
    <x v="5"/>
    <s v="Periodo 2013-2019"/>
    <s v="Número de sentencias"/>
    <s v="Poder Judicial"/>
    <s v="Sentencias Dictadas por Delitos de Abuso Sexual por Delito en la Arauco durante el Periodo 2013-2019"/>
    <s v="El gráfico muestra la evolución anual de la frecuencia de Sentencias Dictadas por Delitos de Abuso Sexual por Delito en la Arauco durante el Periodo 2013-2019 de acuerdo a datos provenientes del Poder Judicial de Chile."/>
    <s v="Gráfico de Evolución"/>
    <s v="abuso sexual delitos género violencia mujer mujeres casos víctimas detenciones sentencias atacama"/>
    <s v="https://analytics.zoho.com/open-view/2395394000007166809?ZOHO_CRITERIA=%22Localiza%20CL%22.%22Codreg%22%3D3"/>
    <x v="19"/>
    <s v="#1774B9"/>
  </r>
  <r>
    <s v="0089"/>
    <n v="300"/>
    <s v="Violencia contra la mujer"/>
    <s v="Mujeres"/>
    <n v="4"/>
    <x v="5"/>
    <x v="1"/>
    <x v="1"/>
    <x v="4"/>
    <x v="2"/>
    <x v="5"/>
    <s v="Periodo 2013-2019"/>
    <s v="Número de sentencias"/>
    <s v="Poder Judicial"/>
    <s v="Sentencias Dictadas por Delitos de Abuso Sexual por Delito en la Cañete durante el Periodo 2013-2019"/>
    <s v="El gráfico muestra la evolución anual de la frecuencia de Sentencias Dictadas por Delitos de Abuso Sexual por Delito en la Cañete durante el Periodo 2013-2019 de acuerdo a datos provenientes del Poder Judicial de Chile."/>
    <s v="Gráfico de Evolución"/>
    <s v="abuso sexual delitos género violencia mujer mujeres casos víctimas detenciones sentencias coquimbo"/>
    <s v="https://analytics.zoho.com/open-view/2395394000007166809?ZOHO_CRITERIA=%22Localiza%20CL%22.%22Codreg%22%3D4"/>
    <x v="20"/>
    <s v="#1774B9"/>
  </r>
  <r>
    <s v="0090"/>
    <n v="300"/>
    <s v="Violencia contra la mujer"/>
    <s v="Mujeres"/>
    <n v="5"/>
    <x v="5"/>
    <x v="1"/>
    <x v="1"/>
    <x v="5"/>
    <x v="2"/>
    <x v="5"/>
    <s v="Periodo 2013-2019"/>
    <s v="Número de sentencias"/>
    <s v="Poder Judicial"/>
    <s v="Sentencias Dictadas por Delitos de Abuso Sexual por Delito en la Chiguayante durante el Periodo 2013-2019"/>
    <s v="El gráfico muestra la evolución anual de la frecuencia de Sentencias Dictadas por Delitos de Abuso Sexual por Delito en la Chiguayante durante el Periodo 2013-2019 de acuerdo a datos provenientes del Poder Judicial de Chile."/>
    <s v="Gráfico de Evolución"/>
    <s v="abuso sexual delitos género violencia mujer mujeres casos víctimas detenciones sentencias valparaíso"/>
    <s v="https://analytics.zoho.com/open-view/2395394000007166809?ZOHO_CRITERIA=%22Localiza%20CL%22.%22Codreg%22%3D5"/>
    <x v="21"/>
    <s v="#1774B9"/>
  </r>
  <r>
    <s v="0091"/>
    <n v="300"/>
    <s v="Violencia contra la mujer"/>
    <s v="Mujeres"/>
    <n v="6"/>
    <x v="5"/>
    <x v="1"/>
    <x v="1"/>
    <x v="6"/>
    <x v="2"/>
    <x v="5"/>
    <s v="Periodo 2013-2019"/>
    <s v="Número de sentencias"/>
    <s v="Poder Judicial"/>
    <s v="Sentencias Dictadas por Delitos de Abuso Sexual por Delito en la Concepcion durante el Periodo 2013-2019"/>
    <s v="El gráfico muestra la evolución anual de la frecuencia de Sentencias Dictadas por Delitos de Abuso Sexual por Delito en la Concepcion durante el Periodo 2013-2019 de acuerdo a datos provenientes del Poder Judicial de Chile."/>
    <s v="Gráfico de Evolución"/>
    <s v="abuso sexual delitos género violencia mujer mujeres casos víctimas detenciones sentencias ohiggins"/>
    <s v="https://analytics.zoho.com/open-view/2395394000007166809?ZOHO_CRITERIA=%22Localiza%20CL%22.%22Codreg%22%3D6"/>
    <x v="22"/>
    <s v="#1774B9"/>
  </r>
  <r>
    <s v="0092"/>
    <n v="300"/>
    <s v="Violencia contra la mujer"/>
    <s v="Mujeres"/>
    <n v="7"/>
    <x v="5"/>
    <x v="1"/>
    <x v="1"/>
    <x v="7"/>
    <x v="2"/>
    <x v="5"/>
    <s v="Periodo 2013-2019"/>
    <s v="Número de sentencias"/>
    <s v="Poder Judicial"/>
    <s v="Sentencias Dictadas por Delitos de Abuso Sexual por Delito en la Coronel durante el Periodo 2013-2019"/>
    <s v="El gráfico muestra la evolución anual de la frecuencia de Sentencias Dictadas por Delitos de Abuso Sexual por Delito en la Coronel durante el Periodo 2013-2019 de acuerdo a datos provenientes del Poder Judicial de Chile."/>
    <s v="Gráfico de Evolución"/>
    <s v="abuso sexual delitos género violencia mujer mujeres casos víctimas detenciones sentencias maule"/>
    <s v="https://analytics.zoho.com/open-view/2395394000007166809?ZOHO_CRITERIA=%22Localiza%20CL%22.%22Codreg%22%3D7"/>
    <x v="23"/>
    <s v="#1774B9"/>
  </r>
  <r>
    <s v="0093"/>
    <n v="300"/>
    <s v="Violencia contra la mujer"/>
    <s v="Mujeres"/>
    <n v="8"/>
    <x v="5"/>
    <x v="1"/>
    <x v="1"/>
    <x v="8"/>
    <x v="2"/>
    <x v="5"/>
    <s v="Periodo 2013-2019"/>
    <s v="Número de sentencias"/>
    <s v="Poder Judicial"/>
    <s v="Sentencias Dictadas por Delitos de Abuso Sexual por Delito en la Los Angeles durante el Periodo 2013-2019"/>
    <s v="El gráfico muestra la evolución anual de la frecuencia de Sentencias Dictadas por Delitos de Abuso Sexual por Delito en la Los Angeles durante el Periodo 2013-2019 de acuerdo a datos provenientes del Poder Judicial de Chile."/>
    <s v="Gráfico de Evolución"/>
    <s v="abuso sexual delitos género violencia mujer mujeres casos víctimas detenciones sentencias biobío"/>
    <s v="https://analytics.zoho.com/open-view/2395394000007166809?ZOHO_CRITERIA=%22Localiza%20CL%22.%22Codreg%22%3D8"/>
    <x v="24"/>
    <s v="#1774B9"/>
  </r>
  <r>
    <s v="0094"/>
    <n v="300"/>
    <s v="Violencia contra la mujer"/>
    <s v="Mujeres"/>
    <n v="9"/>
    <x v="5"/>
    <x v="1"/>
    <x v="1"/>
    <x v="9"/>
    <x v="2"/>
    <x v="5"/>
    <s v="Periodo 2013-2019"/>
    <s v="Número de sentencias"/>
    <s v="Poder Judicial"/>
    <s v="Sentencias Dictadas por Delitos de Abuso Sexual por Delito en la Talcahuano durante el Periodo 2013-2019"/>
    <s v="El gráfico muestra la evolución anual de la frecuencia de Sentencias Dictadas por Delitos de Abuso Sexual por Delito en la Talcahuano durante el Periodo 2013-2019 de acuerdo a datos provenientes del Poder Judicial de Chile."/>
    <s v="Gráfico de Evolución"/>
    <s v="abuso sexual delitos género violencia mujer mujeres casos víctimas detenciones sentencias araucanía"/>
    <s v="https://analytics.zoho.com/open-view/2395394000007166809?ZOHO_CRITERIA=%22Localiza%20CL%22.%22Codreg%22%3D9"/>
    <x v="25"/>
    <s v="#1774B9"/>
  </r>
  <r>
    <s v="0095"/>
    <n v="300"/>
    <s v="Violencia contra la mujer"/>
    <s v="Mujeres"/>
    <n v="10"/>
    <x v="5"/>
    <x v="1"/>
    <x v="1"/>
    <x v="10"/>
    <x v="2"/>
    <x v="5"/>
    <s v="Periodo 2013-2019"/>
    <s v="Número de sentencias"/>
    <s v="Poder Judicial"/>
    <s v="Sentencias Dictadas por Delitos de Abuso Sexual por Delito en la Tome durante el Periodo 2013-2019"/>
    <s v="El gráfico muestra la evolución anual de la frecuencia de Sentencias Dictadas por Delitos de Abuso Sexual por Delito en la Tome durante el Periodo 2013-2019 de acuerdo a datos provenientes del Poder Judicial de Chile."/>
    <s v="Gráfico de Evolución"/>
    <s v="abuso sexual delitos género violencia mujer mujeres casos víctimas detenciones sentencias lagos"/>
    <s v="https://analytics.zoho.com/open-view/2395394000007166809?ZOHO_CRITERIA=%22Localiza%20CL%22.%22Codreg%22%3D10"/>
    <x v="26"/>
    <s v="#1774B9"/>
  </r>
  <r>
    <s v="0096"/>
    <n v="300"/>
    <s v="Violencia contra la mujer"/>
    <s v="Mujeres"/>
    <n v="11"/>
    <x v="5"/>
    <x v="1"/>
    <x v="1"/>
    <x v="11"/>
    <x v="2"/>
    <x v="5"/>
    <s v="Periodo 2013-2019"/>
    <s v="Número de sentencias"/>
    <s v="Poder Judicial"/>
    <s v="Sentencias Dictadas por Delitos de Abuso Sexual por Delito en la Angol durante el Periodo 2013-2019"/>
    <s v="El gráfico muestra la evolución anual de la frecuencia de Sentencias Dictadas por Delitos de Abuso Sexual por Delito en la Angol durante el Periodo 2013-2019 de acuerdo a datos provenientes del Poder Judicial de Chile."/>
    <s v="Gráfico de Evolución"/>
    <s v="abuso sexual delitos género violencia mujer mujeres casos víctimas detenciones sentencias aysén"/>
    <s v="https://analytics.zoho.com/open-view/2395394000007166809?ZOHO_CRITERIA=%22Localiza%20CL%22.%22Codreg%22%3D11"/>
    <x v="27"/>
    <s v="#1774B9"/>
  </r>
  <r>
    <s v="0097"/>
    <n v="300"/>
    <s v="Violencia contra la mujer"/>
    <s v="Mujeres"/>
    <n v="12"/>
    <x v="5"/>
    <x v="1"/>
    <x v="1"/>
    <x v="12"/>
    <x v="2"/>
    <x v="5"/>
    <s v="Periodo 2013-2019"/>
    <s v="Número de sentencias"/>
    <s v="Poder Judicial"/>
    <s v="Sentencias Dictadas por Delitos de Abuso Sexual por Delito en la Lautaro durante el Periodo 2013-2019"/>
    <s v="El gráfico muestra la evolución anual de la frecuencia de Sentencias Dictadas por Delitos de Abuso Sexual por Delito en la Lautaro durante el Periodo 2013-2019 de acuerdo a datos provenientes del Poder Judicial de Chile."/>
    <s v="Gráfico de Evolución"/>
    <s v="abuso sexual delitos género violencia mujer mujeres casos víctimas detenciones sentencias magallanes"/>
    <s v="https://analytics.zoho.com/open-view/2395394000007166809?ZOHO_CRITERIA=%22Localiza%20CL%22.%22Codreg%22%3D12"/>
    <x v="28"/>
    <s v="#1774B9"/>
  </r>
  <r>
    <s v="0098"/>
    <n v="300"/>
    <s v="Violencia contra la mujer"/>
    <s v="Mujeres"/>
    <n v="13"/>
    <x v="5"/>
    <x v="1"/>
    <x v="1"/>
    <x v="13"/>
    <x v="2"/>
    <x v="5"/>
    <s v="Periodo 2013-2019"/>
    <s v="Número de sentencias"/>
    <s v="Poder Judicial"/>
    <s v="Sentencias Dictadas por Delitos de Abuso Sexual por Delito en la Loncoche durante el Periodo 2013-2019"/>
    <s v="El gráfico muestra la evolución anual de la frecuencia de Sentencias Dictadas por Delitos de Abuso Sexual por Delito en la Loncoche durante el Periodo 2013-2019 de acuerdo a datos provenientes del Poder Judicial de Chile."/>
    <s v="Gráfico de Evolución"/>
    <s v="abuso sexual delitos género violencia mujer mujeres casos víctimas detenciones sentencias metropolitana"/>
    <s v="https://analytics.zoho.com/open-view/2395394000007166809?ZOHO_CRITERIA=%22Localiza%20CL%22.%22Codreg%22%3D13"/>
    <x v="29"/>
    <s v="#1774B9"/>
  </r>
  <r>
    <s v="0099"/>
    <n v="300"/>
    <s v="Violencia contra la mujer"/>
    <s v="Mujeres"/>
    <n v="14"/>
    <x v="5"/>
    <x v="1"/>
    <x v="1"/>
    <x v="14"/>
    <x v="2"/>
    <x v="5"/>
    <s v="Periodo 2013-2019"/>
    <s v="Número de sentencias"/>
    <s v="Poder Judicial"/>
    <s v="Sentencias Dictadas por Delitos de Abuso Sexual por Delito en la Nueva Imperial durante el Periodo 2013-2019"/>
    <s v="El gráfico muestra la evolución anual de la frecuencia de Sentencias Dictadas por Delitos de Abuso Sexual por Delito en la Nueva Imperial durante el Periodo 2013-2019 de acuerdo a datos provenientes del Poder Judicial de Chile."/>
    <s v="Gráfico de Evolución"/>
    <s v="abuso sexual delitos género violencia mujer mujeres casos víctimas detenciones sentencias ríos"/>
    <s v="https://analytics.zoho.com/open-view/2395394000007166809?ZOHO_CRITERIA=%22Localiza%20CL%22.%22Codreg%22%3D14"/>
    <x v="30"/>
    <s v="#1774B9"/>
  </r>
  <r>
    <s v="0100"/>
    <n v="300"/>
    <s v="Violencia contra la mujer"/>
    <s v="Mujeres"/>
    <n v="15"/>
    <x v="5"/>
    <x v="1"/>
    <x v="1"/>
    <x v="15"/>
    <x v="2"/>
    <x v="5"/>
    <s v="Periodo 2013-2019"/>
    <s v="Número de sentencias"/>
    <s v="Poder Judicial"/>
    <s v="Sentencias Dictadas por Delitos de Abuso Sexual por Delito en la Pitrufquen durante el Periodo 2013-2019"/>
    <s v="El gráfico muestra la evolución anual de la frecuencia de Sentencias Dictadas por Delitos de Abuso Sexual por Delito en la Pitrufquen durante el Periodo 2013-2019 de acuerdo a datos provenientes del Poder Judicial de Chile."/>
    <s v="Gráfico de Evolución"/>
    <s v="abuso sexual delitos género violencia mujer mujeres casos víctimas detenciones sentencias arica parinacota"/>
    <s v="https://analytics.zoho.com/open-view/2395394000007166809?ZOHO_CRITERIA=%22Localiza%20CL%22.%22Codreg%22%3D15"/>
    <x v="31"/>
    <s v="#1774B9"/>
  </r>
  <r>
    <s v="0101"/>
    <n v="300"/>
    <s v="Violencia contra la mujer"/>
    <s v="Mujeres"/>
    <n v="16"/>
    <x v="5"/>
    <x v="1"/>
    <x v="1"/>
    <x v="16"/>
    <x v="2"/>
    <x v="5"/>
    <s v="Periodo 2013-2019"/>
    <s v="Número de sentencias"/>
    <s v="Poder Judicial"/>
    <s v="Sentencias Dictadas por Delitos de Abuso Sexual por Delito en la Temuco durante el Periodo 2013-2019"/>
    <s v="El gráfico muestra la evolución anual de la frecuencia de Sentencias Dictadas por Delitos de Abuso Sexual por Delito en la Temuco durante el Periodo 2013-2019 de acuerdo a datos provenientes del Poder Judicial de Chile."/>
    <s v="Gráfico de Evolución"/>
    <s v="abuso sexual delitos género violencia mujer mujeres casos víctimas detenciones sentencias ñuble"/>
    <s v="https://analytics.zoho.com/open-view/2395394000007166809?ZOHO_CRITERIA=%22Localiza%20CL%22.%22Codreg%22%3D16"/>
    <x v="32"/>
    <s v="#1774B9"/>
  </r>
  <r>
    <s v="0102"/>
    <n v="300"/>
    <s v="Violencia contra la mujer"/>
    <s v="Mujeres"/>
    <n v="1"/>
    <x v="5"/>
    <x v="1"/>
    <x v="2"/>
    <x v="17"/>
    <x v="2"/>
    <x v="5"/>
    <s v="Periodo 2013-2019"/>
    <s v="Número de sentencias"/>
    <s v="Poder Judicial"/>
    <s v="Sentencias Dictadas por Delitos de Abuso Sexual en el  Juzgado de Garantía de Victoria para el Periodo 2013-2019"/>
    <s v="El gráfico muestra la evolución anual de la frecuencia de Sentencias Dictadas por Delitos de Abuso Sexual en el  Juzgado de Garantía de Victoria para el Periodo 2013-2019 de acuerdo a datos provenientes del Poder Judicial de Chile."/>
    <s v="Gráfico de Evolución"/>
    <s v="abuso sexual delitos género violencia mujer mujeres casos víctimas detenciones sentencias juzgado garantía iquique"/>
    <s v="https://analytics.zoho.com/open-view/2395394000007166659?ZOHO_CRITERIA=%22Trasposicion_27.15%22.%22Id_Juzgado_Garant%C3%ADa%22%3D1"/>
    <x v="1"/>
    <s v="#1774B9"/>
  </r>
  <r>
    <s v="0103"/>
    <n v="300"/>
    <s v="Violencia contra la mujer"/>
    <s v="Mujeres"/>
    <n v="2"/>
    <x v="5"/>
    <x v="1"/>
    <x v="2"/>
    <x v="18"/>
    <x v="2"/>
    <x v="5"/>
    <s v="Periodo 2013-2019"/>
    <s v="Número de sentencias"/>
    <s v="Poder Judicial"/>
    <s v="Sentencias Dictadas por Delitos de Abuso Sexual en el  Juzgado de Garantía de Villarrica para el Periodo 2013-2019"/>
    <s v="El gráfico muestra la evolución anual de la frecuencia de Sentencias Dictadas por Delitos de Abuso Sexual en el  Juzgado de Garantía de Villarrica para el Periodo 2013-2019 de acuerdo a datos provenientes del Poder Judicial de Chile."/>
    <s v="Gráfico de Evolución"/>
    <s v="abuso sexual delitos género violencia mujer mujeres casos víctimas detenciones sentencias juzgado garantía antofagasta"/>
    <s v="https://analytics.zoho.com/open-view/2395394000007166659?ZOHO_CRITERIA=%22Trasposicion_27.15%22.%22Id_Juzgado_Garant%C3%ADa%22%3D2"/>
    <x v="2"/>
    <s v="#1774B9"/>
  </r>
  <r>
    <s v="0104"/>
    <n v="300"/>
    <s v="Violencia contra la mujer"/>
    <s v="Mujeres"/>
    <n v="3"/>
    <x v="5"/>
    <x v="1"/>
    <x v="2"/>
    <x v="19"/>
    <x v="2"/>
    <x v="5"/>
    <s v="Periodo 2013-2019"/>
    <s v="Número de sentencias"/>
    <s v="Poder Judicial"/>
    <s v="Sentencias Dictadas por Delitos de Abuso Sexual en el  Juzgado de Garantía de Ancud para el Periodo 2013-2019"/>
    <s v="El gráfico muestra la evolución anual de la frecuencia de Sentencias Dictadas por Delitos de Abuso Sexual en el  Juzgado de Garantía de Ancud para el Periodo 2013-2019 de acuerdo a datos provenientes del Poder Judicial de Chile."/>
    <s v="Gráfico de Evolución"/>
    <s v="abuso sexual delitos género violencia mujer mujeres casos víctimas detenciones sentencias juzgado garantía calama"/>
    <s v="https://analytics.zoho.com/open-view/2395394000007166659?ZOHO_CRITERIA=%22Trasposicion_27.15%22.%22Id_Juzgado_Garant%C3%ADa%22%3D3"/>
    <x v="2"/>
    <s v="#1774B9"/>
  </r>
  <r>
    <s v="0105"/>
    <n v="300"/>
    <s v="Violencia contra la mujer"/>
    <s v="Mujeres"/>
    <n v="4"/>
    <x v="5"/>
    <x v="1"/>
    <x v="2"/>
    <x v="20"/>
    <x v="2"/>
    <x v="5"/>
    <s v="Periodo 2013-2019"/>
    <s v="Número de sentencias"/>
    <s v="Poder Judicial"/>
    <s v="Sentencias Dictadas por Delitos de Abuso Sexual en el  Juzgado de Garantía de Castro para el Periodo 2013-2019"/>
    <s v="El gráfico muestra la evolución anual de la frecuencia de Sentencias Dictadas por Delitos de Abuso Sexual en el  Juzgado de Garantía de Castro para el Periodo 2013-2019 de acuerdo a datos provenientes del Poder Judicial de Chile."/>
    <s v="Gráfico de Evolución"/>
    <s v="abuso sexual delitos género violencia mujer mujeres casos víctimas detenciones sentencias juzgado garantía tocopilla"/>
    <s v="https://analytics.zoho.com/open-view/2395394000007166659?ZOHO_CRITERIA=%22Trasposicion_27.15%22.%22Id_Juzgado_Garant%C3%ADa%22%3D4"/>
    <x v="2"/>
    <s v="#1774B9"/>
  </r>
  <r>
    <s v="0106"/>
    <n v="300"/>
    <s v="Violencia contra la mujer"/>
    <s v="Mujeres"/>
    <n v="5"/>
    <x v="5"/>
    <x v="1"/>
    <x v="2"/>
    <x v="21"/>
    <x v="2"/>
    <x v="5"/>
    <s v="Periodo 2013-2019"/>
    <s v="Número de sentencias"/>
    <s v="Poder Judicial"/>
    <s v="Sentencias Dictadas por Delitos de Abuso Sexual en el  Juzgado de Garantía de Osorno para el Periodo 2013-2019"/>
    <s v="El gráfico muestra la evolución anual de la frecuencia de Sentencias Dictadas por Delitos de Abuso Sexual en el  Juzgado de Garantía de Osorno para el Periodo 2013-2019 de acuerdo a datos provenientes del Poder Judicial de Chile."/>
    <s v="Gráfico de Evolución"/>
    <s v="abuso sexual delitos género violencia mujer mujeres casos víctimas detenciones sentencias juzgado garantía copiapo"/>
    <s v="https://analytics.zoho.com/open-view/2395394000007166659?ZOHO_CRITERIA=%22Trasposicion_27.15%22.%22Id_Juzgado_Garant%C3%ADa%22%3D5"/>
    <x v="3"/>
    <s v="#1774B9"/>
  </r>
  <r>
    <s v="0107"/>
    <n v="300"/>
    <s v="Violencia contra la mujer"/>
    <s v="Mujeres"/>
    <n v="6"/>
    <x v="5"/>
    <x v="1"/>
    <x v="2"/>
    <x v="22"/>
    <x v="2"/>
    <x v="5"/>
    <s v="Periodo 2013-2019"/>
    <s v="Número de sentencias"/>
    <s v="Poder Judicial"/>
    <s v="Sentencias Dictadas por Delitos de Abuso Sexual en el  Juzgado de Garantía de Puerto Montt para el Periodo 2013-2019"/>
    <s v="El gráfico muestra la evolución anual de la frecuencia de Sentencias Dictadas por Delitos de Abuso Sexual en el  Juzgado de Garantía de Puerto Montt para el Periodo 2013-2019 de acuerdo a datos provenientes del Poder Judicial de Chile."/>
    <s v="Gráfico de Evolución"/>
    <s v="abuso sexual delitos género violencia mujer mujeres casos víctimas detenciones sentencias juzgado garantía diego de almagro"/>
    <s v="https://analytics.zoho.com/open-view/2395394000007166659?ZOHO_CRITERIA=%22Trasposicion_27.15%22.%22Id_Juzgado_Garant%C3%ADa%22%3D6"/>
    <x v="3"/>
    <s v="#1774B9"/>
  </r>
  <r>
    <s v="0108"/>
    <n v="300"/>
    <s v="Violencia contra la mujer"/>
    <s v="Mujeres"/>
    <n v="7"/>
    <x v="5"/>
    <x v="1"/>
    <x v="2"/>
    <x v="23"/>
    <x v="2"/>
    <x v="5"/>
    <s v="Periodo 2013-2019"/>
    <s v="Número de sentencias"/>
    <s v="Poder Judicial"/>
    <s v="Sentencias Dictadas por Delitos de Abuso Sexual en el  Juzgado de Garantía de Puerto Varas para el Periodo 2013-2019"/>
    <s v="El gráfico muestra la evolución anual de la frecuencia de Sentencias Dictadas por Delitos de Abuso Sexual en el  Juzgado de Garantía de Puerto Varas para el Periodo 2013-2019 de acuerdo a datos provenientes del Poder Judicial de Chile."/>
    <s v="Gráfico de Evolución"/>
    <s v="abuso sexual delitos género violencia mujer mujeres casos víctimas detenciones sentencias juzgado garantía vallenar"/>
    <s v="https://analytics.zoho.com/open-view/2395394000007166659?ZOHO_CRITERIA=%22Trasposicion_27.15%22.%22Id_Juzgado_Garant%C3%ADa%22%3D7"/>
    <x v="3"/>
    <s v="#1774B9"/>
  </r>
  <r>
    <s v="0109"/>
    <n v="300"/>
    <s v="Violencia contra la mujer"/>
    <s v="Mujeres"/>
    <n v="8"/>
    <x v="5"/>
    <x v="1"/>
    <x v="2"/>
    <x v="24"/>
    <x v="2"/>
    <x v="5"/>
    <s v="Periodo 2013-2019"/>
    <s v="Número de sentencias"/>
    <s v="Poder Judicial"/>
    <s v="Sentencias Dictadas por Delitos de Abuso Sexual en el  Juzgado de Garantía de Rio Negro para el Periodo 2013-2019"/>
    <s v="El gráfico muestra la evolución anual de la frecuencia de Sentencias Dictadas por Delitos de Abuso Sexual en el  Juzgado de Garantía de Rio Negro para el Periodo 2013-2019 de acuerdo a datos provenientes del Poder Judicial de Chile."/>
    <s v="Gráfico de Evolución"/>
    <s v="abuso sexual delitos género violencia mujer mujeres casos víctimas detenciones sentencias juzgado garantía coquimbo"/>
    <s v="https://analytics.zoho.com/open-view/2395394000007166659?ZOHO_CRITERIA=%22Trasposicion_27.15%22.%22Id_Juzgado_Garant%C3%ADa%22%3D8"/>
    <x v="4"/>
    <s v="#1774B9"/>
  </r>
  <r>
    <s v="0110"/>
    <n v="300"/>
    <s v="Violencia contra la mujer"/>
    <s v="Mujeres"/>
    <n v="9"/>
    <x v="5"/>
    <x v="1"/>
    <x v="2"/>
    <x v="25"/>
    <x v="2"/>
    <x v="5"/>
    <s v="Periodo 2013-2019"/>
    <s v="Número de sentencias"/>
    <s v="Poder Judicial"/>
    <s v="Sentencias Dictadas por Delitos de Abuso Sexual en el  Juzgado de Garantía de Coyhaique para el Periodo 2013-2019"/>
    <s v="El gráfico muestra la evolución anual de la frecuencia de Sentencias Dictadas por Delitos de Abuso Sexual en el  Juzgado de Garantía de Coyhaique para el Periodo 2013-2019 de acuerdo a datos provenientes del Poder Judicial de Chile."/>
    <s v="Gráfico de Evolución"/>
    <s v="abuso sexual delitos género violencia mujer mujeres casos víctimas detenciones sentencias juzgado garantía illapel"/>
    <s v="https://analytics.zoho.com/open-view/2395394000007166659?ZOHO_CRITERIA=%22Trasposicion_27.15%22.%22Id_Juzgado_Garant%C3%ADa%22%3D9"/>
    <x v="4"/>
    <s v="#1774B9"/>
  </r>
  <r>
    <s v="0111"/>
    <n v="300"/>
    <s v="Violencia contra la mujer"/>
    <s v="Mujeres"/>
    <n v="10"/>
    <x v="5"/>
    <x v="1"/>
    <x v="2"/>
    <x v="26"/>
    <x v="2"/>
    <x v="5"/>
    <s v="Periodo 2013-2019"/>
    <s v="Número de sentencias"/>
    <s v="Poder Judicial"/>
    <s v="Sentencias Dictadas por Delitos de Abuso Sexual en el  Juzgado de Garantía de Punta Arenas para el Periodo 2013-2019"/>
    <s v="El gráfico muestra la evolución anual de la frecuencia de Sentencias Dictadas por Delitos de Abuso Sexual en el  Juzgado de Garantía de Punta Arenas para el Periodo 2013-2019 de acuerdo a datos provenientes del Poder Judicial de Chile."/>
    <s v="Gráfico de Evolución"/>
    <s v="abuso sexual delitos género violencia mujer mujeres casos víctimas detenciones sentencias juzgado garantía la serena"/>
    <s v="https://analytics.zoho.com/open-view/2395394000007166659?ZOHO_CRITERIA=%22Trasposicion_27.15%22.%22Id_Juzgado_Garant%C3%ADa%22%3D10"/>
    <x v="4"/>
    <s v="#1774B9"/>
  </r>
  <r>
    <s v="0112"/>
    <n v="300"/>
    <s v="Violencia contra la mujer"/>
    <s v="Mujeres"/>
    <n v="11"/>
    <x v="5"/>
    <x v="1"/>
    <x v="2"/>
    <x v="27"/>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ovalle"/>
    <s v="https://analytics.zoho.com/open-view/2395394000007166659?ZOHO_CRITERIA=%22Trasposicion_27.15%22.%22Id_Juzgado_Garant%C3%ADa%22%3D11"/>
    <x v="4"/>
    <s v="#1774B9"/>
  </r>
  <r>
    <s v="0113"/>
    <n v="300"/>
    <s v="Violencia contra la mujer"/>
    <s v="Mujeres"/>
    <n v="12"/>
    <x v="5"/>
    <x v="1"/>
    <x v="2"/>
    <x v="28"/>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icuña"/>
    <s v="https://analytics.zoho.com/open-view/2395394000007166659?ZOHO_CRITERIA=%22Trasposicion_27.15%22.%22Id_Juzgado_Garant%C3%ADa%22%3D12"/>
    <x v="4"/>
    <s v="#1774B9"/>
  </r>
  <r>
    <s v="0114"/>
    <n v="300"/>
    <s v="Violencia contra la mujer"/>
    <s v="Mujeres"/>
    <n v="13"/>
    <x v="5"/>
    <x v="1"/>
    <x v="2"/>
    <x v="29"/>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calera"/>
    <s v="https://analytics.zoho.com/open-view/2395394000007166659?ZOHO_CRITERIA=%22Trasposicion_27.15%22.%22Id_Juzgado_Garant%C3%ADa%22%3D13"/>
    <x v="5"/>
    <s v="#1774B9"/>
  </r>
  <r>
    <s v="0115"/>
    <n v="300"/>
    <s v="Violencia contra la mujer"/>
    <s v="Mujeres"/>
    <n v="14"/>
    <x v="5"/>
    <x v="1"/>
    <x v="2"/>
    <x v="30"/>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la ligua"/>
    <s v="https://analytics.zoho.com/open-view/2395394000007166659?ZOHO_CRITERIA=%22Trasposicion_27.15%22.%22Id_Juzgado_Garant%C3%ADa%22%3D14"/>
    <x v="5"/>
    <s v="#1774B9"/>
  </r>
  <r>
    <s v="0116"/>
    <n v="300"/>
    <s v="Violencia contra la mujer"/>
    <s v="Mujeres"/>
    <n v="15"/>
    <x v="5"/>
    <x v="1"/>
    <x v="2"/>
    <x v="31"/>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limache"/>
    <s v="https://analytics.zoho.com/open-view/2395394000007166659?ZOHO_CRITERIA=%22Trasposicion_27.15%22.%22Id_Juzgado_Garant%C3%ADa%22%3D15"/>
    <x v="5"/>
    <s v="#1774B9"/>
  </r>
  <r>
    <s v="0117"/>
    <n v="300"/>
    <s v="Violencia contra la mujer"/>
    <s v="Mujeres"/>
    <n v="16"/>
    <x v="5"/>
    <x v="1"/>
    <x v="2"/>
    <x v="32"/>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los andes"/>
    <s v="https://analytics.zoho.com/open-view/2395394000007166659?ZOHO_CRITERIA=%22Trasposicion_27.15%22.%22Id_Juzgado_Garant%C3%ADa%22%3D16"/>
    <x v="5"/>
    <s v="#1774B9"/>
  </r>
  <r>
    <s v="0118"/>
    <n v="300"/>
    <s v="Violencia contra la mujer"/>
    <s v="Mujeres"/>
    <n v="17"/>
    <x v="5"/>
    <x v="1"/>
    <x v="2"/>
    <x v="33"/>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quillota"/>
    <s v="https://analytics.zoho.com/open-view/2395394000007166659?ZOHO_CRITERIA=%22Trasposicion_27.15%22.%22Id_Juzgado_Garant%C3%ADa%22%3D17"/>
    <x v="5"/>
    <s v="#1774B9"/>
  </r>
  <r>
    <s v="0119"/>
    <n v="300"/>
    <s v="Violencia contra la mujer"/>
    <s v="Mujeres"/>
    <n v="18"/>
    <x v="5"/>
    <x v="1"/>
    <x v="2"/>
    <x v="34"/>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quilpue"/>
    <s v="https://analytics.zoho.com/open-view/2395394000007166659?ZOHO_CRITERIA=%22Trasposicion_27.15%22.%22Id_Juzgado_Garant%C3%ADa%22%3D18"/>
    <x v="5"/>
    <s v="#1774B9"/>
  </r>
  <r>
    <s v="0120"/>
    <n v="300"/>
    <s v="Violencia contra la mujer"/>
    <s v="Mujeres"/>
    <n v="19"/>
    <x v="5"/>
    <x v="1"/>
    <x v="2"/>
    <x v="35"/>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san Felipe"/>
    <s v="https://analytics.zoho.com/open-view/2395394000007166659?ZOHO_CRITERIA=%22Trasposicion_27.15%22.%22Id_Juzgado_Garant%C3%ADa%22%3D19"/>
    <x v="5"/>
    <s v="#1774B9"/>
  </r>
  <r>
    <s v="0121"/>
    <n v="300"/>
    <s v="Violencia contra la mujer"/>
    <s v="Mujeres"/>
    <n v="20"/>
    <x v="5"/>
    <x v="1"/>
    <x v="2"/>
    <x v="36"/>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alparaiso"/>
    <s v="https://analytics.zoho.com/open-view/2395394000007166659?ZOHO_CRITERIA=%22Trasposicion_27.15%22.%22Id_Juzgado_Garant%C3%ADa%22%3D20"/>
    <x v="5"/>
    <s v="#1774B9"/>
  </r>
  <r>
    <s v="0122"/>
    <n v="300"/>
    <s v="Violencia contra la mujer"/>
    <s v="Mujeres"/>
    <n v="21"/>
    <x v="5"/>
    <x v="1"/>
    <x v="2"/>
    <x v="37"/>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illa alemana"/>
    <s v="https://analytics.zoho.com/open-view/2395394000007166659?ZOHO_CRITERIA=%22Trasposicion_27.15%22.%22Id_Juzgado_Garant%C3%ADa%22%3D21"/>
    <x v="5"/>
    <s v="#1774B9"/>
  </r>
  <r>
    <s v="0123"/>
    <n v="300"/>
    <s v="Violencia contra la mujer"/>
    <s v="Mujeres"/>
    <n v="22"/>
    <x v="5"/>
    <x v="1"/>
    <x v="2"/>
    <x v="38"/>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viña del mar"/>
    <s v="https://analytics.zoho.com/open-view/2395394000007166659?ZOHO_CRITERIA=%22Trasposicion_27.15%22.%22Id_Juzgado_Garant%C3%ADa%22%3D22"/>
    <x v="5"/>
    <s v="#1774B9"/>
  </r>
  <r>
    <s v="0124"/>
    <n v="300"/>
    <s v="Violencia contra la mujer"/>
    <s v="Mujeres"/>
    <n v="23"/>
    <x v="5"/>
    <x v="1"/>
    <x v="2"/>
    <x v="39"/>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graneros"/>
    <s v="https://analytics.zoho.com/open-view/2395394000007166659?ZOHO_CRITERIA=%22Trasposicion_27.15%22.%22Id_Juzgado_Garant%C3%ADa%22%3D23"/>
    <x v="6"/>
    <s v="#1774B9"/>
  </r>
  <r>
    <s v="0125"/>
    <n v="300"/>
    <s v="Violencia contra la mujer"/>
    <s v="Mujeres"/>
    <n v="24"/>
    <x v="5"/>
    <x v="1"/>
    <x v="2"/>
    <x v="40"/>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rancagua"/>
    <s v="https://analytics.zoho.com/open-view/2395394000007166659?ZOHO_CRITERIA=%22Trasposicion_27.15%22.%22Id_Juzgado_Garant%C3%ADa%22%3D24"/>
    <x v="6"/>
    <s v="#1774B9"/>
  </r>
  <r>
    <s v="0126"/>
    <n v="300"/>
    <s v="Violencia contra la mujer"/>
    <s v="Mujeres"/>
    <n v="25"/>
    <x v="5"/>
    <x v="1"/>
    <x v="2"/>
    <x v="41"/>
    <x v="2"/>
    <x v="5"/>
    <s v="Periodo 2013-2019"/>
    <s v="Número de sentencias"/>
    <s v="Poder Judicial"/>
    <s v="Sentencias Dictadas por Delitos de Abuso Sexual en el  Juzgado de Garantía de Santiago para el Periodo 2013-2019"/>
    <s v="El gráfico muestra la evolución anual de la frecuencia de Sentencias Dictadas por Delitos de Abuso Sexual en el  Juzgado de Garantía de Santiago para el Periodo 2013-2019 de acuerdo a datos provenientes del Poder Judicial de Chile."/>
    <s v="Gráfico de Evolución"/>
    <s v="abuso sexual delitos género violencia mujer mujeres casos víctimas detenciones sentencias juzgado garantía rengo"/>
    <s v="https://analytics.zoho.com/open-view/2395394000007166659?ZOHO_CRITERIA=%22Trasposicion_27.15%22.%22Id_Juzgado_Garant%C3%ADa%22%3D25"/>
    <x v="6"/>
    <s v="#1774B9"/>
  </r>
  <r>
    <s v="0127"/>
    <n v="300"/>
    <s v="Violencia contra la mujer"/>
    <s v="Mujeres"/>
    <n v="26"/>
    <x v="5"/>
    <x v="1"/>
    <x v="2"/>
    <x v="42"/>
    <x v="2"/>
    <x v="5"/>
    <s v="Periodo 2013-2019"/>
    <s v="Número de sentencias"/>
    <s v="Poder Judicial"/>
    <s v="Sentencias Dictadas por Delitos de Abuso Sexual en el  Juzgado de Garantía de Los Lagos para el Periodo 2013-2019"/>
    <s v="El gráfico muestra la evolución anual de la frecuencia de Sentencias Dictadas por Delitos de Abuso Sexual en el  Juzgado de Garantía de Los Lagos para el Periodo 2013-2019 de acuerdo a datos provenientes del Poder Judicial de Chile."/>
    <s v="Gráfico de Evolución"/>
    <s v="abuso sexual delitos género violencia mujer mujeres casos víctimas detenciones sentencias juzgado garantía san Fernando"/>
    <s v="https://analytics.zoho.com/open-view/2395394000007166659?ZOHO_CRITERIA=%22Trasposicion_27.15%22.%22Id_Juzgado_Garant%C3%ADa%22%3D26"/>
    <x v="6"/>
    <s v="#1774B9"/>
  </r>
  <r>
    <s v="0128"/>
    <n v="300"/>
    <s v="Violencia contra la mujer"/>
    <s v="Mujeres"/>
    <n v="27"/>
    <x v="5"/>
    <x v="1"/>
    <x v="2"/>
    <x v="43"/>
    <x v="2"/>
    <x v="5"/>
    <s v="Periodo 2013-2019"/>
    <s v="Número de sentencias"/>
    <s v="Poder Judicial"/>
    <s v="Sentencias Dictadas por Delitos de Abuso Sexual en el  Juzgado de Garantía de Mariquina para el Periodo 2013-2019"/>
    <s v="El gráfico muestra la evolución anual de la frecuencia de Sentencias Dictadas por Delitos de Abuso Sexual en el  Juzgado de Garantía de Mariquina para el Periodo 2013-2019 de acuerdo a datos provenientes del Poder Judicial de Chile."/>
    <s v="Gráfico de Evolución"/>
    <s v="abuso sexual delitos género violencia mujer mujeres casos víctimas detenciones sentencias juzgado garantía san vicente"/>
    <s v="https://analytics.zoho.com/open-view/2395394000007166659?ZOHO_CRITERIA=%22Trasposicion_27.15%22.%22Id_Juzgado_Garant%C3%ADa%22%3D27"/>
    <x v="6"/>
    <s v="#1774B9"/>
  </r>
  <r>
    <s v="0129"/>
    <n v="300"/>
    <s v="Violencia contra la mujer"/>
    <s v="Mujeres"/>
    <n v="28"/>
    <x v="5"/>
    <x v="1"/>
    <x v="2"/>
    <x v="44"/>
    <x v="2"/>
    <x v="5"/>
    <s v="Periodo 2013-2019"/>
    <s v="Número de sentencias"/>
    <s v="Poder Judicial"/>
    <s v="Sentencias Dictadas por Delitos de Abuso Sexual en el  Juzgado de Garantía de Valdivia para el Periodo 2013-2019"/>
    <s v="El gráfico muestra la evolución anual de la frecuencia de Sentencias Dictadas por Delitos de Abuso Sexual en el  Juzgado de Garantía de Valdivia para el Periodo 2013-2019 de acuerdo a datos provenientes del Poder Judicial de Chile."/>
    <s v="Gráfico de Evolución"/>
    <s v="abuso sexual delitos género violencia mujer mujeres casos víctimas detenciones sentencias juzgado garantía santa cruz"/>
    <s v="https://analytics.zoho.com/open-view/2395394000007166659?ZOHO_CRITERIA=%22Trasposicion_27.15%22.%22Id_Juzgado_Garant%C3%ADa%22%3D28"/>
    <x v="6"/>
    <s v="#1774B9"/>
  </r>
  <r>
    <s v="0130"/>
    <n v="300"/>
    <s v="Violencia contra la mujer"/>
    <s v="Mujeres"/>
    <n v="29"/>
    <x v="5"/>
    <x v="1"/>
    <x v="2"/>
    <x v="45"/>
    <x v="2"/>
    <x v="5"/>
    <s v="Periodo 2013-2019"/>
    <s v="Número de sentencias"/>
    <s v="Poder Judicial"/>
    <s v="Sentencias Dictadas por Delitos de Abuso Sexual en el  Juzgado de Garantía de Arica para el Periodo 2013-2019"/>
    <s v="El gráfico muestra la evolución anual de la frecuencia de Sentencias Dictadas por Delitos de Abuso Sexual en el  Juzgado de Garantía de Arica para el Periodo 2013-2019 de acuerdo a datos provenientes del Poder Judicial de Chile."/>
    <s v="Gráfico de Evolución"/>
    <s v="abuso sexual delitos género violencia mujer mujeres casos víctimas detenciones sentencias juzgado garantía cauquenes"/>
    <s v="https://analytics.zoho.com/open-view/2395394000007166659?ZOHO_CRITERIA=%22Trasposicion_27.15%22.%22Id_Juzgado_Garant%C3%ADa%22%3D29"/>
    <x v="7"/>
    <s v="#1774B9"/>
  </r>
  <r>
    <s v="0131"/>
    <n v="300"/>
    <s v="Violencia contra la mujer"/>
    <s v="Mujeres"/>
    <n v="30"/>
    <x v="5"/>
    <x v="1"/>
    <x v="2"/>
    <x v="46"/>
    <x v="2"/>
    <x v="5"/>
    <s v="Periodo 2013-2019"/>
    <s v="Número de sentencias"/>
    <s v="Poder Judicial"/>
    <s v="Sentencias Dictadas por Delitos de Abuso Sexual en el  Juzgado de Garantía de Chillan para el Periodo 2013-2019"/>
    <s v="El gráfico muestra la evolución anual de la frecuencia de Sentencias Dictadas por Delitos de Abuso Sexual en el  Juzgado de Garantía de Chillan para el Periodo 2013-2019 de acuerdo a datos provenientes del Poder Judicial de Chile."/>
    <s v="Gráfico de Evolución"/>
    <s v="abuso sexual delitos género violencia mujer mujeres casos víctimas detenciones sentencias juzgado garantía constitucion"/>
    <s v="https://analytics.zoho.com/open-view/2395394000007166659?ZOHO_CRITERIA=%22Trasposicion_27.15%22.%22Id_Juzgado_Garant%C3%ADa%22%3D30"/>
    <x v="7"/>
    <s v="#1774B9"/>
  </r>
  <r>
    <s v="0132"/>
    <n v="300"/>
    <s v="Violencia contra la mujer"/>
    <s v="Mujeres"/>
    <n v="31"/>
    <x v="5"/>
    <x v="1"/>
    <x v="2"/>
    <x v="47"/>
    <x v="2"/>
    <x v="5"/>
    <s v="Periodo 2013-2019"/>
    <s v="Número de sentencias"/>
    <s v="Poder Judicial"/>
    <s v="Sentencias Dictadas por Delitos de Abuso Sexual en el  Juzgado de Garantía de San Carlos para el Periodo 2013-2019"/>
    <s v="El gráfico muestra la evolución anual de la frecuencia de Sentencias Dictadas por Delitos de Abuso Sexual en el  Juzgado de Garantía de San Carlos para el Periodo 2013-2019 de acuerdo a datos provenientes del Poder Judicial de Chile."/>
    <s v="Gráfico de Evolución"/>
    <s v="abuso sexual delitos género violencia mujer mujeres casos víctimas detenciones sentencias juzgado garantía curico"/>
    <s v="https://analytics.zoho.com/open-view/2395394000007166659?ZOHO_CRITERIA=%22Trasposicion_27.15%22.%22Id_Juzgado_Garant%C3%ADa%22%3D31"/>
    <x v="7"/>
    <s v="#1774B9"/>
  </r>
  <r>
    <s v="0133"/>
    <n v="300"/>
    <s v="Violencia contra la mujer"/>
    <s v="Mujeres"/>
    <n v="32"/>
    <x v="5"/>
    <x v="1"/>
    <x v="2"/>
    <x v="48"/>
    <x v="2"/>
    <x v="5"/>
    <s v="Periodo 2013-2019"/>
    <s v="Número de sentencias"/>
    <s v="Poder Judicial"/>
    <s v="Sentencias Dictadas por Delitos de Abuso Sexual en el  Juzgado de Garantía de Yungay para el Periodo 2013-2019"/>
    <s v="El gráfico muestra la evolución anual de la frecuencia de Sentencias Dictadas por Delitos de Abuso Sexual en el  Juzgado de Garantía de Yungay para el Periodo 2013-2019 de acuerdo a datos provenientes del Poder Judicial de Chile."/>
    <s v="Gráfico de Evolución"/>
    <s v="abuso sexual delitos género violencia mujer mujeres casos víctimas detenciones sentencias juzgado garantía linares"/>
    <s v="https://analytics.zoho.com/open-view/2395394000007166659?ZOHO_CRITERIA=%22Trasposicion_27.15%22.%22Id_Juzgado_Garant%C3%ADa%22%3D32"/>
    <x v="7"/>
    <s v="#1774B9"/>
  </r>
  <r>
    <s v="0134"/>
    <n v="300"/>
    <s v="Violencia contra la mujer"/>
    <s v="Mujeres"/>
    <n v="33"/>
    <x v="5"/>
    <x v="1"/>
    <x v="2"/>
    <x v="49"/>
    <x v="2"/>
    <x v="5"/>
    <s v="Periodo 2013-2019"/>
    <s v="Número de sentencias"/>
    <s v="Poder Judicial"/>
    <s v="Sentencias Dictadas por Delitos de Abuso Sexual en el  Juzgado de Garantía de Iquique para el Periodo 2013-2019"/>
    <s v="El gráfico muestra la evolución anual de la frecuencia de Sentencias Dictadas por Delitos de Abuso Sexual en el  Juzgado de Garantía de Iquique para el Periodo 2013-2019 de acuerdo a datos provenientes del Poder Judicial de Chile."/>
    <s v="Gráfico de Evolución"/>
    <s v="abuso sexual delitos género violencia mujer mujeres casos víctimas detenciones sentencias juzgado garantía molina"/>
    <s v="https://analytics.zoho.com/open-view/2395394000007166659?ZOHO_CRITERIA=%22Trasposicion_27.15%22.%22Id_Juzgado_Garant%C3%ADa%22%3D33"/>
    <x v="7"/>
    <s v="#1774B9"/>
  </r>
  <r>
    <s v="0135"/>
    <n v="300"/>
    <s v="Violencia contra la mujer"/>
    <s v="Mujeres"/>
    <n v="34"/>
    <x v="5"/>
    <x v="1"/>
    <x v="2"/>
    <x v="50"/>
    <x v="2"/>
    <x v="5"/>
    <s v="Periodo 2013-2019"/>
    <s v="Número de sentencias"/>
    <s v="Poder Judicial"/>
    <s v="Sentencias Dictadas por Delitos de Abuso Sexual en el  Juzgado de Garantía de Antofagasta para el Periodo 2013-2019"/>
    <s v="El gráfico muestra la evolución anual de la frecuencia de Sentencias Dictadas por Delitos de Abuso Sexual en el  Juzgado de Garantía de Antofagasta para el Periodo 2013-2019 de acuerdo a datos provenientes del Poder Judicial de Chile."/>
    <s v="Gráfico de Evolución"/>
    <s v="abuso sexual delitos género violencia mujer mujeres casos víctimas detenciones sentencias juzgado garantía parral"/>
    <s v="https://analytics.zoho.com/open-view/2395394000007166659?ZOHO_CRITERIA=%22Trasposicion_27.15%22.%22Id_Juzgado_Garant%C3%ADa%22%3D34"/>
    <x v="7"/>
    <s v="#1774B9"/>
  </r>
  <r>
    <s v="0136"/>
    <n v="300"/>
    <s v="Violencia contra la mujer"/>
    <s v="Mujeres"/>
    <n v="35"/>
    <x v="5"/>
    <x v="1"/>
    <x v="2"/>
    <x v="51"/>
    <x v="2"/>
    <x v="5"/>
    <s v="Periodo 2013-2019"/>
    <s v="Número de sentencias"/>
    <s v="Poder Judicial"/>
    <s v="Sentencias Dictadas por Delitos de Abuso Sexual en el  Juzgado de Garantía de Calama para el Periodo 2013-2019"/>
    <s v="El gráfico muestra la evolución anual de la frecuencia de Sentencias Dictadas por Delitos de Abuso Sexual en el  Juzgado de Garantía de Calama para el Periodo 2013-2019 de acuerdo a datos provenientes del Poder Judicial de Chile."/>
    <s v="Gráfico de Evolución"/>
    <s v="abuso sexual delitos género violencia mujer mujeres casos víctimas detenciones sentencias juzgado garantía san Javier"/>
    <s v="https://analytics.zoho.com/open-view/2395394000007166659?ZOHO_CRITERIA=%22Trasposicion_27.15%22.%22Id_Juzgado_Garant%C3%ADa%22%3D35"/>
    <x v="7"/>
    <s v="#1774B9"/>
  </r>
  <r>
    <s v="0137"/>
    <n v="300"/>
    <s v="Violencia contra la mujer"/>
    <s v="Mujeres"/>
    <n v="36"/>
    <x v="5"/>
    <x v="1"/>
    <x v="2"/>
    <x v="52"/>
    <x v="2"/>
    <x v="5"/>
    <s v="Periodo 2013-2019"/>
    <s v="Número de sentencias"/>
    <s v="Poder Judicial"/>
    <s v="Sentencias Dictadas por Delitos de Abuso Sexual en el  Juzgado de Garantía de Tocopilla para el Periodo 2013-2019"/>
    <s v="El gráfico muestra la evolución anual de la frecuencia de Sentencias Dictadas por Delitos de Abuso Sexual en el  Juzgado de Garantía de Tocopilla para el Periodo 2013-2019 de acuerdo a datos provenientes del Poder Judicial de Chile."/>
    <s v="Gráfico de Evolución"/>
    <s v="abuso sexual delitos género violencia mujer mujeres casos víctimas detenciones sentencias juzgado garantía talca"/>
    <s v="https://analytics.zoho.com/open-view/2395394000007166659?ZOHO_CRITERIA=%22Trasposicion_27.15%22.%22Id_Juzgado_Garant%C3%ADa%22%3D36"/>
    <x v="7"/>
    <s v="#1774B9"/>
  </r>
  <r>
    <s v="0138"/>
    <n v="300"/>
    <s v="Violencia contra la mujer"/>
    <s v="Mujeres"/>
    <n v="37"/>
    <x v="5"/>
    <x v="1"/>
    <x v="2"/>
    <x v="53"/>
    <x v="2"/>
    <x v="5"/>
    <s v="Periodo 2013-2019"/>
    <s v="Número de sentencias"/>
    <s v="Poder Judicial"/>
    <s v="Sentencias Dictadas por Delitos de Abuso Sexual en el  Juzgado de Garantía de Copiapo para el Periodo 2013-2019"/>
    <s v="El gráfico muestra la evolución anual de la frecuencia de Sentencias Dictadas por Delitos de Abuso Sexual en el  Juzgado de Garantía de Copiapo para el Periodo 2013-2019 de acuerdo a datos provenientes del Poder Judicial de Chile."/>
    <s v="Gráfico de Evolución"/>
    <s v="abuso sexual delitos género violencia mujer mujeres casos víctimas detenciones sentencias juzgado garantía arauco"/>
    <s v="https://analytics.zoho.com/open-view/2395394000007166659?ZOHO_CRITERIA=%22Trasposicion_27.15%22.%22Id_Juzgado_Garant%C3%ADa%22%3D37"/>
    <x v="8"/>
    <s v="#1774B9"/>
  </r>
  <r>
    <s v="0139"/>
    <n v="300"/>
    <s v="Violencia contra la mujer"/>
    <s v="Mujeres"/>
    <n v="38"/>
    <x v="5"/>
    <x v="1"/>
    <x v="2"/>
    <x v="54"/>
    <x v="2"/>
    <x v="5"/>
    <s v="Periodo 2013-2019"/>
    <s v="Número de sentencias"/>
    <s v="Poder Judicial"/>
    <s v="Sentencias Dictadas por Delitos de Abuso Sexual en el  Juzgado de Garantía de Diego de Almagro para el Periodo 2013-2019"/>
    <s v="El gráfico muestra la evolución anual de la frecuencia de Sentencias Dictadas por Delitos de Abuso Sexual en el  Juzgado de Garantía de Diego de Almagro para el Periodo 2013-2019 de acuerdo a datos provenientes del Poder Judicial de Chile."/>
    <s v="Gráfico de Evolución"/>
    <s v="abuso sexual delitos género violencia mujer mujeres casos víctimas detenciones sentencias juzgado garantía cañete"/>
    <s v="https://analytics.zoho.com/open-view/2395394000007166659?ZOHO_CRITERIA=%22Trasposicion_27.15%22.%22Id_Juzgado_Garant%C3%ADa%22%3D38"/>
    <x v="8"/>
    <s v="#1774B9"/>
  </r>
  <r>
    <s v="0140"/>
    <n v="300"/>
    <s v="Violencia contra la mujer"/>
    <s v="Mujeres"/>
    <n v="39"/>
    <x v="5"/>
    <x v="1"/>
    <x v="2"/>
    <x v="55"/>
    <x v="2"/>
    <x v="5"/>
    <s v="Periodo 2013-2019"/>
    <s v="Número de sentencias"/>
    <s v="Poder Judicial"/>
    <s v="Sentencias Dictadas por Delitos de Abuso Sexual en el  Juzgado de Garantía de Vallenar para el Periodo 2013-2019"/>
    <s v="El gráfico muestra la evolución anual de la frecuencia de Sentencias Dictadas por Delitos de Abuso Sexual en el  Juzgado de Garantía de Vallenar para el Periodo 2013-2019 de acuerdo a datos provenientes del Poder Judicial de Chile."/>
    <s v="Gráfico de Evolución"/>
    <s v="abuso sexual delitos género violencia mujer mujeres casos víctimas detenciones sentencias juzgado garantía chiguayante"/>
    <s v="https://analytics.zoho.com/open-view/2395394000007166659?ZOHO_CRITERIA=%22Trasposicion_27.15%22.%22Id_Juzgado_Garant%C3%ADa%22%3D39"/>
    <x v="8"/>
    <s v="#1774B9"/>
  </r>
  <r>
    <s v="0141"/>
    <n v="300"/>
    <s v="Violencia contra la mujer"/>
    <s v="Mujeres"/>
    <n v="40"/>
    <x v="5"/>
    <x v="1"/>
    <x v="2"/>
    <x v="56"/>
    <x v="2"/>
    <x v="5"/>
    <s v="Periodo 2013-2019"/>
    <s v="Número de sentencias"/>
    <s v="Poder Judicial"/>
    <s v="Sentencias Dictadas por Delitos de Abuso Sexual en el  Juzgado de Garantía de Coquimbo para el Periodo 2013-2019"/>
    <s v="El gráfico muestra la evolución anual de la frecuencia de Sentencias Dictadas por Delitos de Abuso Sexual en el  Juzgado de Garantía de Coquimbo para el Periodo 2013-2019 de acuerdo a datos provenientes del Poder Judicial de Chile."/>
    <s v="Gráfico de Evolución"/>
    <s v="abuso sexual delitos género violencia mujer mujeres casos víctimas detenciones sentencias juzgado garantía concepcion"/>
    <s v="https://analytics.zoho.com/open-view/2395394000007166659?ZOHO_CRITERIA=%22Trasposicion_27.15%22.%22Id_Juzgado_Garant%C3%ADa%22%3D40"/>
    <x v="8"/>
    <s v="#1774B9"/>
  </r>
  <r>
    <s v="0142"/>
    <n v="300"/>
    <s v="Violencia contra la mujer"/>
    <s v="Mujeres"/>
    <n v="41"/>
    <x v="5"/>
    <x v="1"/>
    <x v="2"/>
    <x v="57"/>
    <x v="2"/>
    <x v="5"/>
    <s v="Periodo 2013-2019"/>
    <s v="Número de sentencias"/>
    <s v="Poder Judicial"/>
    <s v="Sentencias Dictadas por Delitos de Abuso Sexual en el  Juzgado de Garantía de Illapel para el Periodo 2013-2019"/>
    <s v="El gráfico muestra la evolución anual de la frecuencia de Sentencias Dictadas por Delitos de Abuso Sexual en el  Juzgado de Garantía de Illapel para el Periodo 2013-2019 de acuerdo a datos provenientes del Poder Judicial de Chile."/>
    <s v="Gráfico de Evolución"/>
    <s v="abuso sexual delitos género violencia mujer mujeres casos víctimas detenciones sentencias juzgado garantía coronel"/>
    <s v="https://analytics.zoho.com/open-view/2395394000007166659?ZOHO_CRITERIA=%22Trasposicion_27.15%22.%22Id_Juzgado_Garant%C3%ADa%22%3D41"/>
    <x v="8"/>
    <s v="#1774B9"/>
  </r>
  <r>
    <s v="0143"/>
    <n v="300"/>
    <s v="Violencia contra la mujer"/>
    <s v="Mujeres"/>
    <n v="42"/>
    <x v="5"/>
    <x v="1"/>
    <x v="2"/>
    <x v="58"/>
    <x v="2"/>
    <x v="5"/>
    <s v="Periodo 2013-2019"/>
    <s v="Número de sentencias"/>
    <s v="Poder Judicial"/>
    <s v="Sentencias Dictadas por Delitos de Abuso Sexual en el  Juzgado de Garantía de La Serena para el Periodo 2013-2019"/>
    <s v="El gráfico muestra la evolución anual de la frecuencia de Sentencias Dictadas por Delitos de Abuso Sexual en el  Juzgado de Garantía de La Serena para el Periodo 2013-2019 de acuerdo a datos provenientes del Poder Judicial de Chile."/>
    <s v="Gráfico de Evolución"/>
    <s v="abuso sexual delitos género violencia mujer mujeres casos víctimas detenciones sentencias juzgado garantía los angeles"/>
    <s v="https://analytics.zoho.com/open-view/2395394000007166659?ZOHO_CRITERIA=%22Trasposicion_27.15%22.%22Id_Juzgado_Garant%C3%ADa%22%3D42"/>
    <x v="8"/>
    <s v="#1774B9"/>
  </r>
  <r>
    <s v="0144"/>
    <n v="300"/>
    <s v="Violencia contra la mujer"/>
    <s v="Mujeres"/>
    <n v="43"/>
    <x v="5"/>
    <x v="1"/>
    <x v="2"/>
    <x v="59"/>
    <x v="2"/>
    <x v="5"/>
    <s v="Periodo 2013-2019"/>
    <s v="Número de sentencias"/>
    <s v="Poder Judicial"/>
    <s v="Sentencias Dictadas por Delitos de Abuso Sexual en el  Juzgado de Garantía de Ovalle para el Periodo 2013-2019"/>
    <s v="El gráfico muestra la evolución anual de la frecuencia de Sentencias Dictadas por Delitos de Abuso Sexual en el  Juzgado de Garantía de Ovalle para el Periodo 2013-2019 de acuerdo a datos provenientes del Poder Judicial de Chile."/>
    <s v="Gráfico de Evolución"/>
    <s v="abuso sexual delitos género violencia mujer mujeres casos víctimas detenciones sentencias juzgado garantía talcahuano"/>
    <s v="https://analytics.zoho.com/open-view/2395394000007166659?ZOHO_CRITERIA=%22Trasposicion_27.15%22.%22Id_Juzgado_Garant%C3%ADa%22%3D43"/>
    <x v="8"/>
    <s v="#1774B9"/>
  </r>
  <r>
    <s v="0145"/>
    <n v="300"/>
    <s v="Violencia contra la mujer"/>
    <s v="Mujeres"/>
    <n v="44"/>
    <x v="5"/>
    <x v="1"/>
    <x v="2"/>
    <x v="60"/>
    <x v="2"/>
    <x v="5"/>
    <s v="Periodo 2013-2019"/>
    <s v="Número de sentencias"/>
    <s v="Poder Judicial"/>
    <s v="Sentencias Dictadas por Delitos de Abuso Sexual en el  Juzgado de Garantía de Vicuña para el Periodo 2013-2019"/>
    <s v="El gráfico muestra la evolución anual de la frecuencia de Sentencias Dictadas por Delitos de Abuso Sexual en el  Juzgado de Garantía de Vicuña para el Periodo 2013-2019 de acuerdo a datos provenientes del Poder Judicial de Chile."/>
    <s v="Gráfico de Evolución"/>
    <s v="abuso sexual delitos género violencia mujer mujeres casos víctimas detenciones sentencias juzgado garantía tome"/>
    <s v="https://analytics.zoho.com/open-view/2395394000007166659?ZOHO_CRITERIA=%22Trasposicion_27.15%22.%22Id_Juzgado_Garant%C3%ADa%22%3D44"/>
    <x v="8"/>
    <s v="#1774B9"/>
  </r>
  <r>
    <s v="0146"/>
    <n v="300"/>
    <s v="Violencia contra la mujer"/>
    <s v="Mujeres"/>
    <n v="45"/>
    <x v="5"/>
    <x v="1"/>
    <x v="2"/>
    <x v="61"/>
    <x v="2"/>
    <x v="5"/>
    <s v="Periodo 2013-2019"/>
    <s v="Número de sentencias"/>
    <s v="Poder Judicial"/>
    <s v="Sentencias Dictadas por Delitos de Abuso Sexual en el  Juzgado de Garantía de Calera para el Periodo 2013-2019"/>
    <s v="El gráfico muestra la evolución anual de la frecuencia de Sentencias Dictadas por Delitos de Abuso Sexual en el  Juzgado de Garantía de Calera para el Periodo 2013-2019 de acuerdo a datos provenientes del Poder Judicial de Chile."/>
    <s v="Gráfico de Evolución"/>
    <s v="abuso sexual delitos género violencia mujer mujeres casos víctimas detenciones sentencias juzgado garantía angol"/>
    <s v="https://analytics.zoho.com/open-view/2395394000007166659?ZOHO_CRITERIA=%22Trasposicion_27.15%22.%22Id_Juzgado_Garant%C3%ADa%22%3D45"/>
    <x v="9"/>
    <s v="#1774B9"/>
  </r>
  <r>
    <s v="0147"/>
    <n v="300"/>
    <s v="Violencia contra la mujer"/>
    <s v="Mujeres"/>
    <n v="46"/>
    <x v="5"/>
    <x v="1"/>
    <x v="2"/>
    <x v="62"/>
    <x v="2"/>
    <x v="5"/>
    <s v="Periodo 2013-2019"/>
    <s v="Número de sentencias"/>
    <s v="Poder Judicial"/>
    <s v="Sentencias Dictadas por Delitos de Abuso Sexual en el  Juzgado de Garantía de La Ligua para el Periodo 2013-2019"/>
    <s v="El gráfico muestra la evolución anual de la frecuencia de Sentencias Dictadas por Delitos de Abuso Sexual en el  Juzgado de Garantía de La Ligua para el Periodo 2013-2019 de acuerdo a datos provenientes del Poder Judicial de Chile."/>
    <s v="Gráfico de Evolución"/>
    <s v="abuso sexual delitos género violencia mujer mujeres casos víctimas detenciones sentencias juzgado garantía lautaro"/>
    <s v="https://analytics.zoho.com/open-view/2395394000007166659?ZOHO_CRITERIA=%22Trasposicion_27.15%22.%22Id_Juzgado_Garant%C3%ADa%22%3D46"/>
    <x v="9"/>
    <s v="#1774B9"/>
  </r>
  <r>
    <s v="0148"/>
    <n v="300"/>
    <s v="Violencia contra la mujer"/>
    <s v="Mujeres"/>
    <n v="47"/>
    <x v="5"/>
    <x v="1"/>
    <x v="2"/>
    <x v="63"/>
    <x v="2"/>
    <x v="5"/>
    <s v="Periodo 2013-2019"/>
    <s v="Número de sentencias"/>
    <s v="Poder Judicial"/>
    <s v="Sentencias Dictadas por Delitos de Abuso Sexual en el  Juzgado de Garantía de Limache para el Periodo 2013-2019"/>
    <s v="El gráfico muestra la evolución anual de la frecuencia de Sentencias Dictadas por Delitos de Abuso Sexual en el  Juzgado de Garantía de Limache para el Periodo 2013-2019 de acuerdo a datos provenientes del Poder Judicial de Chile."/>
    <s v="Gráfico de Evolución"/>
    <s v="abuso sexual delitos género violencia mujer mujeres casos víctimas detenciones sentencias juzgado garantía loncoche"/>
    <s v="https://analytics.zoho.com/open-view/2395394000007166659?ZOHO_CRITERIA=%22Trasposicion_27.15%22.%22Id_Juzgado_Garant%C3%ADa%22%3D47"/>
    <x v="9"/>
    <s v="#1774B9"/>
  </r>
  <r>
    <s v="0149"/>
    <n v="300"/>
    <s v="Violencia contra la mujer"/>
    <s v="Mujeres"/>
    <n v="48"/>
    <x v="5"/>
    <x v="1"/>
    <x v="2"/>
    <x v="64"/>
    <x v="2"/>
    <x v="5"/>
    <s v="Periodo 2013-2019"/>
    <s v="Número de sentencias"/>
    <s v="Poder Judicial"/>
    <s v="Sentencias Dictadas por Delitos de Abuso Sexual en el  Juzgado de Garantía de Los Andes para el Periodo 2013-2019"/>
    <s v="El gráfico muestra la evolución anual de la frecuencia de Sentencias Dictadas por Delitos de Abuso Sexual en el  Juzgado de Garantía de Los Andes para el Periodo 2013-2019 de acuerdo a datos provenientes del Poder Judicial de Chile."/>
    <s v="Gráfico de Evolución"/>
    <s v="abuso sexual delitos género violencia mujer mujeres casos víctimas detenciones sentencias juzgado garantía nueva imperial"/>
    <s v="https://analytics.zoho.com/open-view/2395394000007166659?ZOHO_CRITERIA=%22Trasposicion_27.15%22.%22Id_Juzgado_Garant%C3%ADa%22%3D48"/>
    <x v="9"/>
    <s v="#1774B9"/>
  </r>
  <r>
    <s v="0150"/>
    <n v="300"/>
    <s v="Violencia contra la mujer"/>
    <s v="Mujeres"/>
    <n v="49"/>
    <x v="5"/>
    <x v="1"/>
    <x v="2"/>
    <x v="65"/>
    <x v="2"/>
    <x v="5"/>
    <s v="Periodo 2013-2019"/>
    <s v="Número de sentencias"/>
    <s v="Poder Judicial"/>
    <s v="Sentencias Dictadas por Delitos de Abuso Sexual en el  Juzgado de Garantía de Quillota para el Periodo 2013-2019"/>
    <s v="El gráfico muestra la evolución anual de la frecuencia de Sentencias Dictadas por Delitos de Abuso Sexual en el  Juzgado de Garantía de Quillota para el Periodo 2013-2019 de acuerdo a datos provenientes del Poder Judicial de Chile."/>
    <s v="Gráfico de Evolución"/>
    <s v="abuso sexual delitos género violencia mujer mujeres casos víctimas detenciones sentencias juzgado garantía pitrufquen"/>
    <s v="https://analytics.zoho.com/open-view/2395394000007166659?ZOHO_CRITERIA=%22Trasposicion_27.15%22.%22Id_Juzgado_Garant%C3%ADa%22%3D49"/>
    <x v="9"/>
    <s v="#1774B9"/>
  </r>
  <r>
    <s v="0151"/>
    <n v="300"/>
    <s v="Violencia contra la mujer"/>
    <s v="Mujeres"/>
    <n v="50"/>
    <x v="5"/>
    <x v="1"/>
    <x v="2"/>
    <x v="66"/>
    <x v="2"/>
    <x v="5"/>
    <s v="Periodo 2013-2019"/>
    <s v="Número de sentencias"/>
    <s v="Poder Judicial"/>
    <s v="Sentencias Dictadas por Delitos de Abuso Sexual en el  Juzgado de Garantía de Quilpue para el Periodo 2013-2019"/>
    <s v="El gráfico muestra la evolución anual de la frecuencia de Sentencias Dictadas por Delitos de Abuso Sexual en el  Juzgado de Garantía de Quilpue para el Periodo 2013-2019 de acuerdo a datos provenientes del Poder Judicial de Chile."/>
    <s v="Gráfico de Evolución"/>
    <s v="abuso sexual delitos género violencia mujer mujeres casos víctimas detenciones sentencias juzgado garantía temuco"/>
    <s v="https://analytics.zoho.com/open-view/2395394000007166659?ZOHO_CRITERIA=%22Trasposicion_27.15%22.%22Id_Juzgado_Garant%C3%ADa%22%3D50"/>
    <x v="9"/>
    <s v="#1774B9"/>
  </r>
  <r>
    <s v="0152"/>
    <n v="300"/>
    <s v="Violencia contra la mujer"/>
    <s v="Mujeres"/>
    <n v="51"/>
    <x v="5"/>
    <x v="1"/>
    <x v="2"/>
    <x v="67"/>
    <x v="2"/>
    <x v="5"/>
    <s v="Periodo 2013-2019"/>
    <s v="Número de sentencias"/>
    <s v="Poder Judicial"/>
    <s v="Sentencias Dictadas por Delitos de Abuso Sexual en el  Juzgado de Garantía de San Felipe para el Periodo 2013-2019"/>
    <s v="El gráfico muestra la evolución anual de la frecuencia de Sentencias Dictadas por Delitos de Abuso Sexual en el  Juzgado de Garantía de San Felipe para el Periodo 2013-2019 de acuerdo a datos provenientes del Poder Judicial de Chile."/>
    <s v="Gráfico de Evolución"/>
    <s v="abuso sexual delitos género violencia mujer mujeres casos víctimas detenciones sentencias juzgado garantía victoria"/>
    <s v="https://analytics.zoho.com/open-view/2395394000007166659?ZOHO_CRITERIA=%22Trasposicion_27.15%22.%22Id_Juzgado_Garant%C3%ADa%22%3D51"/>
    <x v="9"/>
    <s v="#1774B9"/>
  </r>
  <r>
    <s v="0153"/>
    <n v="300"/>
    <s v="Violencia contra la mujer"/>
    <s v="Mujeres"/>
    <n v="52"/>
    <x v="5"/>
    <x v="1"/>
    <x v="2"/>
    <x v="68"/>
    <x v="2"/>
    <x v="5"/>
    <s v="Periodo 2013-2019"/>
    <s v="Número de sentencias"/>
    <s v="Poder Judicial"/>
    <s v="Sentencias Dictadas por Delitos de Abuso Sexual en el  Juzgado de Garantía de Valparaiso para el Periodo 2013-2019"/>
    <s v="El gráfico muestra la evolución anual de la frecuencia de Sentencias Dictadas por Delitos de Abuso Sexual en el  Juzgado de Garantía de Valparaiso para el Periodo 2013-2019 de acuerdo a datos provenientes del Poder Judicial de Chile."/>
    <s v="Gráfico de Evolución"/>
    <s v="abuso sexual delitos género violencia mujer mujeres casos víctimas detenciones sentencias juzgado garantía villarrica"/>
    <s v="https://analytics.zoho.com/open-view/2395394000007166659?ZOHO_CRITERIA=%22Trasposicion_27.15%22.%22Id_Juzgado_Garant%C3%ADa%22%3D52"/>
    <x v="9"/>
    <s v="#1774B9"/>
  </r>
  <r>
    <s v="0154"/>
    <n v="300"/>
    <s v="Violencia contra la mujer"/>
    <s v="Mujeres"/>
    <n v="53"/>
    <x v="5"/>
    <x v="1"/>
    <x v="2"/>
    <x v="69"/>
    <x v="2"/>
    <x v="5"/>
    <s v="Periodo 2013-2019"/>
    <s v="Número de sentencias"/>
    <s v="Poder Judicial"/>
    <s v="Sentencias Dictadas por Delitos de Abuso Sexual en el  Juzgado de Garantía de Villa Alemana para el Periodo 2013-2019"/>
    <s v="El gráfico muestra la evolución anual de la frecuencia de Sentencias Dictadas por Delitos de Abuso Sexual en el  Juzgado de Garantía de Villa Alemana para el Periodo 2013-2019 de acuerdo a datos provenientes del Poder Judicial de Chile."/>
    <s v="Gráfico de Evolución"/>
    <s v="abuso sexual delitos género violencia mujer mujeres casos víctimas detenciones sentencias juzgado garantía ancud"/>
    <s v="https://analytics.zoho.com/open-view/2395394000007166659?ZOHO_CRITERIA=%22Trasposicion_27.15%22.%22Id_Juzgado_Garant%C3%ADa%22%3D53"/>
    <x v="10"/>
    <s v="#1774B9"/>
  </r>
  <r>
    <s v="0155"/>
    <n v="300"/>
    <s v="Violencia contra la mujer"/>
    <s v="Mujeres"/>
    <n v="54"/>
    <x v="5"/>
    <x v="1"/>
    <x v="2"/>
    <x v="70"/>
    <x v="2"/>
    <x v="5"/>
    <s v="Periodo 2013-2019"/>
    <s v="Número de sentencias"/>
    <s v="Poder Judicial"/>
    <s v="Sentencias Dictadas por Delitos de Abuso Sexual en el  Juzgado de Garantía de Viña Del Mar para el Periodo 2013-2019"/>
    <s v="El gráfico muestra la evolución anual de la frecuencia de Sentencias Dictadas por Delitos de Abuso Sexual en el  Juzgado de Garantía de Viña Del Mar para el Periodo 2013-2019 de acuerdo a datos provenientes del Poder Judicial de Chile."/>
    <s v="Gráfico de Evolución"/>
    <s v="abuso sexual delitos género violencia mujer mujeres casos víctimas detenciones sentencias juzgado garantía castro"/>
    <s v="https://analytics.zoho.com/open-view/2395394000007166659?ZOHO_CRITERIA=%22Trasposicion_27.15%22.%22Id_Juzgado_Garant%C3%ADa%22%3D54"/>
    <x v="10"/>
    <s v="#1774B9"/>
  </r>
  <r>
    <s v="0156"/>
    <n v="300"/>
    <s v="Violencia contra la mujer"/>
    <s v="Mujeres"/>
    <n v="55"/>
    <x v="5"/>
    <x v="1"/>
    <x v="2"/>
    <x v="71"/>
    <x v="2"/>
    <x v="5"/>
    <s v="Periodo 2013-2019"/>
    <s v="Número de sentencias"/>
    <s v="Poder Judicial"/>
    <s v="Sentencias Dictadas por Delitos de Abuso Sexual en el  Juzgado de Garantía de Graneros para el Periodo 2013-2019"/>
    <s v="El gráfico muestra la evolución anual de la frecuencia de Sentencias Dictadas por Delitos de Abuso Sexual en el  Juzgado de Garantía de Graneros para el Periodo 2013-2019 de acuerdo a datos provenientes del Poder Judicial de Chile."/>
    <s v="Gráfico de Evolución"/>
    <s v="abuso sexual delitos género violencia mujer mujeres casos víctimas detenciones sentencias juzgado garantía osorno"/>
    <s v="https://analytics.zoho.com/open-view/2395394000007166659?ZOHO_CRITERIA=%22Trasposicion_27.15%22.%22Id_Juzgado_Garant%C3%ADa%22%3D55"/>
    <x v="10"/>
    <s v="#1774B9"/>
  </r>
  <r>
    <s v="0157"/>
    <n v="300"/>
    <s v="Violencia contra la mujer"/>
    <s v="Mujeres"/>
    <n v="56"/>
    <x v="5"/>
    <x v="1"/>
    <x v="2"/>
    <x v="72"/>
    <x v="2"/>
    <x v="5"/>
    <s v="Periodo 2013-2019"/>
    <s v="Número de sentencias"/>
    <s v="Poder Judicial"/>
    <s v="Sentencias Dictadas por Delitos de Abuso Sexual en el  Juzgado de Garantía de Rancagua para el Periodo 2013-2019"/>
    <s v="El gráfico muestra la evolución anual de la frecuencia de Sentencias Dictadas por Delitos de Abuso Sexual en el  Juzgado de Garantía de Rancagua para el Periodo 2013-2019 de acuerdo a datos provenientes del Poder Judicial de Chile."/>
    <s v="Gráfico de Evolución"/>
    <s v="abuso sexual delitos género violencia mujer mujeres casos víctimas detenciones sentencias juzgado garantía puerto montt"/>
    <s v="https://analytics.zoho.com/open-view/2395394000007166659?ZOHO_CRITERIA=%22Trasposicion_27.15%22.%22Id_Juzgado_Garant%C3%ADa%22%3D56"/>
    <x v="10"/>
    <s v="#1774B9"/>
  </r>
  <r>
    <s v="0158"/>
    <n v="300"/>
    <s v="Violencia contra la mujer"/>
    <s v="Mujeres"/>
    <n v="57"/>
    <x v="5"/>
    <x v="1"/>
    <x v="2"/>
    <x v="73"/>
    <x v="2"/>
    <x v="5"/>
    <s v="Periodo 2013-2019"/>
    <s v="Número de sentencias"/>
    <s v="Poder Judicial"/>
    <s v="Sentencias Dictadas por Delitos de Abuso Sexual en el  Juzgado de Garantía de Rengo para el Periodo 2013-2019"/>
    <s v="El gráfico muestra la evolución anual de la frecuencia de Sentencias Dictadas por Delitos de Abuso Sexual en el  Juzgado de Garantía de Rengo para el Periodo 2013-2019 de acuerdo a datos provenientes del Poder Judicial de Chile."/>
    <s v="Gráfico de Evolución"/>
    <s v="abuso sexual delitos género violencia mujer mujeres casos víctimas detenciones sentencias juzgado garantía puerto varas"/>
    <s v="https://analytics.zoho.com/open-view/2395394000007166659?ZOHO_CRITERIA=%22Trasposicion_27.15%22.%22Id_Juzgado_Garant%C3%ADa%22%3D57"/>
    <x v="10"/>
    <s v="#1774B9"/>
  </r>
  <r>
    <s v="0159"/>
    <n v="300"/>
    <s v="Violencia contra la mujer"/>
    <s v="Mujeres"/>
    <n v="58"/>
    <x v="5"/>
    <x v="1"/>
    <x v="2"/>
    <x v="74"/>
    <x v="2"/>
    <x v="5"/>
    <s v="Periodo 2013-2019"/>
    <s v="Número de sentencias"/>
    <s v="Poder Judicial"/>
    <s v="Sentencias Dictadas por Delitos de Abuso Sexual en el  Juzgado de Garantía de San Fernando para el Periodo 2013-2019"/>
    <s v="El gráfico muestra la evolución anual de la frecuencia de Sentencias Dictadas por Delitos de Abuso Sexual en el  Juzgado de Garantía de San Fernando para el Periodo 2013-2019 de acuerdo a datos provenientes del Poder Judicial de Chile."/>
    <s v="Gráfico de Evolución"/>
    <s v="abuso sexual delitos género violencia mujer mujeres casos víctimas detenciones sentencias juzgado garantía rio negro"/>
    <s v="https://analytics.zoho.com/open-view/2395394000007166659?ZOHO_CRITERIA=%22Trasposicion_27.15%22.%22Id_Juzgado_Garant%C3%ADa%22%3D58"/>
    <x v="10"/>
    <s v="#1774B9"/>
  </r>
  <r>
    <s v="0160"/>
    <n v="300"/>
    <s v="Violencia contra la mujer"/>
    <s v="Mujeres"/>
    <n v="59"/>
    <x v="5"/>
    <x v="1"/>
    <x v="2"/>
    <x v="75"/>
    <x v="2"/>
    <x v="5"/>
    <s v="Periodo 2013-2019"/>
    <s v="Número de sentencias"/>
    <s v="Poder Judicial"/>
    <s v="Sentencias Dictadas por Delitos de Abuso Sexual en el  Juzgado de Garantía de San Vicente para el Periodo 2013-2019"/>
    <s v="El gráfico muestra la evolución anual de la frecuencia de Sentencias Dictadas por Delitos de Abuso Sexual en el  Juzgado de Garantía de San Vicente para el Periodo 2013-2019 de acuerdo a datos provenientes del Poder Judicial de Chile."/>
    <s v="Gráfico de Evolución"/>
    <s v="abuso sexual delitos género violencia mujer mujeres casos víctimas detenciones sentencias juzgado garantía coyhaique"/>
    <s v="https://analytics.zoho.com/open-view/2395394000007166659?ZOHO_CRITERIA=%22Trasposicion_27.15%22.%22Id_Juzgado_Garant%C3%ADa%22%3D59"/>
    <x v="11"/>
    <s v="#1774B9"/>
  </r>
  <r>
    <s v="0161"/>
    <n v="300"/>
    <s v="Violencia contra la mujer"/>
    <s v="Mujeres"/>
    <n v="60"/>
    <x v="5"/>
    <x v="1"/>
    <x v="2"/>
    <x v="76"/>
    <x v="2"/>
    <x v="5"/>
    <s v="Periodo 2013-2019"/>
    <s v="Número de sentencias"/>
    <s v="Poder Judicial"/>
    <s v="Sentencias Dictadas por Delitos de Abuso Sexual en el  Juzgado de Garantía de Santa Cruz para el Periodo 2013-2019"/>
    <s v="El gráfico muestra la evolución anual de la frecuencia de Sentencias Dictadas por Delitos de Abuso Sexual en el  Juzgado de Garantía de Santa Cruz para el Periodo 2013-2019 de acuerdo a datos provenientes del Poder Judicial de Chile."/>
    <s v="Gráfico de Evolución"/>
    <s v="abuso sexual delitos género violencia mujer mujeres casos víctimas detenciones sentencias juzgado garantía punta arenas"/>
    <s v="https://analytics.zoho.com/open-view/2395394000007166659?ZOHO_CRITERIA=%22Trasposicion_27.15%22.%22Id_Juzgado_Garant%C3%ADa%22%3D60"/>
    <x v="12"/>
    <s v="#1774B9"/>
  </r>
  <r>
    <s v="0162"/>
    <n v="300"/>
    <s v="Violencia contra la mujer"/>
    <s v="Mujeres"/>
    <n v="61"/>
    <x v="5"/>
    <x v="1"/>
    <x v="2"/>
    <x v="77"/>
    <x v="2"/>
    <x v="5"/>
    <s v="Periodo 2013-2019"/>
    <s v="Número de sentencias"/>
    <s v="Poder Judicial"/>
    <s v="Sentencias Dictadas por Delitos de Abuso Sexual en el 10° Juzgado de Garantía de Cauquenes para el Periodo 2013-2019"/>
    <s v="El gráfico muestra la evolución anual de la frecuencia de Sentencias Dictadas por Delitos de Abuso Sexual en el 10° Juzgado de Garantía de Cauquenes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1"/>
    <x v="13"/>
    <s v="#1774B9"/>
  </r>
  <r>
    <s v="0163"/>
    <n v="300"/>
    <s v="Violencia contra la mujer"/>
    <s v="Mujeres"/>
    <n v="62"/>
    <x v="5"/>
    <x v="1"/>
    <x v="2"/>
    <x v="77"/>
    <x v="2"/>
    <x v="5"/>
    <s v="Periodo 2013-2019"/>
    <s v="Número de sentencias"/>
    <s v="Poder Judicial"/>
    <s v="Sentencias Dictadas por Delitos de Abuso Sexual en el 11° Juzgado de Garantía de Constitucion para el Periodo 2013-2019"/>
    <s v="El gráfico muestra la evolución anual de la frecuencia de Sentencias Dictadas por Delitos de Abuso Sexual en el 11° Juzgado de Garantía de Constitucion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2"/>
    <x v="13"/>
    <s v="#1774B9"/>
  </r>
  <r>
    <s v="0164"/>
    <n v="300"/>
    <s v="Violencia contra la mujer"/>
    <s v="Mujeres"/>
    <n v="63"/>
    <x v="5"/>
    <x v="1"/>
    <x v="2"/>
    <x v="77"/>
    <x v="2"/>
    <x v="5"/>
    <s v="Periodo 2013-2019"/>
    <s v="Número de sentencias"/>
    <s v="Poder Judicial"/>
    <s v="Sentencias Dictadas por Delitos de Abuso Sexual en el 12° Juzgado de Garantía de Curico para el Periodo 2013-2019"/>
    <s v="El gráfico muestra la evolución anual de la frecuencia de Sentencias Dictadas por Delitos de Abuso Sexual en el 12° Juzgado de Garantía de Curico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3"/>
    <x v="13"/>
    <s v="#1774B9"/>
  </r>
  <r>
    <s v="0165"/>
    <n v="300"/>
    <s v="Violencia contra la mujer"/>
    <s v="Mujeres"/>
    <n v="64"/>
    <x v="5"/>
    <x v="1"/>
    <x v="2"/>
    <x v="77"/>
    <x v="2"/>
    <x v="5"/>
    <s v="Periodo 2013-2019"/>
    <s v="Número de sentencias"/>
    <s v="Poder Judicial"/>
    <s v="Sentencias Dictadas por Delitos de Abuso Sexual en el 13° Juzgado de Garantía de Linares para el Periodo 2013-2019"/>
    <s v="El gráfico muestra la evolución anual de la frecuencia de Sentencias Dictadas por Delitos de Abuso Sexual en el 13° Juzgado de Garantía de Linares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4"/>
    <x v="13"/>
    <s v="#1774B9"/>
  </r>
  <r>
    <s v="0166"/>
    <n v="300"/>
    <s v="Violencia contra la mujer"/>
    <s v="Mujeres"/>
    <n v="65"/>
    <x v="5"/>
    <x v="1"/>
    <x v="2"/>
    <x v="77"/>
    <x v="2"/>
    <x v="5"/>
    <s v="Periodo 2013-2019"/>
    <s v="Número de sentencias"/>
    <s v="Poder Judicial"/>
    <s v="Sentencias Dictadas por Delitos de Abuso Sexual en el 14° Juzgado de Garantía de Molina para el Periodo 2013-2019"/>
    <s v="El gráfico muestra la evolución anual de la frecuencia de Sentencias Dictadas por Delitos de Abuso Sexual en el 14° Juzgado de Garantía de Molin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5"/>
    <x v="13"/>
    <s v="#1774B9"/>
  </r>
  <r>
    <s v="0167"/>
    <n v="300"/>
    <s v="Violencia contra la mujer"/>
    <s v="Mujeres"/>
    <n v="66"/>
    <x v="5"/>
    <x v="1"/>
    <x v="2"/>
    <x v="77"/>
    <x v="2"/>
    <x v="5"/>
    <s v="Periodo 2013-2019"/>
    <s v="Número de sentencias"/>
    <s v="Poder Judicial"/>
    <s v="Sentencias Dictadas por Delitos de Abuso Sexual en el 15° Juzgado de Garantía de Parral para el Periodo 2013-2019"/>
    <s v="El gráfico muestra la evolución anual de la frecuencia de Sentencias Dictadas por Delitos de Abuso Sexual en el 15° Juzgado de Garantía de Parral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6"/>
    <x v="13"/>
    <s v="#1774B9"/>
  </r>
  <r>
    <s v="0168"/>
    <n v="300"/>
    <s v="Violencia contra la mujer"/>
    <s v="Mujeres"/>
    <n v="67"/>
    <x v="5"/>
    <x v="1"/>
    <x v="2"/>
    <x v="77"/>
    <x v="2"/>
    <x v="5"/>
    <s v="Periodo 2013-2019"/>
    <s v="Número de sentencias"/>
    <s v="Poder Judicial"/>
    <s v="Sentencias Dictadas por Delitos de Abuso Sexual en el 1° Juzgado de Garantía de San Javier para el Periodo 2013-2019"/>
    <s v="El gráfico muestra la evolución anual de la frecuencia de Sentencias Dictadas por Delitos de Abuso Sexual en el 1° Juzgado de Garantía de San Javier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7"/>
    <x v="13"/>
    <s v="#1774B9"/>
  </r>
  <r>
    <s v="0169"/>
    <n v="300"/>
    <s v="Violencia contra la mujer"/>
    <s v="Mujeres"/>
    <n v="68"/>
    <x v="5"/>
    <x v="1"/>
    <x v="2"/>
    <x v="77"/>
    <x v="2"/>
    <x v="5"/>
    <s v="Periodo 2013-2019"/>
    <s v="Número de sentencias"/>
    <s v="Poder Judicial"/>
    <s v="Sentencias Dictadas por Delitos de Abuso Sexual en el 2° Juzgado de Garantía de Talca para el Periodo 2013-2019"/>
    <s v="El gráfico muestra la evolución anual de la frecuencia de Sentencias Dictadas por Delitos de Abuso Sexual en el 2° Juzgado de Garantía de Talc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8"/>
    <x v="13"/>
    <s v="#1774B9"/>
  </r>
  <r>
    <s v="0170"/>
    <n v="300"/>
    <s v="Violencia contra la mujer"/>
    <s v="Mujeres"/>
    <n v="69"/>
    <x v="5"/>
    <x v="1"/>
    <x v="2"/>
    <x v="77"/>
    <x v="2"/>
    <x v="5"/>
    <s v="Periodo 2013-2019"/>
    <s v="Número de sentencias"/>
    <s v="Poder Judicial"/>
    <s v="Sentencias Dictadas por Delitos de Abuso Sexual en el 3° Juzgado de Garantía de Arauco para el Periodo 2013-2019"/>
    <s v="El gráfico muestra la evolución anual de la frecuencia de Sentencias Dictadas por Delitos de Abuso Sexual en el 3° Juzgado de Garantía de Arauco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69"/>
    <x v="13"/>
    <s v="#1774B9"/>
  </r>
  <r>
    <s v="0171"/>
    <n v="300"/>
    <s v="Violencia contra la mujer"/>
    <s v="Mujeres"/>
    <n v="70"/>
    <x v="5"/>
    <x v="1"/>
    <x v="2"/>
    <x v="77"/>
    <x v="2"/>
    <x v="5"/>
    <s v="Periodo 2013-2019"/>
    <s v="Número de sentencias"/>
    <s v="Poder Judicial"/>
    <s v="Sentencias Dictadas por Delitos de Abuso Sexual en el 4° Juzgado de Garantía de Cañete para el Periodo 2013-2019"/>
    <s v="El gráfico muestra la evolución anual de la frecuencia de Sentencias Dictadas por Delitos de Abuso Sexual en el 4° Juzgado de Garantía de Cañete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70"/>
    <x v="13"/>
    <s v="#1774B9"/>
  </r>
  <r>
    <s v="0172"/>
    <n v="300"/>
    <s v="Violencia contra la mujer"/>
    <s v="Mujeres"/>
    <n v="71"/>
    <x v="5"/>
    <x v="1"/>
    <x v="2"/>
    <x v="77"/>
    <x v="2"/>
    <x v="5"/>
    <s v="Periodo 2013-2019"/>
    <s v="Número de sentencias"/>
    <s v="Poder Judicial"/>
    <s v="Sentencias Dictadas por Delitos de Abuso Sexual en el 5° Juzgado de Garantía de Chiguayante para el Periodo 2013-2019"/>
    <s v="El gráfico muestra la evolución anual de la frecuencia de Sentencias Dictadas por Delitos de Abuso Sexual en el 5° Juzgado de Garantía de Chiguayante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71"/>
    <x v="13"/>
    <s v="#1774B9"/>
  </r>
  <r>
    <s v="0173"/>
    <n v="300"/>
    <s v="Violencia contra la mujer"/>
    <s v="Mujeres"/>
    <n v="72"/>
    <x v="5"/>
    <x v="1"/>
    <x v="2"/>
    <x v="77"/>
    <x v="2"/>
    <x v="5"/>
    <s v="Periodo 2013-2019"/>
    <s v="Número de sentencias"/>
    <s v="Poder Judicial"/>
    <s v="Sentencias Dictadas por Delitos de Abuso Sexual en el 6° Juzgado de Garantía de Concepcion para el Periodo 2013-2019"/>
    <s v="El gráfico muestra la evolución anual de la frecuencia de Sentencias Dictadas por Delitos de Abuso Sexual en el 6° Juzgado de Garantía de Concepcion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72"/>
    <x v="13"/>
    <s v="#1774B9"/>
  </r>
  <r>
    <s v="0174"/>
    <n v="300"/>
    <s v="Violencia contra la mujer"/>
    <s v="Mujeres"/>
    <n v="73"/>
    <x v="5"/>
    <x v="1"/>
    <x v="2"/>
    <x v="77"/>
    <x v="2"/>
    <x v="5"/>
    <s v="Periodo 2013-2019"/>
    <s v="Número de sentencias"/>
    <s v="Poder Judicial"/>
    <s v="Sentencias Dictadas por Delitos de Abuso Sexual en el 7° Juzgado de Garantía de Coronel para el Periodo 2013-2019"/>
    <s v="El gráfico muestra la evolución anual de la frecuencia de Sentencias Dictadas por Delitos de Abuso Sexual en el 7° Juzgado de Garantía de Coronel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73"/>
    <x v="13"/>
    <s v="#1774B9"/>
  </r>
  <r>
    <s v="0175"/>
    <n v="300"/>
    <s v="Violencia contra la mujer"/>
    <s v="Mujeres"/>
    <n v="74"/>
    <x v="5"/>
    <x v="1"/>
    <x v="2"/>
    <x v="77"/>
    <x v="2"/>
    <x v="5"/>
    <s v="Periodo 2013-2019"/>
    <s v="Número de sentencias"/>
    <s v="Poder Judicial"/>
    <s v="Sentencias Dictadas por Delitos de Abuso Sexual en el 8° Juzgado de Garantía de Los Angeles para el Periodo 2013-2019"/>
    <s v="El gráfico muestra la evolución anual de la frecuencia de Sentencias Dictadas por Delitos de Abuso Sexual en el 8° Juzgado de Garantía de Los Angeles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74"/>
    <x v="13"/>
    <s v="#1774B9"/>
  </r>
  <r>
    <s v="0176"/>
    <n v="300"/>
    <s v="Violencia contra la mujer"/>
    <s v="Mujeres"/>
    <n v="75"/>
    <x v="5"/>
    <x v="1"/>
    <x v="2"/>
    <x v="77"/>
    <x v="2"/>
    <x v="5"/>
    <s v="Periodo 2013-2019"/>
    <s v="Número de sentencias"/>
    <s v="Poder Judicial"/>
    <s v="Sentencias Dictadas por Delitos de Abuso Sexual en el 9° Juzgado de Garantía de Talcahuano para el Periodo 2013-2019"/>
    <s v="El gráfico muestra la evolución anual de la frecuencia de Sentencias Dictadas por Delitos de Abuso Sexual en el 9° Juzgado de Garantía de Talcahuano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59?ZOHO_CRITERIA=%22Trasposicion_27.15%22.%22Id_Juzgado_Garant%C3%ADa%22%3D75"/>
    <x v="13"/>
    <s v="#1774B9"/>
  </r>
  <r>
    <s v="0177"/>
    <n v="300"/>
    <s v="Violencia contra la mujer"/>
    <s v="Mujeres"/>
    <n v="76"/>
    <x v="5"/>
    <x v="1"/>
    <x v="2"/>
    <x v="78"/>
    <x v="2"/>
    <x v="5"/>
    <s v="Periodo 2013-2019"/>
    <s v="Número de sentencias"/>
    <s v="Poder Judicial"/>
    <s v="Sentencias Dictadas por Delitos de Abuso Sexual en el Juzgado de Garantía de Tome para el Periodo 2013-2019"/>
    <s v="El gráfico muestra la evolución anual de la frecuencia de Sentencias Dictadas por Delitos de Abuso Sexual en el Juzgado de Garantía de Tome para el Periodo 2013-2019 de acuerdo a datos provenientes del Poder Judicial de Chile."/>
    <s v="Gráfico de Evolución"/>
    <s v="abuso sexual delitos género violencia mujer mujeres casos víctimas detenciones sentencias juzgado garantía los lagos"/>
    <s v="https://analytics.zoho.com/open-view/2395394000007166659?ZOHO_CRITERIA=%22Trasposicion_27.15%22.%22Id_Juzgado_Garant%C3%ADa%22%3D76"/>
    <x v="14"/>
    <s v="#1774B9"/>
  </r>
  <r>
    <s v="0178"/>
    <n v="300"/>
    <s v="Violencia contra la mujer"/>
    <s v="Mujeres"/>
    <n v="77"/>
    <x v="5"/>
    <x v="1"/>
    <x v="2"/>
    <x v="79"/>
    <x v="2"/>
    <x v="5"/>
    <s v="Periodo 2013-2019"/>
    <s v="Número de sentencias"/>
    <s v="Poder Judicial"/>
    <s v="Sentencias Dictadas por Delitos de Abuso Sexual en el Juzgado de Garantía de Angol para el Periodo 2013-2019"/>
    <s v="El gráfico muestra la evolución anual de la frecuencia de Sentencias Dictadas por Delitos de Abuso Sexual en el Juzgado de Garantía de Angol para el Periodo 2013-2019 de acuerdo a datos provenientes del Poder Judicial de Chile."/>
    <s v="Gráfico de Evolución"/>
    <s v="abuso sexual delitos género violencia mujer mujeres casos víctimas detenciones sentencias juzgado garantía mariquina"/>
    <s v="https://analytics.zoho.com/open-view/2395394000007166659?ZOHO_CRITERIA=%22Trasposicion_27.15%22.%22Id_Juzgado_Garant%C3%ADa%22%3D77"/>
    <x v="14"/>
    <s v="#1774B9"/>
  </r>
  <r>
    <s v="0179"/>
    <n v="300"/>
    <s v="Violencia contra la mujer"/>
    <s v="Mujeres"/>
    <n v="78"/>
    <x v="5"/>
    <x v="1"/>
    <x v="2"/>
    <x v="80"/>
    <x v="2"/>
    <x v="5"/>
    <s v="Periodo 2013-2019"/>
    <s v="Número de sentencias"/>
    <s v="Poder Judicial"/>
    <s v="Sentencias Dictadas por Delitos de Abuso Sexual en el Juzgado de Garantía de Lautaro para el Periodo 2013-2019"/>
    <s v="El gráfico muestra la evolución anual de la frecuencia de Sentencias Dictadas por Delitos de Abuso Sexual en el Juzgado de Garantía de Lautaro para el Periodo 2013-2019 de acuerdo a datos provenientes del Poder Judicial de Chile."/>
    <s v="Gráfico de Evolución"/>
    <s v="abuso sexual delitos género violencia mujer mujeres casos víctimas detenciones sentencias juzgado garantía valdivia"/>
    <s v="https://analytics.zoho.com/open-view/2395394000007166659?ZOHO_CRITERIA=%22Trasposicion_27.15%22.%22Id_Juzgado_Garant%C3%ADa%22%3D78"/>
    <x v="14"/>
    <s v="#1774B9"/>
  </r>
  <r>
    <s v="0180"/>
    <n v="300"/>
    <s v="Violencia contra la mujer"/>
    <s v="Mujeres"/>
    <n v="79"/>
    <x v="5"/>
    <x v="1"/>
    <x v="2"/>
    <x v="81"/>
    <x v="2"/>
    <x v="5"/>
    <s v="Periodo 2013-2019"/>
    <s v="Número de sentencias"/>
    <s v="Poder Judicial"/>
    <s v="Sentencias Dictadas por Delitos de Abuso Sexual en el Juzgado de Garantía de Loncoche para el Periodo 2013-2019"/>
    <s v="El gráfico muestra la evolución anual de la frecuencia de Sentencias Dictadas por Delitos de Abuso Sexual en el Juzgado de Garantía de Loncoche para el Periodo 2013-2019 de acuerdo a datos provenientes del Poder Judicial de Chile."/>
    <s v="Gráfico de Evolución"/>
    <s v="abuso sexual delitos género violencia mujer mujeres casos víctimas detenciones sentencias juzgado garantía arica"/>
    <s v="https://analytics.zoho.com/open-view/2395394000007166659?ZOHO_CRITERIA=%22Trasposicion_27.15%22.%22Id_Juzgado_Garant%C3%ADa%22%3D79"/>
    <x v="15"/>
    <s v="#1774B9"/>
  </r>
  <r>
    <s v="0181"/>
    <n v="300"/>
    <s v="Violencia contra la mujer"/>
    <s v="Mujeres"/>
    <n v="80"/>
    <x v="5"/>
    <x v="1"/>
    <x v="2"/>
    <x v="82"/>
    <x v="2"/>
    <x v="5"/>
    <s v="Periodo 2013-2019"/>
    <s v="Número de sentencias"/>
    <s v="Poder Judicial"/>
    <s v="Sentencias Dictadas por Delitos de Abuso Sexual en el Juzgado de Garantía de Nueva Imperial para el Periodo 2013-2019"/>
    <s v="El gráfico muestra la evolución anual de la frecuencia de Sentencias Dictadas por Delitos de Abuso Sexual en el Juzgado de Garantía de Nueva Imperial para el Periodo 2013-2019 de acuerdo a datos provenientes del Poder Judicial de Chile."/>
    <s v="Gráfico de Evolución"/>
    <s v="abuso sexual delitos género violencia mujer mujeres casos víctimas detenciones sentencias juzgado garantía chillan"/>
    <s v="https://analytics.zoho.com/open-view/2395394000007166659?ZOHO_CRITERIA=%22Trasposicion_27.15%22.%22Id_Juzgado_Garant%C3%ADa%22%3D80"/>
    <x v="16"/>
    <s v="#1774B9"/>
  </r>
  <r>
    <s v="0182"/>
    <n v="300"/>
    <s v="Violencia contra la mujer"/>
    <s v="Mujeres"/>
    <n v="81"/>
    <x v="5"/>
    <x v="1"/>
    <x v="2"/>
    <x v="83"/>
    <x v="2"/>
    <x v="5"/>
    <s v="Periodo 2013-2019"/>
    <s v="Número de sentencias"/>
    <s v="Poder Judicial"/>
    <s v="Sentencias Dictadas por Delitos de Abuso Sexual en el Juzgado de Garantía de Pitrufquen para el Periodo 2013-2019"/>
    <s v="El gráfico muestra la evolución anual de la frecuencia de Sentencias Dictadas por Delitos de Abuso Sexual en el Juzgado de Garantía de Pitrufquen para el Periodo 2013-2019 de acuerdo a datos provenientes del Poder Judicial de Chile."/>
    <s v="Gráfico de Evolución"/>
    <s v="abuso sexual delitos género violencia mujer mujeres casos víctimas detenciones sentencias juzgado garantía san carlos"/>
    <s v="https://analytics.zoho.com/open-view/2395394000007166659?ZOHO_CRITERIA=%22Trasposicion_27.15%22.%22Id_Juzgado_Garant%C3%ADa%22%3D81"/>
    <x v="16"/>
    <s v="#1774B9"/>
  </r>
  <r>
    <s v="0183"/>
    <n v="300"/>
    <s v="Violencia contra la mujer"/>
    <s v="Mujeres"/>
    <n v="82"/>
    <x v="5"/>
    <x v="1"/>
    <x v="2"/>
    <x v="84"/>
    <x v="2"/>
    <x v="5"/>
    <s v="Periodo 2013-2019"/>
    <s v="Número de sentencias"/>
    <s v="Poder Judicial"/>
    <s v="Sentencias Dictadas por Delitos de Abuso Sexual en el Juzgado de Garantía de Temuco para el Periodo 2013-2019"/>
    <s v="El gráfico muestra la evolución anual de la frecuencia de Sentencias Dictadas por Delitos de Abuso Sexual en el Juzgado de Garantía de Temuco para el Periodo 2013-2019 de acuerdo a datos provenientes del Poder Judicial de Chile."/>
    <s v="Gráfico de Evolución"/>
    <s v="abuso sexual delitos género violencia mujer mujeres casos víctimas detenciones sentencias juzgado garantía yungay"/>
    <s v="https://analytics.zoho.com/open-view/2395394000007166659?ZOHO_CRITERIA=%22Trasposicion_27.15%22.%22Id_Juzgado_Garant%C3%ADa%22%3D82"/>
    <x v="16"/>
    <s v="#1774B9"/>
  </r>
  <r>
    <s v="0184"/>
    <n v="300"/>
    <s v="Violencia contra la mujer"/>
    <s v="Mujeres"/>
    <n v="1"/>
    <x v="5"/>
    <x v="1"/>
    <x v="2"/>
    <x v="17"/>
    <x v="2"/>
    <x v="5"/>
    <s v="Periodo 2013-2019"/>
    <s v="Número de sentencias"/>
    <s v="Poder Judicial"/>
    <s v="Sentencias Dictadas por Delitos de Abuso Sexual por Delito en el  Juzgado de Garantía de Victoria para el Periodo 2013-2019"/>
    <s v="Gráfico que muestra la evolución anual de la frecuencia de Sentencias Dictadas por Delitos de Abuso Sexual por Delito en el  Juzgado de Garantía de Victoria para el Periodo 2013-2019 de acuerdo a datos provenientes del Poder Judicial de Chile."/>
    <s v="Gráfico de Evolución"/>
    <s v="abuso sexual delitos género violencia mujer mujeres casos víctimas detenciones sentencias juzgado garantía iquique"/>
    <s v="https://analytics.zoho.com/open-view/2395394000007166623?ZOHO_CRITERIA=%22Trasposicion_27.15%22.%22Id_Juzgado_Garant%C3%ADa%22%3D1"/>
    <x v="1"/>
    <s v="#1774B9"/>
  </r>
  <r>
    <s v="0185"/>
    <n v="300"/>
    <s v="Violencia contra la mujer"/>
    <s v="Mujeres"/>
    <n v="2"/>
    <x v="5"/>
    <x v="1"/>
    <x v="2"/>
    <x v="18"/>
    <x v="2"/>
    <x v="5"/>
    <s v="Periodo 2013-2019"/>
    <s v="Número de sentencias"/>
    <s v="Poder Judicial"/>
    <s v="Sentencias Dictadas por Delitos de Abuso Sexual por Delito en el  Juzgado de Garantía de Villarrica para el Periodo 2013-2019"/>
    <s v="Gráfico que muestra la evolución anual de la frecuencia de Sentencias Dictadas por Delitos de Abuso Sexual por Delito en el  Juzgado de Garantía de Villarrica para el Periodo 2013-2019 de acuerdo a datos provenientes del Poder Judicial de Chile."/>
    <s v="Gráfico de Evolución"/>
    <s v="abuso sexual delitos género violencia mujer mujeres casos víctimas detenciones sentencias juzgado garantía antofagasta"/>
    <s v="https://analytics.zoho.com/open-view/2395394000007166623?ZOHO_CRITERIA=%22Trasposicion_27.15%22.%22Id_Juzgado_Garant%C3%ADa%22%3D2"/>
    <x v="2"/>
    <s v="#1774B9"/>
  </r>
  <r>
    <s v="0186"/>
    <n v="300"/>
    <s v="Violencia contra la mujer"/>
    <s v="Mujeres"/>
    <n v="3"/>
    <x v="5"/>
    <x v="1"/>
    <x v="2"/>
    <x v="19"/>
    <x v="2"/>
    <x v="5"/>
    <s v="Periodo 2013-2019"/>
    <s v="Número de sentencias"/>
    <s v="Poder Judicial"/>
    <s v="Sentencias Dictadas por Delitos de Abuso Sexual por Delito en el  Juzgado de Garantía de Ancud para el Periodo 2013-2019"/>
    <s v="Gráfico que muestra la evolución anual de la frecuencia de Sentencias Dictadas por Delitos de Abuso Sexual por Delito en el  Juzgado de Garantía de Ancud para el Periodo 2013-2019 de acuerdo a datos provenientes del Poder Judicial de Chile."/>
    <s v="Gráfico de Evolución"/>
    <s v="abuso sexual delitos género violencia mujer mujeres casos víctimas detenciones sentencias juzgado garantía calama"/>
    <s v="https://analytics.zoho.com/open-view/2395394000007166623?ZOHO_CRITERIA=%22Trasposicion_27.15%22.%22Id_Juzgado_Garant%C3%ADa%22%3D3"/>
    <x v="2"/>
    <s v="#1774B9"/>
  </r>
  <r>
    <s v="0187"/>
    <n v="300"/>
    <s v="Violencia contra la mujer"/>
    <s v="Mujeres"/>
    <n v="4"/>
    <x v="5"/>
    <x v="1"/>
    <x v="2"/>
    <x v="20"/>
    <x v="2"/>
    <x v="5"/>
    <s v="Periodo 2013-2019"/>
    <s v="Número de sentencias"/>
    <s v="Poder Judicial"/>
    <s v="Sentencias Dictadas por Delitos de Abuso Sexual por Delito en el  Juzgado de Garantía de Castro para el Periodo 2013-2019"/>
    <s v="Gráfico que muestra la evolución anual de la frecuencia de Sentencias Dictadas por Delitos de Abuso Sexual por Delito en el  Juzgado de Garantía de Castro para el Periodo 2013-2019 de acuerdo a datos provenientes del Poder Judicial de Chile."/>
    <s v="Gráfico de Evolución"/>
    <s v="abuso sexual delitos género violencia mujer mujeres casos víctimas detenciones sentencias juzgado garantía tocopilla"/>
    <s v="https://analytics.zoho.com/open-view/2395394000007166623?ZOHO_CRITERIA=%22Trasposicion_27.15%22.%22Id_Juzgado_Garant%C3%ADa%22%3D4"/>
    <x v="2"/>
    <s v="#1774B9"/>
  </r>
  <r>
    <s v="0188"/>
    <n v="300"/>
    <s v="Violencia contra la mujer"/>
    <s v="Mujeres"/>
    <n v="5"/>
    <x v="5"/>
    <x v="1"/>
    <x v="2"/>
    <x v="21"/>
    <x v="2"/>
    <x v="5"/>
    <s v="Periodo 2013-2019"/>
    <s v="Número de sentencias"/>
    <s v="Poder Judicial"/>
    <s v="Sentencias Dictadas por Delitos de Abuso Sexual por Delito en el  Juzgado de Garantía de Osorno para el Periodo 2013-2019"/>
    <s v="Gráfico que muestra la evolución anual de la frecuencia de Sentencias Dictadas por Delitos de Abuso Sexual por Delito en el  Juzgado de Garantía de Osorno para el Periodo 2013-2019 de acuerdo a datos provenientes del Poder Judicial de Chile."/>
    <s v="Gráfico de Evolución"/>
    <s v="abuso sexual delitos género violencia mujer mujeres casos víctimas detenciones sentencias juzgado garantía copiapo"/>
    <s v="https://analytics.zoho.com/open-view/2395394000007166623?ZOHO_CRITERIA=%22Trasposicion_27.15%22.%22Id_Juzgado_Garant%C3%ADa%22%3D5"/>
    <x v="3"/>
    <s v="#1774B9"/>
  </r>
  <r>
    <s v="0189"/>
    <n v="300"/>
    <s v="Violencia contra la mujer"/>
    <s v="Mujeres"/>
    <n v="6"/>
    <x v="5"/>
    <x v="1"/>
    <x v="2"/>
    <x v="22"/>
    <x v="2"/>
    <x v="5"/>
    <s v="Periodo 2013-2019"/>
    <s v="Número de sentencias"/>
    <s v="Poder Judicial"/>
    <s v="Sentencias Dictadas por Delitos de Abuso Sexual por Delito en el  Juzgado de Garantía de Puerto Montt para el Periodo 2013-2019"/>
    <s v="Gráfico que muestra la evolución anual de la frecuencia de Sentencias Dictadas por Delitos de Abuso Sexual por Delito en el  Juzgado de Garantía de Puerto Montt para el Periodo 2013-2019 de acuerdo a datos provenientes del Poder Judicial de Chile."/>
    <s v="Gráfico de Evolución"/>
    <s v="abuso sexual delitos género violencia mujer mujeres casos víctimas detenciones sentencias juzgado garantía diego de almagro"/>
    <s v="https://analytics.zoho.com/open-view/2395394000007166623?ZOHO_CRITERIA=%22Trasposicion_27.15%22.%22Id_Juzgado_Garant%C3%ADa%22%3D6"/>
    <x v="3"/>
    <s v="#1774B9"/>
  </r>
  <r>
    <s v="0190"/>
    <n v="300"/>
    <s v="Violencia contra la mujer"/>
    <s v="Mujeres"/>
    <n v="7"/>
    <x v="5"/>
    <x v="1"/>
    <x v="2"/>
    <x v="23"/>
    <x v="2"/>
    <x v="5"/>
    <s v="Periodo 2013-2019"/>
    <s v="Número de sentencias"/>
    <s v="Poder Judicial"/>
    <s v="Sentencias Dictadas por Delitos de Abuso Sexual por Delito en el  Juzgado de Garantía de Puerto Varas para el Periodo 2013-2019"/>
    <s v="Gráfico que muestra la evolución anual de la frecuencia de Sentencias Dictadas por Delitos de Abuso Sexual por Delito en el  Juzgado de Garantía de Puerto Varas para el Periodo 2013-2019 de acuerdo a datos provenientes del Poder Judicial de Chile."/>
    <s v="Gráfico de Evolución"/>
    <s v="abuso sexual delitos género violencia mujer mujeres casos víctimas detenciones sentencias juzgado garantía vallenar"/>
    <s v="https://analytics.zoho.com/open-view/2395394000007166623?ZOHO_CRITERIA=%22Trasposicion_27.15%22.%22Id_Juzgado_Garant%C3%ADa%22%3D7"/>
    <x v="3"/>
    <s v="#1774B9"/>
  </r>
  <r>
    <s v="0191"/>
    <n v="300"/>
    <s v="Violencia contra la mujer"/>
    <s v="Mujeres"/>
    <n v="8"/>
    <x v="5"/>
    <x v="1"/>
    <x v="2"/>
    <x v="24"/>
    <x v="2"/>
    <x v="5"/>
    <s v="Periodo 2013-2019"/>
    <s v="Número de sentencias"/>
    <s v="Poder Judicial"/>
    <s v="Sentencias Dictadas por Delitos de Abuso Sexual por Delito en el  Juzgado de Garantía de Rio Negro para el Periodo 2013-2019"/>
    <s v="Gráfico que muestra la evolución anual de la frecuencia de Sentencias Dictadas por Delitos de Abuso Sexual por Delito en el  Juzgado de Garantía de Rio Negro para el Periodo 2013-2019 de acuerdo a datos provenientes del Poder Judicial de Chile."/>
    <s v="Gráfico de Evolución"/>
    <s v="abuso sexual delitos género violencia mujer mujeres casos víctimas detenciones sentencias juzgado garantía coquimbo"/>
    <s v="https://analytics.zoho.com/open-view/2395394000007166623?ZOHO_CRITERIA=%22Trasposicion_27.15%22.%22Id_Juzgado_Garant%C3%ADa%22%3D8"/>
    <x v="4"/>
    <s v="#1774B9"/>
  </r>
  <r>
    <s v="0192"/>
    <n v="300"/>
    <s v="Violencia contra la mujer"/>
    <s v="Mujeres"/>
    <n v="9"/>
    <x v="5"/>
    <x v="1"/>
    <x v="2"/>
    <x v="25"/>
    <x v="2"/>
    <x v="5"/>
    <s v="Periodo 2013-2019"/>
    <s v="Número de sentencias"/>
    <s v="Poder Judicial"/>
    <s v="Sentencias Dictadas por Delitos de Abuso Sexual por Delito en el  Juzgado de Garantía de Coyhaique para el Periodo 2013-2019"/>
    <s v="Gráfico que muestra la evolución anual de la frecuencia de Sentencias Dictadas por Delitos de Abuso Sexual por Delito en el  Juzgado de Garantía de Coyhaique para el Periodo 2013-2019 de acuerdo a datos provenientes del Poder Judicial de Chile."/>
    <s v="Gráfico de Evolución"/>
    <s v="abuso sexual delitos género violencia mujer mujeres casos víctimas detenciones sentencias juzgado garantía illapel"/>
    <s v="https://analytics.zoho.com/open-view/2395394000007166623?ZOHO_CRITERIA=%22Trasposicion_27.15%22.%22Id_Juzgado_Garant%C3%ADa%22%3D9"/>
    <x v="4"/>
    <s v="#1774B9"/>
  </r>
  <r>
    <s v="0193"/>
    <n v="300"/>
    <s v="Violencia contra la mujer"/>
    <s v="Mujeres"/>
    <n v="10"/>
    <x v="5"/>
    <x v="1"/>
    <x v="2"/>
    <x v="26"/>
    <x v="2"/>
    <x v="5"/>
    <s v="Periodo 2013-2019"/>
    <s v="Número de sentencias"/>
    <s v="Poder Judicial"/>
    <s v="Sentencias Dictadas por Delitos de Abuso Sexual por Delito en el  Juzgado de Garantía de Punta Arenas para el Periodo 2013-2019"/>
    <s v="Gráfico que muestra la evolución anual de la frecuencia de Sentencias Dictadas por Delitos de Abuso Sexual por Delito en el  Juzgado de Garantía de Punta Arenas para el Periodo 2013-2019 de acuerdo a datos provenientes del Poder Judicial de Chile."/>
    <s v="Gráfico de Evolución"/>
    <s v="abuso sexual delitos género violencia mujer mujeres casos víctimas detenciones sentencias juzgado garantía la serena"/>
    <s v="https://analytics.zoho.com/open-view/2395394000007166623?ZOHO_CRITERIA=%22Trasposicion_27.15%22.%22Id_Juzgado_Garant%C3%ADa%22%3D10"/>
    <x v="4"/>
    <s v="#1774B9"/>
  </r>
  <r>
    <s v="0194"/>
    <n v="300"/>
    <s v="Violencia contra la mujer"/>
    <s v="Mujeres"/>
    <n v="11"/>
    <x v="5"/>
    <x v="1"/>
    <x v="2"/>
    <x v="27"/>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ovalle"/>
    <s v="https://analytics.zoho.com/open-view/2395394000007166623?ZOHO_CRITERIA=%22Trasposicion_27.15%22.%22Id_Juzgado_Garant%C3%ADa%22%3D11"/>
    <x v="4"/>
    <s v="#1774B9"/>
  </r>
  <r>
    <s v="0195"/>
    <n v="300"/>
    <s v="Violencia contra la mujer"/>
    <s v="Mujeres"/>
    <n v="12"/>
    <x v="5"/>
    <x v="1"/>
    <x v="2"/>
    <x v="28"/>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icuña"/>
    <s v="https://analytics.zoho.com/open-view/2395394000007166623?ZOHO_CRITERIA=%22Trasposicion_27.15%22.%22Id_Juzgado_Garant%C3%ADa%22%3D12"/>
    <x v="4"/>
    <s v="#1774B9"/>
  </r>
  <r>
    <s v="0196"/>
    <n v="300"/>
    <s v="Violencia contra la mujer"/>
    <s v="Mujeres"/>
    <n v="13"/>
    <x v="5"/>
    <x v="1"/>
    <x v="2"/>
    <x v="29"/>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calera"/>
    <s v="https://analytics.zoho.com/open-view/2395394000007166623?ZOHO_CRITERIA=%22Trasposicion_27.15%22.%22Id_Juzgado_Garant%C3%ADa%22%3D13"/>
    <x v="5"/>
    <s v="#1774B9"/>
  </r>
  <r>
    <s v="0197"/>
    <n v="300"/>
    <s v="Violencia contra la mujer"/>
    <s v="Mujeres"/>
    <n v="14"/>
    <x v="5"/>
    <x v="1"/>
    <x v="2"/>
    <x v="30"/>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la ligua"/>
    <s v="https://analytics.zoho.com/open-view/2395394000007166623?ZOHO_CRITERIA=%22Trasposicion_27.15%22.%22Id_Juzgado_Garant%C3%ADa%22%3D14"/>
    <x v="5"/>
    <s v="#1774B9"/>
  </r>
  <r>
    <s v="0198"/>
    <n v="300"/>
    <s v="Violencia contra la mujer"/>
    <s v="Mujeres"/>
    <n v="15"/>
    <x v="5"/>
    <x v="1"/>
    <x v="2"/>
    <x v="31"/>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limache"/>
    <s v="https://analytics.zoho.com/open-view/2395394000007166623?ZOHO_CRITERIA=%22Trasposicion_27.15%22.%22Id_Juzgado_Garant%C3%ADa%22%3D15"/>
    <x v="5"/>
    <s v="#1774B9"/>
  </r>
  <r>
    <s v="0199"/>
    <n v="300"/>
    <s v="Violencia contra la mujer"/>
    <s v="Mujeres"/>
    <n v="16"/>
    <x v="5"/>
    <x v="1"/>
    <x v="2"/>
    <x v="32"/>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los andes"/>
    <s v="https://analytics.zoho.com/open-view/2395394000007166623?ZOHO_CRITERIA=%22Trasposicion_27.15%22.%22Id_Juzgado_Garant%C3%ADa%22%3D16"/>
    <x v="5"/>
    <s v="#1774B9"/>
  </r>
  <r>
    <s v="0200"/>
    <n v="300"/>
    <s v="Violencia contra la mujer"/>
    <s v="Mujeres"/>
    <n v="17"/>
    <x v="5"/>
    <x v="1"/>
    <x v="2"/>
    <x v="33"/>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quillota"/>
    <s v="https://analytics.zoho.com/open-view/2395394000007166623?ZOHO_CRITERIA=%22Trasposicion_27.15%22.%22Id_Juzgado_Garant%C3%ADa%22%3D17"/>
    <x v="5"/>
    <s v="#1774B9"/>
  </r>
  <r>
    <s v="0201"/>
    <n v="300"/>
    <s v="Violencia contra la mujer"/>
    <s v="Mujeres"/>
    <n v="18"/>
    <x v="5"/>
    <x v="1"/>
    <x v="2"/>
    <x v="34"/>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quilpue"/>
    <s v="https://analytics.zoho.com/open-view/2395394000007166623?ZOHO_CRITERIA=%22Trasposicion_27.15%22.%22Id_Juzgado_Garant%C3%ADa%22%3D18"/>
    <x v="5"/>
    <s v="#1774B9"/>
  </r>
  <r>
    <s v="0202"/>
    <n v="300"/>
    <s v="Violencia contra la mujer"/>
    <s v="Mujeres"/>
    <n v="19"/>
    <x v="5"/>
    <x v="1"/>
    <x v="2"/>
    <x v="35"/>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san Felipe"/>
    <s v="https://analytics.zoho.com/open-view/2395394000007166623?ZOHO_CRITERIA=%22Trasposicion_27.15%22.%22Id_Juzgado_Garant%C3%ADa%22%3D19"/>
    <x v="5"/>
    <s v="#1774B9"/>
  </r>
  <r>
    <s v="0203"/>
    <n v="300"/>
    <s v="Violencia contra la mujer"/>
    <s v="Mujeres"/>
    <n v="20"/>
    <x v="5"/>
    <x v="1"/>
    <x v="2"/>
    <x v="36"/>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alparaiso"/>
    <s v="https://analytics.zoho.com/open-view/2395394000007166623?ZOHO_CRITERIA=%22Trasposicion_27.15%22.%22Id_Juzgado_Garant%C3%ADa%22%3D20"/>
    <x v="5"/>
    <s v="#1774B9"/>
  </r>
  <r>
    <s v="0204"/>
    <n v="300"/>
    <s v="Violencia contra la mujer"/>
    <s v="Mujeres"/>
    <n v="21"/>
    <x v="5"/>
    <x v="1"/>
    <x v="2"/>
    <x v="37"/>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illa alemana"/>
    <s v="https://analytics.zoho.com/open-view/2395394000007166623?ZOHO_CRITERIA=%22Trasposicion_27.15%22.%22Id_Juzgado_Garant%C3%ADa%22%3D21"/>
    <x v="5"/>
    <s v="#1774B9"/>
  </r>
  <r>
    <s v="0205"/>
    <n v="300"/>
    <s v="Violencia contra la mujer"/>
    <s v="Mujeres"/>
    <n v="22"/>
    <x v="5"/>
    <x v="1"/>
    <x v="2"/>
    <x v="38"/>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viña del mar"/>
    <s v="https://analytics.zoho.com/open-view/2395394000007166623?ZOHO_CRITERIA=%22Trasposicion_27.15%22.%22Id_Juzgado_Garant%C3%ADa%22%3D22"/>
    <x v="5"/>
    <s v="#1774B9"/>
  </r>
  <r>
    <s v="0206"/>
    <n v="300"/>
    <s v="Violencia contra la mujer"/>
    <s v="Mujeres"/>
    <n v="23"/>
    <x v="5"/>
    <x v="1"/>
    <x v="2"/>
    <x v="39"/>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graneros"/>
    <s v="https://analytics.zoho.com/open-view/2395394000007166623?ZOHO_CRITERIA=%22Trasposicion_27.15%22.%22Id_Juzgado_Garant%C3%ADa%22%3D23"/>
    <x v="6"/>
    <s v="#1774B9"/>
  </r>
  <r>
    <s v="0207"/>
    <n v="300"/>
    <s v="Violencia contra la mujer"/>
    <s v="Mujeres"/>
    <n v="24"/>
    <x v="5"/>
    <x v="1"/>
    <x v="2"/>
    <x v="40"/>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rancagua"/>
    <s v="https://analytics.zoho.com/open-view/2395394000007166623?ZOHO_CRITERIA=%22Trasposicion_27.15%22.%22Id_Juzgado_Garant%C3%ADa%22%3D24"/>
    <x v="6"/>
    <s v="#1774B9"/>
  </r>
  <r>
    <s v="0208"/>
    <n v="300"/>
    <s v="Violencia contra la mujer"/>
    <s v="Mujeres"/>
    <n v="25"/>
    <x v="5"/>
    <x v="1"/>
    <x v="2"/>
    <x v="41"/>
    <x v="2"/>
    <x v="5"/>
    <s v="Periodo 2013-2019"/>
    <s v="Número de sentencias"/>
    <s v="Poder Judicial"/>
    <s v="Sentencias Dictadas por Delitos de Abuso Sexual por Delito en el  Juzgado de Garantía de Santiago para el Periodo 2013-2019"/>
    <s v="Gráfico que muestra la evolución anual de la frecuencia de Sentencias Dictadas por Delitos de Abuso Sexual por Delito en el  Juzgado de Garantía de Santiago para el Periodo 2013-2019 de acuerdo a datos provenientes del Poder Judicial de Chile."/>
    <s v="Gráfico de Evolución"/>
    <s v="abuso sexual delitos género violencia mujer mujeres casos víctimas detenciones sentencias juzgado garantía rengo"/>
    <s v="https://analytics.zoho.com/open-view/2395394000007166623?ZOHO_CRITERIA=%22Trasposicion_27.15%22.%22Id_Juzgado_Garant%C3%ADa%22%3D25"/>
    <x v="6"/>
    <s v="#1774B9"/>
  </r>
  <r>
    <s v="0209"/>
    <n v="300"/>
    <s v="Violencia contra la mujer"/>
    <s v="Mujeres"/>
    <n v="26"/>
    <x v="5"/>
    <x v="1"/>
    <x v="2"/>
    <x v="42"/>
    <x v="2"/>
    <x v="5"/>
    <s v="Periodo 2013-2019"/>
    <s v="Número de sentencias"/>
    <s v="Poder Judicial"/>
    <s v="Sentencias Dictadas por Delitos de Abuso Sexual por Delito en el  Juzgado de Garantía de Los Lagos para el Periodo 2013-2019"/>
    <s v="Gráfico que muestra la evolución anual de la frecuencia de Sentencias Dictadas por Delitos de Abuso Sexual por Delito en el  Juzgado de Garantía de Los Lagos para el Periodo 2013-2019 de acuerdo a datos provenientes del Poder Judicial de Chile."/>
    <s v="Gráfico de Evolución"/>
    <s v="abuso sexual delitos género violencia mujer mujeres casos víctimas detenciones sentencias juzgado garantía san Fernando"/>
    <s v="https://analytics.zoho.com/open-view/2395394000007166623?ZOHO_CRITERIA=%22Trasposicion_27.15%22.%22Id_Juzgado_Garant%C3%ADa%22%3D26"/>
    <x v="6"/>
    <s v="#1774B9"/>
  </r>
  <r>
    <s v="0210"/>
    <n v="300"/>
    <s v="Violencia contra la mujer"/>
    <s v="Mujeres"/>
    <n v="27"/>
    <x v="5"/>
    <x v="1"/>
    <x v="2"/>
    <x v="43"/>
    <x v="2"/>
    <x v="5"/>
    <s v="Periodo 2013-2019"/>
    <s v="Número de sentencias"/>
    <s v="Poder Judicial"/>
    <s v="Sentencias Dictadas por Delitos de Abuso Sexual por Delito en el  Juzgado de Garantía de Mariquina para el Periodo 2013-2019"/>
    <s v="Gráfico que muestra la evolución anual de la frecuencia de Sentencias Dictadas por Delitos de Abuso Sexual por Delito en el  Juzgado de Garantía de Mariquina para el Periodo 2013-2019 de acuerdo a datos provenientes del Poder Judicial de Chile."/>
    <s v="Gráfico de Evolución"/>
    <s v="abuso sexual delitos género violencia mujer mujeres casos víctimas detenciones sentencias juzgado garantía san vicente"/>
    <s v="https://analytics.zoho.com/open-view/2395394000007166623?ZOHO_CRITERIA=%22Trasposicion_27.15%22.%22Id_Juzgado_Garant%C3%ADa%22%3D27"/>
    <x v="6"/>
    <s v="#1774B9"/>
  </r>
  <r>
    <s v="0211"/>
    <n v="300"/>
    <s v="Violencia contra la mujer"/>
    <s v="Mujeres"/>
    <n v="28"/>
    <x v="5"/>
    <x v="1"/>
    <x v="2"/>
    <x v="44"/>
    <x v="2"/>
    <x v="5"/>
    <s v="Periodo 2013-2019"/>
    <s v="Número de sentencias"/>
    <s v="Poder Judicial"/>
    <s v="Sentencias Dictadas por Delitos de Abuso Sexual por Delito en el  Juzgado de Garantía de Valdivia para el Periodo 2013-2019"/>
    <s v="Gráfico que muestra la evolución anual de la frecuencia de Sentencias Dictadas por Delitos de Abuso Sexual por Delito en el  Juzgado de Garantía de Valdivia para el Periodo 2013-2019 de acuerdo a datos provenientes del Poder Judicial de Chile."/>
    <s v="Gráfico de Evolución"/>
    <s v="abuso sexual delitos género violencia mujer mujeres casos víctimas detenciones sentencias juzgado garantía santa cruz"/>
    <s v="https://analytics.zoho.com/open-view/2395394000007166623?ZOHO_CRITERIA=%22Trasposicion_27.15%22.%22Id_Juzgado_Garant%C3%ADa%22%3D28"/>
    <x v="6"/>
    <s v="#1774B9"/>
  </r>
  <r>
    <s v="0212"/>
    <n v="300"/>
    <s v="Violencia contra la mujer"/>
    <s v="Mujeres"/>
    <n v="29"/>
    <x v="5"/>
    <x v="1"/>
    <x v="2"/>
    <x v="45"/>
    <x v="2"/>
    <x v="5"/>
    <s v="Periodo 2013-2019"/>
    <s v="Número de sentencias"/>
    <s v="Poder Judicial"/>
    <s v="Sentencias Dictadas por Delitos de Abuso Sexual por Delito en el  Juzgado de Garantía de Arica para el Periodo 2013-2019"/>
    <s v="Gráfico que muestra la evolución anual de la frecuencia de Sentencias Dictadas por Delitos de Abuso Sexual por Delito en el  Juzgado de Garantía de Arica para el Periodo 2013-2019 de acuerdo a datos provenientes del Poder Judicial de Chile."/>
    <s v="Gráfico de Evolución"/>
    <s v="abuso sexual delitos género violencia mujer mujeres casos víctimas detenciones sentencias juzgado garantía cauquenes"/>
    <s v="https://analytics.zoho.com/open-view/2395394000007166623?ZOHO_CRITERIA=%22Trasposicion_27.15%22.%22Id_Juzgado_Garant%C3%ADa%22%3D29"/>
    <x v="7"/>
    <s v="#1774B9"/>
  </r>
  <r>
    <s v="0213"/>
    <n v="300"/>
    <s v="Violencia contra la mujer"/>
    <s v="Mujeres"/>
    <n v="30"/>
    <x v="5"/>
    <x v="1"/>
    <x v="2"/>
    <x v="46"/>
    <x v="2"/>
    <x v="5"/>
    <s v="Periodo 2013-2019"/>
    <s v="Número de sentencias"/>
    <s v="Poder Judicial"/>
    <s v="Sentencias Dictadas por Delitos de Abuso Sexual por Delito en el  Juzgado de Garantía de Chillan para el Periodo 2013-2019"/>
    <s v="Gráfico que muestra la evolución anual de la frecuencia de Sentencias Dictadas por Delitos de Abuso Sexual por Delito en el  Juzgado de Garantía de Chillan para el Periodo 2013-2019 de acuerdo a datos provenientes del Poder Judicial de Chile."/>
    <s v="Gráfico de Evolución"/>
    <s v="abuso sexual delitos género violencia mujer mujeres casos víctimas detenciones sentencias juzgado garantía constitucion"/>
    <s v="https://analytics.zoho.com/open-view/2395394000007166623?ZOHO_CRITERIA=%22Trasposicion_27.15%22.%22Id_Juzgado_Garant%C3%ADa%22%3D30"/>
    <x v="7"/>
    <s v="#1774B9"/>
  </r>
  <r>
    <s v="0214"/>
    <n v="300"/>
    <s v="Violencia contra la mujer"/>
    <s v="Mujeres"/>
    <n v="31"/>
    <x v="5"/>
    <x v="1"/>
    <x v="2"/>
    <x v="47"/>
    <x v="2"/>
    <x v="5"/>
    <s v="Periodo 2013-2019"/>
    <s v="Número de sentencias"/>
    <s v="Poder Judicial"/>
    <s v="Sentencias Dictadas por Delitos de Abuso Sexual por Delito en el  Juzgado de Garantía de San Carlos para el Periodo 2013-2019"/>
    <s v="Gráfico que muestra la evolución anual de la frecuencia de Sentencias Dictadas por Delitos de Abuso Sexual por Delito en el  Juzgado de Garantía de San Carlos para el Periodo 2013-2019 de acuerdo a datos provenientes del Poder Judicial de Chile."/>
    <s v="Gráfico de Evolución"/>
    <s v="abuso sexual delitos género violencia mujer mujeres casos víctimas detenciones sentencias juzgado garantía curico"/>
    <s v="https://analytics.zoho.com/open-view/2395394000007166623?ZOHO_CRITERIA=%22Trasposicion_27.15%22.%22Id_Juzgado_Garant%C3%ADa%22%3D31"/>
    <x v="7"/>
    <s v="#1774B9"/>
  </r>
  <r>
    <s v="0215"/>
    <n v="300"/>
    <s v="Violencia contra la mujer"/>
    <s v="Mujeres"/>
    <n v="32"/>
    <x v="5"/>
    <x v="1"/>
    <x v="2"/>
    <x v="48"/>
    <x v="2"/>
    <x v="5"/>
    <s v="Periodo 2013-2019"/>
    <s v="Número de sentencias"/>
    <s v="Poder Judicial"/>
    <s v="Sentencias Dictadas por Delitos de Abuso Sexual por Delito en el  Juzgado de Garantía de Yungay para el Periodo 2013-2019"/>
    <s v="Gráfico que muestra la evolución anual de la frecuencia de Sentencias Dictadas por Delitos de Abuso Sexual por Delito en el  Juzgado de Garantía de Yungay para el Periodo 2013-2019 de acuerdo a datos provenientes del Poder Judicial de Chile."/>
    <s v="Gráfico de Evolución"/>
    <s v="abuso sexual delitos género violencia mujer mujeres casos víctimas detenciones sentencias juzgado garantía linares"/>
    <s v="https://analytics.zoho.com/open-view/2395394000007166623?ZOHO_CRITERIA=%22Trasposicion_27.15%22.%22Id_Juzgado_Garant%C3%ADa%22%3D32"/>
    <x v="7"/>
    <s v="#1774B9"/>
  </r>
  <r>
    <s v="0216"/>
    <n v="300"/>
    <s v="Violencia contra la mujer"/>
    <s v="Mujeres"/>
    <n v="33"/>
    <x v="5"/>
    <x v="1"/>
    <x v="2"/>
    <x v="49"/>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molina"/>
    <s v="https://analytics.zoho.com/open-view/2395394000007166623?ZOHO_CRITERIA=%22Trasposicion_27.15%22.%22Id_Juzgado_Garant%C3%ADa%22%3D33"/>
    <x v="7"/>
    <s v="#1774B9"/>
  </r>
  <r>
    <s v="0217"/>
    <n v="300"/>
    <s v="Violencia contra la mujer"/>
    <s v="Mujeres"/>
    <n v="34"/>
    <x v="5"/>
    <x v="1"/>
    <x v="2"/>
    <x v="50"/>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parral"/>
    <s v="https://analytics.zoho.com/open-view/2395394000007166623?ZOHO_CRITERIA=%22Trasposicion_27.15%22.%22Id_Juzgado_Garant%C3%ADa%22%3D34"/>
    <x v="7"/>
    <s v="#1774B9"/>
  </r>
  <r>
    <s v="0218"/>
    <n v="300"/>
    <s v="Violencia contra la mujer"/>
    <s v="Mujeres"/>
    <n v="35"/>
    <x v="5"/>
    <x v="1"/>
    <x v="2"/>
    <x v="51"/>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san Javier"/>
    <s v="https://analytics.zoho.com/open-view/2395394000007166623?ZOHO_CRITERIA=%22Trasposicion_27.15%22.%22Id_Juzgado_Garant%C3%ADa%22%3D35"/>
    <x v="7"/>
    <s v="#1774B9"/>
  </r>
  <r>
    <s v="0219"/>
    <n v="300"/>
    <s v="Violencia contra la mujer"/>
    <s v="Mujeres"/>
    <n v="36"/>
    <x v="5"/>
    <x v="1"/>
    <x v="2"/>
    <x v="52"/>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talca"/>
    <s v="https://analytics.zoho.com/open-view/2395394000007166623?ZOHO_CRITERIA=%22Trasposicion_27.15%22.%22Id_Juzgado_Garant%C3%ADa%22%3D36"/>
    <x v="7"/>
    <s v="#1774B9"/>
  </r>
  <r>
    <s v="0220"/>
    <n v="300"/>
    <s v="Violencia contra la mujer"/>
    <s v="Mujeres"/>
    <n v="37"/>
    <x v="5"/>
    <x v="1"/>
    <x v="2"/>
    <x v="53"/>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arauco"/>
    <s v="https://analytics.zoho.com/open-view/2395394000007166623?ZOHO_CRITERIA=%22Trasposicion_27.15%22.%22Id_Juzgado_Garant%C3%ADa%22%3D37"/>
    <x v="8"/>
    <s v="#1774B9"/>
  </r>
  <r>
    <s v="0221"/>
    <n v="300"/>
    <s v="Violencia contra la mujer"/>
    <s v="Mujeres"/>
    <n v="38"/>
    <x v="5"/>
    <x v="1"/>
    <x v="2"/>
    <x v="54"/>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añete"/>
    <s v="https://analytics.zoho.com/open-view/2395394000007166623?ZOHO_CRITERIA=%22Trasposicion_27.15%22.%22Id_Juzgado_Garant%C3%ADa%22%3D38"/>
    <x v="8"/>
    <s v="#1774B9"/>
  </r>
  <r>
    <s v="0222"/>
    <n v="300"/>
    <s v="Violencia contra la mujer"/>
    <s v="Mujeres"/>
    <n v="39"/>
    <x v="5"/>
    <x v="1"/>
    <x v="2"/>
    <x v="55"/>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higuayante"/>
    <s v="https://analytics.zoho.com/open-view/2395394000007166623?ZOHO_CRITERIA=%22Trasposicion_27.15%22.%22Id_Juzgado_Garant%C3%ADa%22%3D39"/>
    <x v="8"/>
    <s v="#1774B9"/>
  </r>
  <r>
    <s v="0223"/>
    <n v="300"/>
    <s v="Violencia contra la mujer"/>
    <s v="Mujeres"/>
    <n v="40"/>
    <x v="5"/>
    <x v="1"/>
    <x v="2"/>
    <x v="56"/>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oncepcion"/>
    <s v="https://analytics.zoho.com/open-view/2395394000007166623?ZOHO_CRITERIA=%22Trasposicion_27.15%22.%22Id_Juzgado_Garant%C3%ADa%22%3D40"/>
    <x v="8"/>
    <s v="#1774B9"/>
  </r>
  <r>
    <s v="0224"/>
    <n v="300"/>
    <s v="Violencia contra la mujer"/>
    <s v="Mujeres"/>
    <n v="41"/>
    <x v="5"/>
    <x v="1"/>
    <x v="2"/>
    <x v="57"/>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coronel"/>
    <s v="https://analytics.zoho.com/open-view/2395394000007166623?ZOHO_CRITERIA=%22Trasposicion_27.15%22.%22Id_Juzgado_Garant%C3%ADa%22%3D41"/>
    <x v="8"/>
    <s v="#1774B9"/>
  </r>
  <r>
    <s v="0225"/>
    <n v="300"/>
    <s v="Violencia contra la mujer"/>
    <s v="Mujeres"/>
    <n v="42"/>
    <x v="5"/>
    <x v="1"/>
    <x v="2"/>
    <x v="58"/>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los angeles"/>
    <s v="https://analytics.zoho.com/open-view/2395394000007166623?ZOHO_CRITERIA=%22Trasposicion_27.15%22.%22Id_Juzgado_Garant%C3%ADa%22%3D42"/>
    <x v="8"/>
    <s v="#1774B9"/>
  </r>
  <r>
    <s v="0226"/>
    <n v="300"/>
    <s v="Violencia contra la mujer"/>
    <s v="Mujeres"/>
    <n v="43"/>
    <x v="5"/>
    <x v="1"/>
    <x v="2"/>
    <x v="59"/>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talcahuano"/>
    <s v="https://analytics.zoho.com/open-view/2395394000007166623?ZOHO_CRITERIA=%22Trasposicion_27.15%22.%22Id_Juzgado_Garant%C3%ADa%22%3D43"/>
    <x v="8"/>
    <s v="#1774B9"/>
  </r>
  <r>
    <s v="0227"/>
    <n v="300"/>
    <s v="Violencia contra la mujer"/>
    <s v="Mujeres"/>
    <n v="44"/>
    <x v="5"/>
    <x v="1"/>
    <x v="2"/>
    <x v="60"/>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tome"/>
    <s v="https://analytics.zoho.com/open-view/2395394000007166623?ZOHO_CRITERIA=%22Trasposicion_27.15%22.%22Id_Juzgado_Garant%C3%ADa%22%3D44"/>
    <x v="8"/>
    <s v="#1774B9"/>
  </r>
  <r>
    <s v="0228"/>
    <n v="300"/>
    <s v="Violencia contra la mujer"/>
    <s v="Mujeres"/>
    <n v="45"/>
    <x v="5"/>
    <x v="1"/>
    <x v="2"/>
    <x v="61"/>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angol"/>
    <s v="https://analytics.zoho.com/open-view/2395394000007166623?ZOHO_CRITERIA=%22Trasposicion_27.15%22.%22Id_Juzgado_Garant%C3%ADa%22%3D45"/>
    <x v="9"/>
    <s v="#1774B9"/>
  </r>
  <r>
    <s v="0229"/>
    <n v="300"/>
    <s v="Violencia contra la mujer"/>
    <s v="Mujeres"/>
    <n v="46"/>
    <x v="5"/>
    <x v="1"/>
    <x v="2"/>
    <x v="62"/>
    <x v="2"/>
    <x v="5"/>
    <s v="Periodo 2013-2019"/>
    <s v="Número de sentencias"/>
    <s v="Poder Judicial"/>
    <s v="Sentencias Dictadas por Delitos de Abuso Sexual por Delito en el  Juzgado de Garantía de Chile para el Periodo 2013-2019"/>
    <s v="Gráfico que muestra la evolución anual de la frecuencia de Sentencias Dictadas por Delitos de Abuso Sexual por Delito en el  Juzgado de Garantía de Chile para el Periodo 2013-2019 de acuerdo a datos provenientes del Poder Judicial de Chile."/>
    <s v="Gráfico de Evolución"/>
    <s v="abuso sexual delitos género violencia mujer mujeres casos víctimas detenciones sentencias juzgado garantía lautaro"/>
    <s v="https://analytics.zoho.com/open-view/2395394000007166623?ZOHO_CRITERIA=%22Trasposicion_27.15%22.%22Id_Juzgado_Garant%C3%ADa%22%3D46"/>
    <x v="9"/>
    <s v="#1774B9"/>
  </r>
  <r>
    <s v="0230"/>
    <n v="300"/>
    <s v="Violencia contra la mujer"/>
    <s v="Mujeres"/>
    <n v="47"/>
    <x v="5"/>
    <x v="1"/>
    <x v="2"/>
    <x v="63"/>
    <x v="2"/>
    <x v="5"/>
    <s v="Periodo 2013-2019"/>
    <s v="Número de sentencias"/>
    <s v="Poder Judicial"/>
    <s v="Sentencias Dictadas por Delitos de Abuso Sexual por Delito en el  Juzgado de Garantía de Región de Tarapacá para el Periodo 2013-2019"/>
    <s v="Gráfico que muestra la evolución anual de la frecuencia de Sentencias Dictadas por Delitos de Abuso Sexual por Delito en el  Juzgado de Garantía de Región de Tarapacá para el Periodo 2013-2019 de acuerdo a datos provenientes del Poder Judicial de Chile."/>
    <s v="Gráfico de Evolución"/>
    <s v="abuso sexual delitos género violencia mujer mujeres casos víctimas detenciones sentencias juzgado garantía loncoche"/>
    <s v="https://analytics.zoho.com/open-view/2395394000007166623?ZOHO_CRITERIA=%22Trasposicion_27.15%22.%22Id_Juzgado_Garant%C3%ADa%22%3D47"/>
    <x v="9"/>
    <s v="#1774B9"/>
  </r>
  <r>
    <s v="0231"/>
    <n v="300"/>
    <s v="Violencia contra la mujer"/>
    <s v="Mujeres"/>
    <n v="48"/>
    <x v="5"/>
    <x v="1"/>
    <x v="2"/>
    <x v="64"/>
    <x v="2"/>
    <x v="5"/>
    <s v="Periodo 2013-2019"/>
    <s v="Número de sentencias"/>
    <s v="Poder Judicial"/>
    <s v="Sentencias Dictadas por Delitos de Abuso Sexual por Delito en el  Juzgado de Garantía de Región de Antofagasta para el Periodo 2013-2019"/>
    <s v="Gráfico que muestra la evolución anual de la frecuencia de Sentencias Dictadas por Delitos de Abuso Sexual por Delito en el  Juzgado de Garantía de Región de Antofagasta para el Periodo 2013-2019 de acuerdo a datos provenientes del Poder Judicial de Chile."/>
    <s v="Gráfico de Evolución"/>
    <s v="abuso sexual delitos género violencia mujer mujeres casos víctimas detenciones sentencias juzgado garantía nueva imperial"/>
    <s v="https://analytics.zoho.com/open-view/2395394000007166623?ZOHO_CRITERIA=%22Trasposicion_27.15%22.%22Id_Juzgado_Garant%C3%ADa%22%3D48"/>
    <x v="9"/>
    <s v="#1774B9"/>
  </r>
  <r>
    <s v="0232"/>
    <n v="300"/>
    <s v="Violencia contra la mujer"/>
    <s v="Mujeres"/>
    <n v="49"/>
    <x v="5"/>
    <x v="1"/>
    <x v="2"/>
    <x v="65"/>
    <x v="2"/>
    <x v="5"/>
    <s v="Periodo 2013-2019"/>
    <s v="Número de sentencias"/>
    <s v="Poder Judicial"/>
    <s v="Sentencias Dictadas por Delitos de Abuso Sexual por Delito en el  Juzgado de Garantía de Región de Atacama para el Periodo 2013-2019"/>
    <s v="Gráfico que muestra la evolución anual de la frecuencia de Sentencias Dictadas por Delitos de Abuso Sexual por Delito en el  Juzgado de Garantía de Región de Atacama para el Periodo 2013-2019 de acuerdo a datos provenientes del Poder Judicial de Chile."/>
    <s v="Gráfico de Evolución"/>
    <s v="abuso sexual delitos género violencia mujer mujeres casos víctimas detenciones sentencias juzgado garantía pitrufquen"/>
    <s v="https://analytics.zoho.com/open-view/2395394000007166623?ZOHO_CRITERIA=%22Trasposicion_27.15%22.%22Id_Juzgado_Garant%C3%ADa%22%3D49"/>
    <x v="9"/>
    <s v="#1774B9"/>
  </r>
  <r>
    <s v="0233"/>
    <n v="300"/>
    <s v="Violencia contra la mujer"/>
    <s v="Mujeres"/>
    <n v="50"/>
    <x v="5"/>
    <x v="1"/>
    <x v="2"/>
    <x v="66"/>
    <x v="2"/>
    <x v="5"/>
    <s v="Periodo 2013-2019"/>
    <s v="Número de sentencias"/>
    <s v="Poder Judicial"/>
    <s v="Sentencias Dictadas por Delitos de Abuso Sexual por Delito en el  Juzgado de Garantía de Región de Coquimbo para el Periodo 2013-2019"/>
    <s v="Gráfico que muestra la evolución anual de la frecuencia de Sentencias Dictadas por Delitos de Abuso Sexual por Delito en el  Juzgado de Garantía de Región de Coquimbo para el Periodo 2013-2019 de acuerdo a datos provenientes del Poder Judicial de Chile."/>
    <s v="Gráfico de Evolución"/>
    <s v="abuso sexual delitos género violencia mujer mujeres casos víctimas detenciones sentencias juzgado garantía temuco"/>
    <s v="https://analytics.zoho.com/open-view/2395394000007166623?ZOHO_CRITERIA=%22Trasposicion_27.15%22.%22Id_Juzgado_Garant%C3%ADa%22%3D50"/>
    <x v="9"/>
    <s v="#1774B9"/>
  </r>
  <r>
    <s v="0234"/>
    <n v="300"/>
    <s v="Violencia contra la mujer"/>
    <s v="Mujeres"/>
    <n v="51"/>
    <x v="5"/>
    <x v="1"/>
    <x v="2"/>
    <x v="67"/>
    <x v="2"/>
    <x v="5"/>
    <s v="Periodo 2013-2019"/>
    <s v="Número de sentencias"/>
    <s v="Poder Judicial"/>
    <s v="Sentencias Dictadas por Delitos de Abuso Sexual por Delito en el  Juzgado de Garantía de Región de Valparaíso para el Periodo 2013-2019"/>
    <s v="Gráfico que muestra la evolución anual de la frecuencia de Sentencias Dictadas por Delitos de Abuso Sexual por Delito en el  Juzgado de Garantía de Región de Valparaíso para el Periodo 2013-2019 de acuerdo a datos provenientes del Poder Judicial de Chile."/>
    <s v="Gráfico de Evolución"/>
    <s v="abuso sexual delitos género violencia mujer mujeres casos víctimas detenciones sentencias juzgado garantía victoria"/>
    <s v="https://analytics.zoho.com/open-view/2395394000007166623?ZOHO_CRITERIA=%22Trasposicion_27.15%22.%22Id_Juzgado_Garant%C3%ADa%22%3D51"/>
    <x v="9"/>
    <s v="#1774B9"/>
  </r>
  <r>
    <s v="0235"/>
    <n v="300"/>
    <s v="Violencia contra la mujer"/>
    <s v="Mujeres"/>
    <n v="52"/>
    <x v="5"/>
    <x v="1"/>
    <x v="2"/>
    <x v="68"/>
    <x v="2"/>
    <x v="5"/>
    <s v="Periodo 2013-2019"/>
    <s v="Número de sentencias"/>
    <s v="Poder Judicial"/>
    <s v="Sentencias Dictadas por Delitos de Abuso Sexual por Delito en el  Juzgado de Garantía de Región de O'Higgins para el Periodo 2013-2019"/>
    <s v="Gráfico que muestra la evolución anual de la frecuencia de Sentencias Dictadas por Delitos de Abuso Sexual por Delito en el  Juzgado de Garantía de Región de O'Higgins para el Periodo 2013-2019 de acuerdo a datos provenientes del Poder Judicial de Chile."/>
    <s v="Gráfico de Evolución"/>
    <s v="abuso sexual delitos género violencia mujer mujeres casos víctimas detenciones sentencias juzgado garantía villarrica"/>
    <s v="https://analytics.zoho.com/open-view/2395394000007166623?ZOHO_CRITERIA=%22Trasposicion_27.15%22.%22Id_Juzgado_Garant%C3%ADa%22%3D52"/>
    <x v="9"/>
    <s v="#1774B9"/>
  </r>
  <r>
    <s v="0236"/>
    <n v="300"/>
    <s v="Violencia contra la mujer"/>
    <s v="Mujeres"/>
    <n v="53"/>
    <x v="5"/>
    <x v="1"/>
    <x v="2"/>
    <x v="69"/>
    <x v="2"/>
    <x v="5"/>
    <s v="Periodo 2013-2019"/>
    <s v="Número de sentencias"/>
    <s v="Poder Judicial"/>
    <s v="Sentencias Dictadas por Delitos de Abuso Sexual por Delito en el  Juzgado de Garantía de Región de Maule para el Periodo 2013-2019"/>
    <s v="Gráfico que muestra la evolución anual de la frecuencia de Sentencias Dictadas por Delitos de Abuso Sexual por Delito en el  Juzgado de Garantía de Región de Maule para el Periodo 2013-2019 de acuerdo a datos provenientes del Poder Judicial de Chile."/>
    <s v="Gráfico de Evolución"/>
    <s v="abuso sexual delitos género violencia mujer mujeres casos víctimas detenciones sentencias juzgado garantía ancud"/>
    <s v="https://analytics.zoho.com/open-view/2395394000007166623?ZOHO_CRITERIA=%22Trasposicion_27.15%22.%22Id_Juzgado_Garant%C3%ADa%22%3D53"/>
    <x v="10"/>
    <s v="#1774B9"/>
  </r>
  <r>
    <s v="0237"/>
    <n v="300"/>
    <s v="Violencia contra la mujer"/>
    <s v="Mujeres"/>
    <n v="54"/>
    <x v="5"/>
    <x v="1"/>
    <x v="2"/>
    <x v="70"/>
    <x v="2"/>
    <x v="5"/>
    <s v="Periodo 2013-2019"/>
    <s v="Número de sentencias"/>
    <s v="Poder Judicial"/>
    <s v="Sentencias Dictadas por Delitos de Abuso Sexual por Delito en el  Juzgado de Garantía de Región del Biobío para el Periodo 2013-2019"/>
    <s v="Gráfico que muestra la evolución anual de la frecuencia de Sentencias Dictadas por Delitos de Abuso Sexual por Delito en el  Juzgado de Garantía de Región del Biobío para el Periodo 2013-2019 de acuerdo a datos provenientes del Poder Judicial de Chile."/>
    <s v="Gráfico de Evolución"/>
    <s v="abuso sexual delitos género violencia mujer mujeres casos víctimas detenciones sentencias juzgado garantía castro"/>
    <s v="https://analytics.zoho.com/open-view/2395394000007166623?ZOHO_CRITERIA=%22Trasposicion_27.15%22.%22Id_Juzgado_Garant%C3%ADa%22%3D54"/>
    <x v="10"/>
    <s v="#1774B9"/>
  </r>
  <r>
    <s v="0238"/>
    <n v="300"/>
    <s v="Violencia contra la mujer"/>
    <s v="Mujeres"/>
    <n v="55"/>
    <x v="5"/>
    <x v="1"/>
    <x v="2"/>
    <x v="71"/>
    <x v="2"/>
    <x v="5"/>
    <s v="Periodo 2013-2019"/>
    <s v="Número de sentencias"/>
    <s v="Poder Judicial"/>
    <s v="Sentencias Dictadas por Delitos de Abuso Sexual por Delito en el  Juzgado de Garantía de Región de La Araucanía para el Periodo 2013-2019"/>
    <s v="Gráfico que muestra la evolución anual de la frecuencia de Sentencias Dictadas por Delitos de Abuso Sexual por Delito en el  Juzgado de Garantía de Región de La Araucanía para el Periodo 2013-2019 de acuerdo a datos provenientes del Poder Judicial de Chile."/>
    <s v="Gráfico de Evolución"/>
    <s v="abuso sexual delitos género violencia mujer mujeres casos víctimas detenciones sentencias juzgado garantía osorno"/>
    <s v="https://analytics.zoho.com/open-view/2395394000007166623?ZOHO_CRITERIA=%22Trasposicion_27.15%22.%22Id_Juzgado_Garant%C3%ADa%22%3D55"/>
    <x v="10"/>
    <s v="#1774B9"/>
  </r>
  <r>
    <s v="0239"/>
    <n v="300"/>
    <s v="Violencia contra la mujer"/>
    <s v="Mujeres"/>
    <n v="56"/>
    <x v="5"/>
    <x v="1"/>
    <x v="2"/>
    <x v="72"/>
    <x v="2"/>
    <x v="5"/>
    <s v="Periodo 2013-2019"/>
    <s v="Número de sentencias"/>
    <s v="Poder Judicial"/>
    <s v="Sentencias Dictadas por Delitos de Abuso Sexual por Delito en el  Juzgado de Garantía de Región de Los Lagos para el Periodo 2013-2019"/>
    <s v="Gráfico que muestra la evolución anual de la frecuencia de Sentencias Dictadas por Delitos de Abuso Sexual por Delito en el  Juzgado de Garantía de Región de Los Lagos para el Periodo 2013-2019 de acuerdo a datos provenientes del Poder Judicial de Chile."/>
    <s v="Gráfico de Evolución"/>
    <s v="abuso sexual delitos género violencia mujer mujeres casos víctimas detenciones sentencias juzgado garantía puerto montt"/>
    <s v="https://analytics.zoho.com/open-view/2395394000007166623?ZOHO_CRITERIA=%22Trasposicion_27.15%22.%22Id_Juzgado_Garant%C3%ADa%22%3D56"/>
    <x v="10"/>
    <s v="#1774B9"/>
  </r>
  <r>
    <s v="0240"/>
    <n v="300"/>
    <s v="Violencia contra la mujer"/>
    <s v="Mujeres"/>
    <n v="57"/>
    <x v="5"/>
    <x v="1"/>
    <x v="2"/>
    <x v="73"/>
    <x v="2"/>
    <x v="5"/>
    <s v="Periodo 2013-2019"/>
    <s v="Número de sentencias"/>
    <s v="Poder Judicial"/>
    <s v="Sentencias Dictadas por Delitos de Abuso Sexual por Delito en el  Juzgado de Garantía de Región de Aysén para el Periodo 2013-2019"/>
    <s v="Gráfico que muestra la evolución anual de la frecuencia de Sentencias Dictadas por Delitos de Abuso Sexual por Delito en el  Juzgado de Garantía de Región de Aysén para el Periodo 2013-2019 de acuerdo a datos provenientes del Poder Judicial de Chile."/>
    <s v="Gráfico de Evolución"/>
    <s v="abuso sexual delitos género violencia mujer mujeres casos víctimas detenciones sentencias juzgado garantía puerto varas"/>
    <s v="https://analytics.zoho.com/open-view/2395394000007166623?ZOHO_CRITERIA=%22Trasposicion_27.15%22.%22Id_Juzgado_Garant%C3%ADa%22%3D57"/>
    <x v="10"/>
    <s v="#1774B9"/>
  </r>
  <r>
    <s v="0241"/>
    <n v="300"/>
    <s v="Violencia contra la mujer"/>
    <s v="Mujeres"/>
    <n v="58"/>
    <x v="5"/>
    <x v="1"/>
    <x v="2"/>
    <x v="74"/>
    <x v="2"/>
    <x v="5"/>
    <s v="Periodo 2013-2019"/>
    <s v="Número de sentencias"/>
    <s v="Poder Judicial"/>
    <s v="Sentencias Dictadas por Delitos de Abuso Sexual por Delito en el  Juzgado de Garantía de Región de Magallanes para el Periodo 2013-2019"/>
    <s v="Gráfico que muestra la evolución anual de la frecuencia de Sentencias Dictadas por Delitos de Abuso Sexual por Delito en el  Juzgado de Garantía de Región de Magallanes para el Periodo 2013-2019 de acuerdo a datos provenientes del Poder Judicial de Chile."/>
    <s v="Gráfico de Evolución"/>
    <s v="abuso sexual delitos género violencia mujer mujeres casos víctimas detenciones sentencias juzgado garantía rio negro"/>
    <s v="https://analytics.zoho.com/open-view/2395394000007166623?ZOHO_CRITERIA=%22Trasposicion_27.15%22.%22Id_Juzgado_Garant%C3%ADa%22%3D58"/>
    <x v="10"/>
    <s v="#1774B9"/>
  </r>
  <r>
    <s v="0242"/>
    <n v="300"/>
    <s v="Violencia contra la mujer"/>
    <s v="Mujeres"/>
    <n v="59"/>
    <x v="5"/>
    <x v="1"/>
    <x v="2"/>
    <x v="75"/>
    <x v="2"/>
    <x v="5"/>
    <s v="Periodo 2013-2019"/>
    <s v="Número de sentencias"/>
    <s v="Poder Judicial"/>
    <s v="Sentencias Dictadas por Delitos de Abuso Sexual por Delito en el  Juzgado de Garantía de Región Metropolitana para el Periodo 2013-2019"/>
    <s v="Gráfico que muestra la evolución anual de la frecuencia de Sentencias Dictadas por Delitos de Abuso Sexual por Delito en el  Juzgado de Garantía de Región Metropolitana para el Periodo 2013-2019 de acuerdo a datos provenientes del Poder Judicial de Chile."/>
    <s v="Gráfico de Evolución"/>
    <s v="abuso sexual delitos género violencia mujer mujeres casos víctimas detenciones sentencias juzgado garantía coyhaique"/>
    <s v="https://analytics.zoho.com/open-view/2395394000007166623?ZOHO_CRITERIA=%22Trasposicion_27.15%22.%22Id_Juzgado_Garant%C3%ADa%22%3D59"/>
    <x v="11"/>
    <s v="#1774B9"/>
  </r>
  <r>
    <s v="0243"/>
    <n v="300"/>
    <s v="Violencia contra la mujer"/>
    <s v="Mujeres"/>
    <n v="60"/>
    <x v="5"/>
    <x v="1"/>
    <x v="2"/>
    <x v="76"/>
    <x v="2"/>
    <x v="5"/>
    <s v="Periodo 2013-2019"/>
    <s v="Número de sentencias"/>
    <s v="Poder Judicial"/>
    <s v="Sentencias Dictadas por Delitos de Abuso Sexual por Delito en el  Juzgado de Garantía de Región de Los Ríos para el Periodo 2013-2019"/>
    <s v="Gráfico que muestra la evolución anual de la frecuencia de Sentencias Dictadas por Delitos de Abuso Sexual por Delito en el  Juzgado de Garantía de Región de Los Ríos para el Periodo 2013-2019 de acuerdo a datos provenientes del Poder Judicial de Chile."/>
    <s v="Gráfico de Evolución"/>
    <s v="abuso sexual delitos género violencia mujer mujeres casos víctimas detenciones sentencias juzgado garantía punta arenas"/>
    <s v="https://analytics.zoho.com/open-view/2395394000007166623?ZOHO_CRITERIA=%22Trasposicion_27.15%22.%22Id_Juzgado_Garant%C3%ADa%22%3D60"/>
    <x v="12"/>
    <s v="#1774B9"/>
  </r>
  <r>
    <s v="0244"/>
    <n v="300"/>
    <s v="Violencia contra la mujer"/>
    <s v="Mujeres"/>
    <n v="61"/>
    <x v="5"/>
    <x v="1"/>
    <x v="2"/>
    <x v="77"/>
    <x v="2"/>
    <x v="5"/>
    <s v="Periodo 2013-2019"/>
    <s v="Número de sentencias"/>
    <s v="Poder Judicial"/>
    <s v="Sentencias Dictadas por Delitos de Abuso Sexual por Delito en el 10° Juzgado de Garantía de Región de Arica y Parinacota para el Periodo 2013-2019"/>
    <s v="Gráfico que muestra la evolución anual de la frecuencia de Sentencias Dictadas por Delitos de Abuso Sexual por Delito en el 10° Juzgado de Garantía de Región de Arica y Parinacot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1"/>
    <x v="13"/>
    <s v="#1774B9"/>
  </r>
  <r>
    <s v="0245"/>
    <n v="300"/>
    <s v="Violencia contra la mujer"/>
    <s v="Mujeres"/>
    <n v="62"/>
    <x v="5"/>
    <x v="1"/>
    <x v="2"/>
    <x v="77"/>
    <x v="2"/>
    <x v="5"/>
    <s v="Periodo 2013-2019"/>
    <s v="Número de sentencias"/>
    <s v="Poder Judicial"/>
    <s v="Sentencias Dictadas por Delitos de Abuso Sexual por Delito en el 11° Juzgado de Garantía de Región de Ñuble para el Periodo 2013-2019"/>
    <s v="Gráfico que muestra la evolución anual de la frecuencia de Sentencias Dictadas por Delitos de Abuso Sexual por Delito en el 11° Juzgado de Garantía de Región de Ñuble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2"/>
    <x v="13"/>
    <s v="#1774B9"/>
  </r>
  <r>
    <s v="0246"/>
    <n v="300"/>
    <s v="Violencia contra la mujer"/>
    <s v="Mujeres"/>
    <n v="63"/>
    <x v="5"/>
    <x v="1"/>
    <x v="2"/>
    <x v="77"/>
    <x v="2"/>
    <x v="5"/>
    <s v="Periodo 2013-2019"/>
    <s v="Número de sentencias"/>
    <s v="Poder Judicial"/>
    <s v="Sentencias Dictadas por Delitos de Abuso Sexual por Delito en el 12° Juzgado de Garantía de Región de Tarapacá para el Periodo 2013-2019"/>
    <s v="Gráfico que muestra la evolución anual de la frecuencia de Sentencias Dictadas por Delitos de Abuso Sexual por Delito en el 12° Juzgado de Garantía de Región de Tarapacá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3"/>
    <x v="13"/>
    <s v="#1774B9"/>
  </r>
  <r>
    <s v="0247"/>
    <n v="300"/>
    <s v="Violencia contra la mujer"/>
    <s v="Mujeres"/>
    <n v="64"/>
    <x v="5"/>
    <x v="1"/>
    <x v="2"/>
    <x v="77"/>
    <x v="2"/>
    <x v="5"/>
    <s v="Periodo 2013-2019"/>
    <s v="Número de sentencias"/>
    <s v="Poder Judicial"/>
    <s v="Sentencias Dictadas por Delitos de Abuso Sexual por Delito en el 13° Juzgado de Garantía de Región de Antofagasta para el Periodo 2013-2019"/>
    <s v="Gráfico que muestra la evolución anual de la frecuencia de Sentencias Dictadas por Delitos de Abuso Sexual por Delito en el 13° Juzgado de Garantía de Región de Antofagast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4"/>
    <x v="13"/>
    <s v="#1774B9"/>
  </r>
  <r>
    <s v="0248"/>
    <n v="300"/>
    <s v="Violencia contra la mujer"/>
    <s v="Mujeres"/>
    <n v="65"/>
    <x v="5"/>
    <x v="1"/>
    <x v="2"/>
    <x v="77"/>
    <x v="2"/>
    <x v="5"/>
    <s v="Periodo 2013-2019"/>
    <s v="Número de sentencias"/>
    <s v="Poder Judicial"/>
    <s v="Sentencias Dictadas por Delitos de Abuso Sexual por Delito en el 14° Juzgado de Garantía de Región de Atacama para el Periodo 2013-2019"/>
    <s v="Gráfico que muestra la evolución anual de la frecuencia de Sentencias Dictadas por Delitos de Abuso Sexual por Delito en el 14° Juzgado de Garantía de Región de Atacam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5"/>
    <x v="13"/>
    <s v="#1774B9"/>
  </r>
  <r>
    <s v="0249"/>
    <n v="300"/>
    <s v="Violencia contra la mujer"/>
    <s v="Mujeres"/>
    <n v="66"/>
    <x v="5"/>
    <x v="1"/>
    <x v="2"/>
    <x v="77"/>
    <x v="2"/>
    <x v="5"/>
    <s v="Periodo 2013-2019"/>
    <s v="Número de sentencias"/>
    <s v="Poder Judicial"/>
    <s v="Sentencias Dictadas por Delitos de Abuso Sexual por Delito en el 15° Juzgado de Garantía de Región de Coquimbo para el Periodo 2013-2019"/>
    <s v="Gráfico que muestra la evolución anual de la frecuencia de Sentencias Dictadas por Delitos de Abuso Sexual por Delito en el 15° Juzgado de Garantía de Región de Coquimbo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6"/>
    <x v="13"/>
    <s v="#1774B9"/>
  </r>
  <r>
    <s v="0250"/>
    <n v="300"/>
    <s v="Violencia contra la mujer"/>
    <s v="Mujeres"/>
    <n v="67"/>
    <x v="5"/>
    <x v="1"/>
    <x v="2"/>
    <x v="77"/>
    <x v="2"/>
    <x v="5"/>
    <s v="Periodo 2013-2019"/>
    <s v="Número de sentencias"/>
    <s v="Poder Judicial"/>
    <s v="Sentencias Dictadas por Delitos de Abuso Sexual por Delito en el 1° Juzgado de Garantía de Región de Valparaíso para el Periodo 2013-2019"/>
    <s v="Gráfico que muestra la evolución anual de la frecuencia de Sentencias Dictadas por Delitos de Abuso Sexual por Delito en el 1° Juzgado de Garantía de Región de Valparaíso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7"/>
    <x v="13"/>
    <s v="#1774B9"/>
  </r>
  <r>
    <s v="0251"/>
    <n v="300"/>
    <s v="Violencia contra la mujer"/>
    <s v="Mujeres"/>
    <n v="68"/>
    <x v="5"/>
    <x v="1"/>
    <x v="2"/>
    <x v="77"/>
    <x v="2"/>
    <x v="5"/>
    <s v="Periodo 2013-2019"/>
    <s v="Número de sentencias"/>
    <s v="Poder Judicial"/>
    <s v="Sentencias Dictadas por Delitos de Abuso Sexual por Delito en el 2° Juzgado de Garantía de Región de O'Higgins para el Periodo 2013-2019"/>
    <s v="Gráfico que muestra la evolución anual de la frecuencia de Sentencias Dictadas por Delitos de Abuso Sexual por Delito en el 2° Juzgado de Garantía de Región de O'Higgins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8"/>
    <x v="13"/>
    <s v="#1774B9"/>
  </r>
  <r>
    <s v="0252"/>
    <n v="300"/>
    <s v="Violencia contra la mujer"/>
    <s v="Mujeres"/>
    <n v="69"/>
    <x v="5"/>
    <x v="1"/>
    <x v="2"/>
    <x v="77"/>
    <x v="2"/>
    <x v="5"/>
    <s v="Periodo 2013-2019"/>
    <s v="Número de sentencias"/>
    <s v="Poder Judicial"/>
    <s v="Sentencias Dictadas por Delitos de Abuso Sexual por Delito en el 3° Juzgado de Garantía de Región de Maule para el Periodo 2013-2019"/>
    <s v="Gráfico que muestra la evolución anual de la frecuencia de Sentencias Dictadas por Delitos de Abuso Sexual por Delito en el 3° Juzgado de Garantía de Región de Maule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69"/>
    <x v="13"/>
    <s v="#1774B9"/>
  </r>
  <r>
    <s v="0253"/>
    <n v="300"/>
    <s v="Violencia contra la mujer"/>
    <s v="Mujeres"/>
    <n v="70"/>
    <x v="5"/>
    <x v="1"/>
    <x v="2"/>
    <x v="77"/>
    <x v="2"/>
    <x v="5"/>
    <s v="Periodo 2013-2019"/>
    <s v="Número de sentencias"/>
    <s v="Poder Judicial"/>
    <s v="Sentencias Dictadas por Delitos de Abuso Sexual por Delito en el 4° Juzgado de Garantía de Región del Biobío para el Periodo 2013-2019"/>
    <s v="Gráfico que muestra la evolución anual de la frecuencia de Sentencias Dictadas por Delitos de Abuso Sexual por Delito en el 4° Juzgado de Garantía de Región del Biobío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70"/>
    <x v="13"/>
    <s v="#1774B9"/>
  </r>
  <r>
    <s v="0254"/>
    <n v="300"/>
    <s v="Violencia contra la mujer"/>
    <s v="Mujeres"/>
    <n v="71"/>
    <x v="5"/>
    <x v="1"/>
    <x v="2"/>
    <x v="77"/>
    <x v="2"/>
    <x v="5"/>
    <s v="Periodo 2013-2019"/>
    <s v="Número de sentencias"/>
    <s v="Poder Judicial"/>
    <s v="Sentencias Dictadas por Delitos de Abuso Sexual por Delito en el 5° Juzgado de Garantía de Región de La Araucanía para el Periodo 2013-2019"/>
    <s v="Gráfico que muestra la evolución anual de la frecuencia de Sentencias Dictadas por Delitos de Abuso Sexual por Delito en el 5° Juzgado de Garantía de Región de La Araucaní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71"/>
    <x v="13"/>
    <s v="#1774B9"/>
  </r>
  <r>
    <s v="0255"/>
    <n v="300"/>
    <s v="Violencia contra la mujer"/>
    <s v="Mujeres"/>
    <n v="72"/>
    <x v="5"/>
    <x v="1"/>
    <x v="2"/>
    <x v="77"/>
    <x v="2"/>
    <x v="5"/>
    <s v="Periodo 2013-2019"/>
    <s v="Número de sentencias"/>
    <s v="Poder Judicial"/>
    <s v="Sentencias Dictadas por Delitos de Abuso Sexual por Delito en el 6° Juzgado de Garantía de Región de Los Lagos para el Periodo 2013-2019"/>
    <s v="Gráfico que muestra la evolución anual de la frecuencia de Sentencias Dictadas por Delitos de Abuso Sexual por Delito en el 6° Juzgado de Garantía de Región de Los Lagos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72"/>
    <x v="13"/>
    <s v="#1774B9"/>
  </r>
  <r>
    <s v="0256"/>
    <n v="300"/>
    <s v="Violencia contra la mujer"/>
    <s v="Mujeres"/>
    <n v="73"/>
    <x v="5"/>
    <x v="1"/>
    <x v="2"/>
    <x v="77"/>
    <x v="2"/>
    <x v="5"/>
    <s v="Periodo 2013-2019"/>
    <s v="Número de sentencias"/>
    <s v="Poder Judicial"/>
    <s v="Sentencias Dictadas por Delitos de Abuso Sexual por Delito en el 7° Juzgado de Garantía de Región de Aysén para el Periodo 2013-2019"/>
    <s v="Gráfico que muestra la evolución anual de la frecuencia de Sentencias Dictadas por Delitos de Abuso Sexual por Delito en el 7° Juzgado de Garantía de Región de Aysén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73"/>
    <x v="13"/>
    <s v="#1774B9"/>
  </r>
  <r>
    <s v="0257"/>
    <n v="300"/>
    <s v="Violencia contra la mujer"/>
    <s v="Mujeres"/>
    <n v="74"/>
    <x v="5"/>
    <x v="1"/>
    <x v="2"/>
    <x v="77"/>
    <x v="2"/>
    <x v="5"/>
    <s v="Periodo 2013-2019"/>
    <s v="Número de sentencias"/>
    <s v="Poder Judicial"/>
    <s v="Sentencias Dictadas por Delitos de Abuso Sexual por Delito en el 8° Juzgado de Garantía de Región de Magallanes para el Periodo 2013-2019"/>
    <s v="Gráfico que muestra la evolución anual de la frecuencia de Sentencias Dictadas por Delitos de Abuso Sexual por Delito en el 8° Juzgado de Garantía de Región de Magallanes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74"/>
    <x v="13"/>
    <s v="#1774B9"/>
  </r>
  <r>
    <s v="0258"/>
    <n v="300"/>
    <s v="Violencia contra la mujer"/>
    <s v="Mujeres"/>
    <n v="75"/>
    <x v="5"/>
    <x v="1"/>
    <x v="2"/>
    <x v="77"/>
    <x v="2"/>
    <x v="5"/>
    <s v="Periodo 2013-2019"/>
    <s v="Número de sentencias"/>
    <s v="Poder Judicial"/>
    <s v="Sentencias Dictadas por Delitos de Abuso Sexual por Delito en el 9° Juzgado de Garantía de Región Metropolitana para el Periodo 2013-2019"/>
    <s v="Gráfico que muestra la evolución anual de la frecuencia de Sentencias Dictadas por Delitos de Abuso Sexual por Delito en el 9° Juzgado de Garantía de Región Metropolitana para el Periodo 2013-2019 de acuerdo a datos provenientes del Poder Judicial de Chile."/>
    <s v="Gráfico de Evolución"/>
    <s v="abuso sexual delitos género violencia mujer mujeres casos víctimas detenciones sentencias juzgado garantía santiago"/>
    <s v="https://analytics.zoho.com/open-view/2395394000007166623?ZOHO_CRITERIA=%22Trasposicion_27.15%22.%22Id_Juzgado_Garant%C3%ADa%22%3D75"/>
    <x v="13"/>
    <s v="#1774B9"/>
  </r>
  <r>
    <s v="0259"/>
    <n v="300"/>
    <s v="Violencia contra la mujer"/>
    <s v="Mujeres"/>
    <n v="76"/>
    <x v="5"/>
    <x v="1"/>
    <x v="2"/>
    <x v="78"/>
    <x v="2"/>
    <x v="5"/>
    <s v="Periodo 2013-2019"/>
    <s v="Número de sentencias"/>
    <s v="Poder Judicial"/>
    <s v="Sentencias Dictadas por Delitos de Abuso Sexual por Delito en el Juzgado de Garantía de Región de Los Ríos para el Periodo 2013-2019"/>
    <s v="Gráfico que muestra la evolución anual de la frecuencia de Sentencias Dictadas por Delitos de Abuso Sexual por Delito en el Juzgado de Garantía de Región de Los Ríos para el Periodo 2013-2019 de acuerdo a datos provenientes del Poder Judicial de Chile."/>
    <s v="Gráfico de Evolución"/>
    <s v="abuso sexual delitos género violencia mujer mujeres casos víctimas detenciones sentencias juzgado garantía los lagos"/>
    <s v="https://analytics.zoho.com/open-view/2395394000007166623?ZOHO_CRITERIA=%22Trasposicion_27.15%22.%22Id_Juzgado_Garant%C3%ADa%22%3D76"/>
    <x v="14"/>
    <s v="#1774B9"/>
  </r>
  <r>
    <s v="0260"/>
    <n v="300"/>
    <s v="Violencia contra la mujer"/>
    <s v="Mujeres"/>
    <n v="77"/>
    <x v="5"/>
    <x v="1"/>
    <x v="2"/>
    <x v="79"/>
    <x v="2"/>
    <x v="5"/>
    <s v="Periodo 2013-2019"/>
    <s v="Número de sentencias"/>
    <s v="Poder Judicial"/>
    <s v="Sentencias Dictadas por Delitos de Abuso Sexual por Delito en el Juzgado de Garantía de Región de Arica y Parinacota para el Periodo 2013-2019"/>
    <s v="Gráfico que muestra la evolución anual de la frecuencia de Sentencias Dictadas por Delitos de Abuso Sexual por Delito en el Juzgado de Garantía de Región de Arica y Parinacota para el Periodo 2013-2019 de acuerdo a datos provenientes del Poder Judicial de Chile."/>
    <s v="Gráfico de Evolución"/>
    <s v="abuso sexual delitos género violencia mujer mujeres casos víctimas detenciones sentencias juzgado garantía mariquina"/>
    <s v="https://analytics.zoho.com/open-view/2395394000007166623?ZOHO_CRITERIA=%22Trasposicion_27.15%22.%22Id_Juzgado_Garant%C3%ADa%22%3D77"/>
    <x v="14"/>
    <s v="#1774B9"/>
  </r>
  <r>
    <s v="0261"/>
    <n v="300"/>
    <s v="Violencia contra la mujer"/>
    <s v="Mujeres"/>
    <n v="78"/>
    <x v="5"/>
    <x v="1"/>
    <x v="2"/>
    <x v="80"/>
    <x v="2"/>
    <x v="5"/>
    <s v="Periodo 2013-2019"/>
    <s v="Número de sentencias"/>
    <s v="Poder Judicial"/>
    <s v="Sentencias Dictadas por Delitos de Abuso Sexual por Delito en el Juzgado de Garantía de Región de Ñuble para el Periodo 2013-2019"/>
    <s v="Gráfico que muestra la evolución anual de la frecuencia de Sentencias Dictadas por Delitos de Abuso Sexual por Delito en el Juzgado de Garantía de Región de Ñuble para el Periodo 2013-2019 de acuerdo a datos provenientes del Poder Judicial de Chile."/>
    <s v="Gráfico de Evolución"/>
    <s v="abuso sexual delitos género violencia mujer mujeres casos víctimas detenciones sentencias juzgado garantía valdivia"/>
    <s v="https://analytics.zoho.com/open-view/2395394000007166623?ZOHO_CRITERIA=%22Trasposicion_27.15%22.%22Id_Juzgado_Garant%C3%ADa%22%3D78"/>
    <x v="14"/>
    <s v="#1774B9"/>
  </r>
  <r>
    <s v="0262"/>
    <n v="300"/>
    <s v="Violencia contra la mujer"/>
    <s v="Mujeres"/>
    <n v="79"/>
    <x v="5"/>
    <x v="1"/>
    <x v="2"/>
    <x v="81"/>
    <x v="2"/>
    <x v="5"/>
    <s v="Periodo 2013-2019"/>
    <s v="Número de sentencias"/>
    <s v="Poder Judicial"/>
    <s v="Sentencias Dictadas por Delitos de Abuso Sexual por Delito en el Juzgado de Garantía de Región de Tarapacá para el Periodo 2013-2019"/>
    <s v="Gráfico que muestra la evolución anual de la frecuencia de Sentencias Dictadas por Delitos de Abuso Sexual por Delito en el Juzgado de Garantía de Región de Tarapacá para el Periodo 2013-2019 de acuerdo a datos provenientes del Poder Judicial de Chile."/>
    <s v="Gráfico de Evolución"/>
    <s v="abuso sexual delitos género violencia mujer mujeres casos víctimas detenciones sentencias juzgado garantía arica"/>
    <s v="https://analytics.zoho.com/open-view/2395394000007166623?ZOHO_CRITERIA=%22Trasposicion_27.15%22.%22Id_Juzgado_Garant%C3%ADa%22%3D79"/>
    <x v="15"/>
    <s v="#1774B9"/>
  </r>
  <r>
    <s v="0263"/>
    <n v="300"/>
    <s v="Violencia contra la mujer"/>
    <s v="Mujeres"/>
    <n v="80"/>
    <x v="5"/>
    <x v="1"/>
    <x v="2"/>
    <x v="82"/>
    <x v="2"/>
    <x v="5"/>
    <s v="Periodo 2013-2019"/>
    <s v="Número de sentencias"/>
    <s v="Poder Judicial"/>
    <s v="Sentencias Dictadas por Delitos de Abuso Sexual por Delito en el Juzgado de Garantía de Región de Antofagasta para el Periodo 2013-2019"/>
    <s v="Gráfico que muestra la evolución anual de la frecuencia de Sentencias Dictadas por Delitos de Abuso Sexual por Delito en el Juzgado de Garantía de Región de Antofagasta para el Periodo 2013-2019 de acuerdo a datos provenientes del Poder Judicial de Chile."/>
    <s v="Gráfico de Evolución"/>
    <s v="abuso sexual delitos género violencia mujer mujeres casos víctimas detenciones sentencias juzgado garantía chillan"/>
    <s v="https://analytics.zoho.com/open-view/2395394000007166623?ZOHO_CRITERIA=%22Trasposicion_27.15%22.%22Id_Juzgado_Garant%C3%ADa%22%3D80"/>
    <x v="16"/>
    <s v="#1774B9"/>
  </r>
  <r>
    <s v="0264"/>
    <n v="300"/>
    <s v="Violencia contra la mujer"/>
    <s v="Mujeres"/>
    <n v="81"/>
    <x v="5"/>
    <x v="1"/>
    <x v="2"/>
    <x v="83"/>
    <x v="2"/>
    <x v="5"/>
    <s v="Periodo 2013-2019"/>
    <s v="Número de sentencias"/>
    <s v="Poder Judicial"/>
    <s v="Sentencias Dictadas por Delitos de Abuso Sexual por Delito en el Juzgado de Garantía de Región de Atacama para el Periodo 2013-2019"/>
    <s v="Gráfico que muestra la evolución anual de la frecuencia de Sentencias Dictadas por Delitos de Abuso Sexual por Delito en el Juzgado de Garantía de Región de Atacama para el Periodo 2013-2019 de acuerdo a datos provenientes del Poder Judicial de Chile."/>
    <s v="Gráfico de Evolución"/>
    <s v="abuso sexual delitos género violencia mujer mujeres casos víctimas detenciones sentencias juzgado garantía san carlos"/>
    <s v="https://analytics.zoho.com/open-view/2395394000007166623?ZOHO_CRITERIA=%22Trasposicion_27.15%22.%22Id_Juzgado_Garant%C3%ADa%22%3D81"/>
    <x v="16"/>
    <s v="#1774B9"/>
  </r>
  <r>
    <s v="0265"/>
    <n v="300"/>
    <s v="Violencia contra la mujer"/>
    <s v="Mujeres"/>
    <n v="82"/>
    <x v="5"/>
    <x v="1"/>
    <x v="2"/>
    <x v="84"/>
    <x v="2"/>
    <x v="5"/>
    <s v="Periodo 2013-2019"/>
    <s v="Número de sentencias"/>
    <s v="Poder Judicial"/>
    <s v="Sentencias Dictadas por Delitos de Abuso Sexual por Delito en el Juzgado de Garantía de Región de Coquimbo para el Periodo 2013-2019"/>
    <s v="Gráfico que muestra la evolución anual de la frecuencia de Sentencias Dictadas por Delitos de Abuso Sexual por Delito en el Juzgado de Garantía de Región de Coquimbo para el Periodo 2013-2019 de acuerdo a datos provenientes del Poder Judicial de Chile."/>
    <s v="Gráfico de Evolución"/>
    <s v="abuso sexual delitos género violencia mujer mujeres casos víctimas detenciones sentencias juzgado garantía yungay"/>
    <s v="https://analytics.zoho.com/open-view/2395394000007166623?ZOHO_CRITERIA=%22Trasposicion_27.15%22.%22Id_Juzgado_Garant%C3%ADa%22%3D82"/>
    <x v="16"/>
    <s v="#1774B9"/>
  </r>
  <r>
    <s v="0266"/>
    <n v="300"/>
    <s v="Violencia contra la mujer"/>
    <s v="Mujeres"/>
    <n v="270102004"/>
    <x v="5"/>
    <x v="1"/>
    <x v="0"/>
    <x v="0"/>
    <x v="0"/>
    <x v="5"/>
    <s v="Periodo 2013-2019"/>
    <s v="Número de sentencias"/>
    <s v="Poder Judicial"/>
    <s v="Sentencias Dictadas por Delitos de Abuso Sexual por región para el delito de Abuso Sexual Adulto, durante el Periodo 2013-2019"/>
    <s v="El gráfico muestra la evolución anual de la frecuencia de Sentencias Dictadas por Delitos de Abuso Sexual por región para el delito de Abuso Sexual Adulto,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04"/>
    <x v="0"/>
    <s v="#1774B9"/>
  </r>
  <r>
    <s v="0267"/>
    <n v="300"/>
    <s v="Violencia contra la mujer"/>
    <s v="Mujeres"/>
    <n v="270102005"/>
    <x v="5"/>
    <x v="1"/>
    <x v="0"/>
    <x v="0"/>
    <x v="0"/>
    <x v="5"/>
    <s v="Periodo 2013-2019"/>
    <s v="Número de sentencias"/>
    <s v="Poder Judicial"/>
    <s v="Sentencias Dictadas por Delitos de Abuso Sexual por región para el delito de Abuso Sexual Calificado c/Introduccion Objetos O Uso Animal, durante el Periodo 2013-2019"/>
    <s v="El gráfico muestra la evolución anual de la frecuencia de Sentencias Dictadas por Delitos de Abuso Sexual por región para el delito de Abuso Sexual Calificado c/Introduccion Objetos O Uso Animal,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05"/>
    <x v="0"/>
    <s v="#1774B9"/>
  </r>
  <r>
    <s v="0268"/>
    <n v="300"/>
    <s v="Violencia contra la mujer"/>
    <s v="Mujeres"/>
    <n v="270102006"/>
    <x v="5"/>
    <x v="1"/>
    <x v="0"/>
    <x v="0"/>
    <x v="0"/>
    <x v="5"/>
    <s v="Periodo 2013-2019"/>
    <s v="Número de sentencias"/>
    <s v="Poder Judicial"/>
    <s v="Sentencias Dictadas por Delitos de Abuso Sexual por región para el delito de Abuso Sexual Con Contacto De Menor De 14 Años, durante el Periodo 2013-2019"/>
    <s v="El gráfico muestra la evolución anual de la frecuencia de Sentencias Dictadas por Delitos de Abuso Sexual por región para el delito de Abuso Sexual Con Contacto De Menor De 14 Años,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06"/>
    <x v="0"/>
    <s v="#1774B9"/>
  </r>
  <r>
    <s v="0269"/>
    <n v="300"/>
    <s v="Violencia contra la mujer"/>
    <s v="Mujeres"/>
    <n v="270102007"/>
    <x v="5"/>
    <x v="1"/>
    <x v="0"/>
    <x v="0"/>
    <x v="0"/>
    <x v="5"/>
    <s v="Periodo 2013-2019"/>
    <s v="Número de sentencias"/>
    <s v="Poder Judicial"/>
    <s v="Sentencias Dictadas por Delitos de Abuso Sexual por región para el delito de Abuso Sexual De 14 Años A Menor De 18 Años Con Circunstancia Estupro, durante el Periodo 2013-2019"/>
    <s v="El gráfico muestra la evolución anual de la frecuencia de Sentencias Dictadas por Delitos de Abuso Sexual por región para el delito de Abuso Sexual De 14 Años A Menor De 18 Años Con Circunstancia Estupro,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07"/>
    <x v="0"/>
    <s v="#1774B9"/>
  </r>
  <r>
    <s v="0270"/>
    <n v="300"/>
    <s v="Violencia contra la mujer"/>
    <s v="Mujeres"/>
    <n v="270102008"/>
    <x v="5"/>
    <x v="1"/>
    <x v="0"/>
    <x v="0"/>
    <x v="0"/>
    <x v="5"/>
    <s v="Periodo 2013-2019"/>
    <s v="Número de sentencias"/>
    <s v="Poder Judicial"/>
    <s v="Sentencias Dictadas por Delitos de Abuso Sexual por región para el delito de Abuso Sexual De Mayor De 14 (Con Circunstancias De Violación), durante el Periodo 2013-2019"/>
    <s v="El gráfico muestra la evolución anual de la frecuencia de Sentencias Dictadas por Delitos de Abuso Sexual por región para el delito de Abuso Sexual De Mayor De 14 (Con Circunstancias De Violación),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08"/>
    <x v="0"/>
    <s v="#1774B9"/>
  </r>
  <r>
    <s v="0271"/>
    <n v="300"/>
    <s v="Violencia contra la mujer"/>
    <s v="Mujeres"/>
    <n v="270102009"/>
    <x v="5"/>
    <x v="1"/>
    <x v="0"/>
    <x v="0"/>
    <x v="0"/>
    <x v="5"/>
    <s v="Periodo 2013-2019"/>
    <s v="Número de sentencias"/>
    <s v="Poder Judicial"/>
    <s v="Sentencias Dictadas por Delitos de Abuso Sexual por región para el delito de Abuso Sexual Mayor 14 /Sorpresa Sin Consentimiento, durante el Periodo 2013-2019"/>
    <s v="El gráfico muestra la evolución anual de la frecuencia de Sentencias Dictadas por Delitos de Abuso Sexual por región para el delito de Abuso Sexual Mayor 14 /Sorpresa Sin Consentimiento,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09"/>
    <x v="0"/>
    <s v="#1774B9"/>
  </r>
  <r>
    <s v="0272"/>
    <n v="300"/>
    <s v="Violencia contra la mujer"/>
    <s v="Mujeres"/>
    <n v="270102010"/>
    <x v="5"/>
    <x v="1"/>
    <x v="0"/>
    <x v="0"/>
    <x v="0"/>
    <x v="5"/>
    <s v="Periodo 2013-2019"/>
    <s v="Número de sentencias"/>
    <s v="Poder Judicial"/>
    <s v="Sentencias Dictadas por Delitos de Abuso Sexual por región para el delito de Abuso Sexual Sin Contacto, durante el Periodo 2013-2019"/>
    <s v="El gráfico muestra la evolución anual de la frecuencia de Sentencias Dictadas por Delitos de Abuso Sexual por región para el delito de Abuso Sexual Sin Contacto, durante el Periodo 2013-2019 de acuerdo a datos provenientes del Poder Judicial de Chile."/>
    <s v="Gráfico de Evolución"/>
    <s v="abuso sexual delitos género violencia mujer mujeres casos víctimas detenciones sentencias"/>
    <s v="https://analytics.zoho.com/open-view/2395394000007166583?ZOHO_CRITERIA=%22Trasposicion_27.15%22.%22Id_Categor%C3%ADa%22%3D270102010"/>
    <x v="0"/>
    <s v="#1774B9"/>
  </r>
  <r>
    <s v="0273"/>
    <n v="300"/>
    <s v="Violencia contra la mujer"/>
    <s v="Mujeres"/>
    <n v="270102004"/>
    <x v="5"/>
    <x v="1"/>
    <x v="0"/>
    <x v="0"/>
    <x v="2"/>
    <x v="5"/>
    <s v="Periodo 2013-2019"/>
    <s v="Número de sentencias"/>
    <s v="Poder Judicial"/>
    <s v="Sentencias Dictadas por Delitos de Abuso Sexual por Juzgado de Garantía para el delito de Abuso Sexual Adulto, durante el Periodo 2013-2019"/>
    <s v="El gráfico muestra la evolución anual de la frecuencia de Sentencias Dictadas por Delitos de Abuso Sexual por Juzgado de Garantía para el delito de Abuso Sexual Adulto,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04"/>
    <x v="34"/>
    <s v="#1774B9"/>
  </r>
  <r>
    <s v="0274"/>
    <n v="300"/>
    <s v="Violencia contra la mujer"/>
    <s v="Mujeres"/>
    <n v="270102005"/>
    <x v="5"/>
    <x v="1"/>
    <x v="0"/>
    <x v="0"/>
    <x v="2"/>
    <x v="5"/>
    <s v="Periodo 2013-2019"/>
    <s v="Número de sentencias"/>
    <s v="Poder Judicial"/>
    <s v="Sentencias Dictadas por Delitos de Abuso Sexual por Juzgado de Garantía para el delito de Abuso Sexual Calificado c/Introduccion Objetos O Uso Animal, durante el Periodo 2013-2019"/>
    <s v="El gráfico muestra la evolución anual de la frecuencia de Sentencias Dictadas por Delitos de Abuso Sexual por Juzgado de Garantía para el delito de Abuso Sexual Calificado c/Introduccion Objetos O Uso Animal,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05"/>
    <x v="34"/>
    <s v="#1774B9"/>
  </r>
  <r>
    <s v="0275"/>
    <n v="300"/>
    <s v="Violencia contra la mujer"/>
    <s v="Mujeres"/>
    <n v="270102006"/>
    <x v="5"/>
    <x v="1"/>
    <x v="0"/>
    <x v="0"/>
    <x v="2"/>
    <x v="5"/>
    <s v="Periodo 2013-2019"/>
    <s v="Número de sentencias"/>
    <s v="Poder Judicial"/>
    <s v="Sentencias Dictadas por Delitos de Abuso Sexual por Juzgado de Garantía para el delito de Abuso Sexual Con Contacto De Menor De 14 Años, durante el Periodo 2013-2019"/>
    <s v="El gráfico muestra la evolución anual de la frecuencia de Sentencias Dictadas por Delitos de Abuso Sexual por Juzgado de Garantía para el delito de Abuso Sexual Con Contacto De Menor De 14 Años,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06"/>
    <x v="34"/>
    <s v="#1774B9"/>
  </r>
  <r>
    <s v="0276"/>
    <n v="300"/>
    <s v="Violencia contra la mujer"/>
    <s v="Mujeres"/>
    <n v="270102007"/>
    <x v="5"/>
    <x v="1"/>
    <x v="0"/>
    <x v="0"/>
    <x v="2"/>
    <x v="5"/>
    <s v="Periodo 2013-2019"/>
    <s v="Número de sentencias"/>
    <s v="Poder Judicial"/>
    <s v="Sentencias Dictadas por Delitos de Abuso Sexual por Juzgado de Garantía para el delito de Abuso Sexual De 14 Años A Menor De 18 Años Con Circunstancia Estupro, durante el Periodo 2013-2019"/>
    <s v="El gráfico muestra la evolución anual de la frecuencia de Sentencias Dictadas por Delitos de Abuso Sexual por Juzgado de Garantía para el delito de Abuso Sexual De 14 Años A Menor De 18 Años Con Circunstancia Estupro,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07"/>
    <x v="34"/>
    <s v="#1774B9"/>
  </r>
  <r>
    <s v="0277"/>
    <n v="300"/>
    <s v="Violencia contra la mujer"/>
    <s v="Mujeres"/>
    <n v="270102008"/>
    <x v="5"/>
    <x v="1"/>
    <x v="0"/>
    <x v="0"/>
    <x v="2"/>
    <x v="5"/>
    <s v="Periodo 2013-2019"/>
    <s v="Número de sentencias"/>
    <s v="Poder Judicial"/>
    <s v="Sentencias Dictadas por Delitos de Abuso Sexual por Juzgado de Garantía para el delito de Abuso Sexual De Mayor De 14 (Con Circunstancias De Violación), durante el Periodo 2013-2019"/>
    <s v="El gráfico muestra la evolución anual de la frecuencia de Sentencias Dictadas por Delitos de Abuso Sexual por Juzgado de Garantía para el delito de Abuso Sexual De Mayor De 14 (Con Circunstancias De Violación),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08"/>
    <x v="34"/>
    <s v="#1774B9"/>
  </r>
  <r>
    <s v="0278"/>
    <n v="300"/>
    <s v="Violencia contra la mujer"/>
    <s v="Mujeres"/>
    <n v="270102009"/>
    <x v="5"/>
    <x v="1"/>
    <x v="0"/>
    <x v="0"/>
    <x v="2"/>
    <x v="5"/>
    <s v="Periodo 2013-2019"/>
    <s v="Número de sentencias"/>
    <s v="Poder Judicial"/>
    <s v="Sentencias Dictadas por Delitos de Abuso Sexual por Juzgado de Garantía para el delito de Abuso Sexual Mayor 14 /Sorpresa Sin Consentimiento, durante el Periodo 2013-2019"/>
    <s v="El gráfico muestra la evolución anual de la frecuencia de Sentencias Dictadas por Delitos de Abuso Sexual por Juzgado de Garantía para el delito de Abuso Sexual Mayor 14 /Sorpresa Sin Consentimiento,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09"/>
    <x v="34"/>
    <s v="#1774B9"/>
  </r>
  <r>
    <s v="0279"/>
    <n v="300"/>
    <s v="Violencia contra la mujer"/>
    <s v="Mujeres"/>
    <n v="270102010"/>
    <x v="5"/>
    <x v="1"/>
    <x v="0"/>
    <x v="0"/>
    <x v="2"/>
    <x v="5"/>
    <s v="Periodo 2013-2019"/>
    <s v="Número de sentencias"/>
    <s v="Poder Judicial"/>
    <s v="Sentencias Dictadas por Delitos de Abuso Sexual por Juzgado de Garantía para el delito de Abuso Sexual Sin Contacto, durante el Periodo 2013-2019"/>
    <s v="El gráfico muestra la evolución anual de la frecuencia de Sentencias Dictadas por Delitos de Abuso Sexual por Juzgado de Garantía para el delito de Abuso Sexual Sin Contacto, durante el Periodo 2013-2019 de acuerdo a datos provenientes del Poder Judicial de Chile."/>
    <s v="Gráfico de Evolución"/>
    <s v="abuso sexual delitos género violencia mujer mujeres casos víctimas detenciones sentencias juzgado garantía"/>
    <s v="https://analytics.zoho.com/open-view/2395394000007166547?ZOHO_CRITERIA=%22Trasposicion_27.15%22.%22Id_Categor%C3%ADa%22%3D270102010"/>
    <x v="34"/>
    <s v="#1774B9"/>
  </r>
  <r>
    <s v="0280"/>
    <n v="300"/>
    <s v="Violencia contra la mujer"/>
    <s v="Mujeres"/>
    <n v="1"/>
    <x v="5"/>
    <x v="1"/>
    <x v="1"/>
    <x v="1"/>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tarapacá"/>
    <s v="https://analytics.zoho.com/open-view/2395394000007166500?ZOHO_CRITERIA=%22Localiza%20CL%22.%22Codreg%22%3D1"/>
    <x v="17"/>
    <s v="#1774B9"/>
  </r>
  <r>
    <s v="0281"/>
    <n v="300"/>
    <s v="Violencia contra la mujer"/>
    <s v="Mujeres"/>
    <n v="2"/>
    <x v="5"/>
    <x v="1"/>
    <x v="1"/>
    <x v="2"/>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ntofagasta"/>
    <s v="https://analytics.zoho.com/open-view/2395394000007166500?ZOHO_CRITERIA=%22Localiza%20CL%22.%22Codreg%22%3D2"/>
    <x v="18"/>
    <s v="#1774B9"/>
  </r>
  <r>
    <s v="0282"/>
    <n v="300"/>
    <s v="Violencia contra la mujer"/>
    <s v="Mujeres"/>
    <n v="3"/>
    <x v="5"/>
    <x v="1"/>
    <x v="1"/>
    <x v="3"/>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tacama"/>
    <s v="https://analytics.zoho.com/open-view/2395394000007166500?ZOHO_CRITERIA=%22Localiza%20CL%22.%22Codreg%22%3D3"/>
    <x v="19"/>
    <s v="#1774B9"/>
  </r>
  <r>
    <s v="0283"/>
    <n v="300"/>
    <s v="Violencia contra la mujer"/>
    <s v="Mujeres"/>
    <n v="4"/>
    <x v="5"/>
    <x v="1"/>
    <x v="1"/>
    <x v="4"/>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coquimbo"/>
    <s v="https://analytics.zoho.com/open-view/2395394000007166500?ZOHO_CRITERIA=%22Localiza%20CL%22.%22Codreg%22%3D4"/>
    <x v="20"/>
    <s v="#1774B9"/>
  </r>
  <r>
    <s v="0284"/>
    <n v="300"/>
    <s v="Violencia contra la mujer"/>
    <s v="Mujeres"/>
    <n v="5"/>
    <x v="5"/>
    <x v="1"/>
    <x v="1"/>
    <x v="5"/>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valparaíso"/>
    <s v="https://analytics.zoho.com/open-view/2395394000007166500?ZOHO_CRITERIA=%22Localiza%20CL%22.%22Codreg%22%3D5"/>
    <x v="21"/>
    <s v="#1774B9"/>
  </r>
  <r>
    <s v="0285"/>
    <n v="300"/>
    <s v="Violencia contra la mujer"/>
    <s v="Mujeres"/>
    <n v="6"/>
    <x v="5"/>
    <x v="1"/>
    <x v="1"/>
    <x v="6"/>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ohiggins"/>
    <s v="https://analytics.zoho.com/open-view/2395394000007166500?ZOHO_CRITERIA=%22Localiza%20CL%22.%22Codreg%22%3D6"/>
    <x v="22"/>
    <s v="#1774B9"/>
  </r>
  <r>
    <s v="0286"/>
    <n v="300"/>
    <s v="Violencia contra la mujer"/>
    <s v="Mujeres"/>
    <n v="7"/>
    <x v="5"/>
    <x v="1"/>
    <x v="1"/>
    <x v="7"/>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maule"/>
    <s v="https://analytics.zoho.com/open-view/2395394000007166500?ZOHO_CRITERIA=%22Localiza%20CL%22.%22Codreg%22%3D7"/>
    <x v="23"/>
    <s v="#1774B9"/>
  </r>
  <r>
    <s v="0287"/>
    <n v="300"/>
    <s v="Violencia contra la mujer"/>
    <s v="Mujeres"/>
    <n v="8"/>
    <x v="5"/>
    <x v="1"/>
    <x v="1"/>
    <x v="8"/>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biobío"/>
    <s v="https://analytics.zoho.com/open-view/2395394000007166500?ZOHO_CRITERIA=%22Localiza%20CL%22.%22Codreg%22%3D8"/>
    <x v="24"/>
    <s v="#1774B9"/>
  </r>
  <r>
    <s v="0288"/>
    <n v="300"/>
    <s v="Violencia contra la mujer"/>
    <s v="Mujeres"/>
    <n v="9"/>
    <x v="5"/>
    <x v="1"/>
    <x v="1"/>
    <x v="9"/>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raucanía"/>
    <s v="https://analytics.zoho.com/open-view/2395394000007166500?ZOHO_CRITERIA=%22Localiza%20CL%22.%22Codreg%22%3D9"/>
    <x v="25"/>
    <s v="#1774B9"/>
  </r>
  <r>
    <s v="0289"/>
    <n v="300"/>
    <s v="Violencia contra la mujer"/>
    <s v="Mujeres"/>
    <n v="10"/>
    <x v="5"/>
    <x v="1"/>
    <x v="1"/>
    <x v="10"/>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lagos"/>
    <s v="https://analytics.zoho.com/open-view/2395394000007166500?ZOHO_CRITERIA=%22Localiza%20CL%22.%22Codreg%22%3D10"/>
    <x v="26"/>
    <s v="#1774B9"/>
  </r>
  <r>
    <s v="0290"/>
    <n v="300"/>
    <s v="Violencia contra la mujer"/>
    <s v="Mujeres"/>
    <n v="11"/>
    <x v="5"/>
    <x v="1"/>
    <x v="1"/>
    <x v="11"/>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ysén"/>
    <s v="https://analytics.zoho.com/open-view/2395394000007166500?ZOHO_CRITERIA=%22Localiza%20CL%22.%22Codreg%22%3D11"/>
    <x v="27"/>
    <s v="#1774B9"/>
  </r>
  <r>
    <s v="0291"/>
    <n v="300"/>
    <s v="Violencia contra la mujer"/>
    <s v="Mujeres"/>
    <n v="12"/>
    <x v="5"/>
    <x v="1"/>
    <x v="1"/>
    <x v="12"/>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magallanes"/>
    <s v="https://analytics.zoho.com/open-view/2395394000007166500?ZOHO_CRITERIA=%22Localiza%20CL%22.%22Codreg%22%3D12"/>
    <x v="28"/>
    <s v="#1774B9"/>
  </r>
  <r>
    <s v="0292"/>
    <n v="300"/>
    <s v="Violencia contra la mujer"/>
    <s v="Mujeres"/>
    <n v="13"/>
    <x v="5"/>
    <x v="1"/>
    <x v="1"/>
    <x v="13"/>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metropolitana"/>
    <s v="https://analytics.zoho.com/open-view/2395394000007166500?ZOHO_CRITERIA=%22Localiza%20CL%22.%22Codreg%22%3D13"/>
    <x v="29"/>
    <s v="#1774B9"/>
  </r>
  <r>
    <s v="0293"/>
    <n v="300"/>
    <s v="Violencia contra la mujer"/>
    <s v="Mujeres"/>
    <n v="14"/>
    <x v="5"/>
    <x v="1"/>
    <x v="1"/>
    <x v="14"/>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ríos"/>
    <s v="https://analytics.zoho.com/open-view/2395394000007166500?ZOHO_CRITERIA=%22Localiza%20CL%22.%22Codreg%22%3D14"/>
    <x v="30"/>
    <s v="#1774B9"/>
  </r>
  <r>
    <s v="0294"/>
    <n v="300"/>
    <s v="Violencia contra la mujer"/>
    <s v="Mujeres"/>
    <n v="15"/>
    <x v="5"/>
    <x v="1"/>
    <x v="1"/>
    <x v="15"/>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arica parinacota"/>
    <s v="https://analytics.zoho.com/open-view/2395394000007166500?ZOHO_CRITERIA=%22Localiza%20CL%22.%22Codreg%22%3D15"/>
    <x v="31"/>
    <s v="#1774B9"/>
  </r>
  <r>
    <s v="0295"/>
    <n v="300"/>
    <s v="Violencia contra la mujer"/>
    <s v="Mujeres"/>
    <n v="16"/>
    <x v="5"/>
    <x v="1"/>
    <x v="1"/>
    <x v="16"/>
    <x v="2"/>
    <x v="6"/>
    <s v="Periodo 2013-2019"/>
    <s v="Porcentaje"/>
    <s v="Poder Judicial"/>
    <s v="Variación Trimestral de Sentencias Dictadas (%) por Delitos de Abuso Sexual  en la Chile, durante el Periodo 2013-2019"/>
    <s v="El gráfico muestra la tendencia de la Variación Trimestral de Sentencias Dictadas (%) por Delitos de Abuso Sexual  en la Chile, durante el Periodo 2013-2019 de acuerdo a datos provenientes del Poder Judicial de Chile."/>
    <s v="Gráfico de Evolución"/>
    <s v="abuso sexual delitos género violencia mujer mujeres casos víctimas detenciones sentencias ñuble"/>
    <s v="https://analytics.zoho.com/open-view/2395394000007166500?ZOHO_CRITERIA=%22Localiza%20CL%22.%22Codreg%22%3D16"/>
    <x v="32"/>
    <s v="#1774B9"/>
  </r>
  <r>
    <s v="0296"/>
    <n v="300"/>
    <s v="Violencia contra la mujer"/>
    <s v="Mujeres"/>
    <n v="1"/>
    <x v="5"/>
    <x v="1"/>
    <x v="1"/>
    <x v="1"/>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tarapacá"/>
    <s v="https://analytics.zoho.com/open-view/2395394000007166460?ZOHO_CRITERIA=%22Localiza%20CL%22.%22Codreg%22%3D1"/>
    <x v="17"/>
    <s v="#1774B9"/>
  </r>
  <r>
    <s v="0297"/>
    <n v="300"/>
    <s v="Violencia contra la mujer"/>
    <s v="Mujeres"/>
    <n v="2"/>
    <x v="5"/>
    <x v="1"/>
    <x v="1"/>
    <x v="2"/>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ntofagasta"/>
    <s v="https://analytics.zoho.com/open-view/2395394000007166460?ZOHO_CRITERIA=%22Localiza%20CL%22.%22Codreg%22%3D2"/>
    <x v="18"/>
    <s v="#1774B9"/>
  </r>
  <r>
    <s v="0298"/>
    <n v="300"/>
    <s v="Violencia contra la mujer"/>
    <s v="Mujeres"/>
    <n v="3"/>
    <x v="5"/>
    <x v="1"/>
    <x v="1"/>
    <x v="3"/>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tacama"/>
    <s v="https://analytics.zoho.com/open-view/2395394000007166460?ZOHO_CRITERIA=%22Localiza%20CL%22.%22Codreg%22%3D3"/>
    <x v="19"/>
    <s v="#1774B9"/>
  </r>
  <r>
    <s v="0299"/>
    <n v="300"/>
    <s v="Violencia contra la mujer"/>
    <s v="Mujeres"/>
    <n v="4"/>
    <x v="5"/>
    <x v="1"/>
    <x v="1"/>
    <x v="4"/>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coquimbo"/>
    <s v="https://analytics.zoho.com/open-view/2395394000007166460?ZOHO_CRITERIA=%22Localiza%20CL%22.%22Codreg%22%3D4"/>
    <x v="20"/>
    <s v="#1774B9"/>
  </r>
  <r>
    <s v="0300"/>
    <n v="300"/>
    <s v="Violencia contra la mujer"/>
    <s v="Mujeres"/>
    <n v="5"/>
    <x v="5"/>
    <x v="1"/>
    <x v="1"/>
    <x v="5"/>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valparaíso"/>
    <s v="https://analytics.zoho.com/open-view/2395394000007166460?ZOHO_CRITERIA=%22Localiza%20CL%22.%22Codreg%22%3D5"/>
    <x v="21"/>
    <s v="#1774B9"/>
  </r>
  <r>
    <s v="0301"/>
    <n v="300"/>
    <s v="Violencia contra la mujer"/>
    <s v="Mujeres"/>
    <n v="6"/>
    <x v="5"/>
    <x v="1"/>
    <x v="1"/>
    <x v="6"/>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ohiggins"/>
    <s v="https://analytics.zoho.com/open-view/2395394000007166460?ZOHO_CRITERIA=%22Localiza%20CL%22.%22Codreg%22%3D6"/>
    <x v="22"/>
    <s v="#1774B9"/>
  </r>
  <r>
    <s v="0302"/>
    <n v="300"/>
    <s v="Violencia contra la mujer"/>
    <s v="Mujeres"/>
    <n v="7"/>
    <x v="5"/>
    <x v="1"/>
    <x v="1"/>
    <x v="7"/>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maule"/>
    <s v="https://analytics.zoho.com/open-view/2395394000007166460?ZOHO_CRITERIA=%22Localiza%20CL%22.%22Codreg%22%3D7"/>
    <x v="23"/>
    <s v="#1774B9"/>
  </r>
  <r>
    <s v="0303"/>
    <n v="300"/>
    <s v="Violencia contra la mujer"/>
    <s v="Mujeres"/>
    <n v="8"/>
    <x v="5"/>
    <x v="1"/>
    <x v="1"/>
    <x v="8"/>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biobío"/>
    <s v="https://analytics.zoho.com/open-view/2395394000007166460?ZOHO_CRITERIA=%22Localiza%20CL%22.%22Codreg%22%3D8"/>
    <x v="24"/>
    <s v="#1774B9"/>
  </r>
  <r>
    <s v="0304"/>
    <n v="300"/>
    <s v="Violencia contra la mujer"/>
    <s v="Mujeres"/>
    <n v="9"/>
    <x v="5"/>
    <x v="1"/>
    <x v="1"/>
    <x v="9"/>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raucanía"/>
    <s v="https://analytics.zoho.com/open-view/2395394000007166460?ZOHO_CRITERIA=%22Localiza%20CL%22.%22Codreg%22%3D9"/>
    <x v="25"/>
    <s v="#1774B9"/>
  </r>
  <r>
    <s v="0305"/>
    <n v="300"/>
    <s v="Violencia contra la mujer"/>
    <s v="Mujeres"/>
    <n v="10"/>
    <x v="5"/>
    <x v="1"/>
    <x v="1"/>
    <x v="10"/>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lagos"/>
    <s v="https://analytics.zoho.com/open-view/2395394000007166460?ZOHO_CRITERIA=%22Localiza%20CL%22.%22Codreg%22%3D10"/>
    <x v="26"/>
    <s v="#1774B9"/>
  </r>
  <r>
    <s v="0306"/>
    <n v="300"/>
    <s v="Violencia contra la mujer"/>
    <s v="Mujeres"/>
    <n v="11"/>
    <x v="5"/>
    <x v="1"/>
    <x v="1"/>
    <x v="11"/>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ysén"/>
    <s v="https://analytics.zoho.com/open-view/2395394000007166460?ZOHO_CRITERIA=%22Localiza%20CL%22.%22Codreg%22%3D11"/>
    <x v="27"/>
    <s v="#1774B9"/>
  </r>
  <r>
    <s v="0307"/>
    <n v="300"/>
    <s v="Violencia contra la mujer"/>
    <s v="Mujeres"/>
    <n v="12"/>
    <x v="5"/>
    <x v="1"/>
    <x v="1"/>
    <x v="12"/>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magallanes"/>
    <s v="https://analytics.zoho.com/open-view/2395394000007166460?ZOHO_CRITERIA=%22Localiza%20CL%22.%22Codreg%22%3D12"/>
    <x v="28"/>
    <s v="#1774B9"/>
  </r>
  <r>
    <s v="0308"/>
    <n v="300"/>
    <s v="Violencia contra la mujer"/>
    <s v="Mujeres"/>
    <n v="13"/>
    <x v="5"/>
    <x v="1"/>
    <x v="1"/>
    <x v="13"/>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metropolitana"/>
    <s v="https://analytics.zoho.com/open-view/2395394000007166460?ZOHO_CRITERIA=%22Localiza%20CL%22.%22Codreg%22%3D13"/>
    <x v="29"/>
    <s v="#1774B9"/>
  </r>
  <r>
    <s v="0309"/>
    <n v="300"/>
    <s v="Violencia contra la mujer"/>
    <s v="Mujeres"/>
    <n v="14"/>
    <x v="5"/>
    <x v="1"/>
    <x v="1"/>
    <x v="14"/>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ríos"/>
    <s v="https://analytics.zoho.com/open-view/2395394000007166460?ZOHO_CRITERIA=%22Localiza%20CL%22.%22Codreg%22%3D14"/>
    <x v="30"/>
    <s v="#1774B9"/>
  </r>
  <r>
    <s v="0310"/>
    <n v="300"/>
    <s v="Violencia contra la mujer"/>
    <s v="Mujeres"/>
    <n v="15"/>
    <x v="5"/>
    <x v="1"/>
    <x v="1"/>
    <x v="15"/>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arica parinacota"/>
    <s v="https://analytics.zoho.com/open-view/2395394000007166460?ZOHO_CRITERIA=%22Localiza%20CL%22.%22Codreg%22%3D15"/>
    <x v="31"/>
    <s v="#1774B9"/>
  </r>
  <r>
    <s v="0311"/>
    <n v="300"/>
    <s v="Violencia contra la mujer"/>
    <s v="Mujeres"/>
    <n v="16"/>
    <x v="5"/>
    <x v="1"/>
    <x v="1"/>
    <x v="16"/>
    <x v="2"/>
    <x v="6"/>
    <s v="Periodo 2013-2019"/>
    <s v="Porcentaje"/>
    <s v="Poder Judicial"/>
    <s v="Variación Trimestral de Sentencias Dictadas (%) en la Chile por Delito, durante el Periodo 2013-2019"/>
    <s v="El gráfico muestra la tendencia de la Variación Trimestral de Sentencias Dictadas (%) en la Chile por Delito, durante el Periodo 2013-2019 de acuerdo a datos provenientes del Poder Judicial de Chile."/>
    <s v="Gráfico de Evolución"/>
    <s v="abuso sexual delitos género violencia mujer mujeres casos víctimas detenciones sentencias ñuble"/>
    <s v="https://analytics.zoho.com/open-view/2395394000007166460?ZOHO_CRITERIA=%22Localiza%20CL%22.%22Codreg%22%3D16"/>
    <x v="32"/>
    <s v="#1774B9"/>
  </r>
  <r>
    <s v="0312"/>
    <n v="300"/>
    <s v="Violencia contra la mujer"/>
    <s v="Mujeres"/>
    <n v="1"/>
    <x v="5"/>
    <x v="1"/>
    <x v="1"/>
    <x v="1"/>
    <x v="2"/>
    <x v="6"/>
    <s v="Periodo 2013-2019"/>
    <s v="Porcentaje"/>
    <s v="Poder Judicial"/>
    <s v="Variación Trimestral de Sentencias Dictadas (%) en la Región de Tarapacá por Juzgado de Garantía, durante el Periodo 2013-2019"/>
    <s v="El gráfico muestra la tendencia de la Variación Trimestral de Sentencias Dictadas (%) en la Región de Tarapacá por Juzgado de Garantía, durante el Periodo 2013-2019 de acuerdo a datos provenientes del Poder Judicial de Chile."/>
    <s v="Gráfico de Evolución"/>
    <s v="abuso sexual delitos género violencia mujer mujeres casos víctimas detenciones sentencias tarapacá"/>
    <s v="https://analytics.zoho.com/open-view/2395394000007166420?ZOHO_CRITERIA=%22Localiza%20CL%22.%22Codreg%22%3D1"/>
    <x v="1"/>
    <s v="#1774B9"/>
  </r>
  <r>
    <s v="0313"/>
    <n v="300"/>
    <s v="Violencia contra la mujer"/>
    <s v="Mujeres"/>
    <n v="2"/>
    <x v="5"/>
    <x v="1"/>
    <x v="1"/>
    <x v="2"/>
    <x v="2"/>
    <x v="6"/>
    <s v="Periodo 2013-2019"/>
    <s v="Porcentaje"/>
    <s v="Poder Judicial"/>
    <s v="Variación Trimestral de Sentencias Dictadas (%) en la Región de Antofagasta por Juzgado de Garantía, durante el Periodo 2013-2019"/>
    <s v="El gráfico muestra la tendencia de la Variación Trimestral de Sentencias Dictadas (%) en la Región de Antofagasta por Juzgado de Garantía, durante el Periodo 2013-2019 de acuerdo a datos provenientes del Poder Judicial de Chile."/>
    <s v="Gráfico de Evolución"/>
    <s v="abuso sexual delitos género violencia mujer mujeres casos víctimas detenciones sentencias antofagasta"/>
    <s v="https://analytics.zoho.com/open-view/2395394000007166420?ZOHO_CRITERIA=%22Localiza%20CL%22.%22Codreg%22%3D2"/>
    <x v="2"/>
    <s v="#1774B9"/>
  </r>
  <r>
    <s v="0314"/>
    <n v="300"/>
    <s v="Violencia contra la mujer"/>
    <s v="Mujeres"/>
    <n v="3"/>
    <x v="5"/>
    <x v="1"/>
    <x v="1"/>
    <x v="3"/>
    <x v="2"/>
    <x v="6"/>
    <s v="Periodo 2013-2019"/>
    <s v="Porcentaje"/>
    <s v="Poder Judicial"/>
    <s v="Variación Trimestral de Sentencias Dictadas (%) en la Región de Atacama por Juzgado de Garantía, durante el Periodo 2013-2019"/>
    <s v="El gráfico muestra la tendencia de la Variación Trimestral de Sentencias Dictadas (%) en la Región de Atacama por Juzgado de Garantía, durante el Periodo 2013-2019 de acuerdo a datos provenientes del Poder Judicial de Chile."/>
    <s v="Gráfico de Evolución"/>
    <s v="abuso sexual delitos género violencia mujer mujeres casos víctimas detenciones sentencias atacama"/>
    <s v="https://analytics.zoho.com/open-view/2395394000007166420?ZOHO_CRITERIA=%22Localiza%20CL%22.%22Codreg%22%3D3"/>
    <x v="3"/>
    <s v="#1774B9"/>
  </r>
  <r>
    <s v="0315"/>
    <n v="300"/>
    <s v="Violencia contra la mujer"/>
    <s v="Mujeres"/>
    <n v="4"/>
    <x v="5"/>
    <x v="1"/>
    <x v="1"/>
    <x v="4"/>
    <x v="2"/>
    <x v="6"/>
    <s v="Periodo 2013-2019"/>
    <s v="Porcentaje"/>
    <s v="Poder Judicial"/>
    <s v="Variación Trimestral de Sentencias Dictadas (%) en la Región de Coquimbo por Juzgado de Garantía, durante el Periodo 2013-2019"/>
    <s v="El gráfico muestra la tendencia de la Variación Trimestral de Sentencias Dictadas (%) en la Región de Coquimbo por Juzgado de Garantía, durante el Periodo 2013-2019 de acuerdo a datos provenientes del Poder Judicial de Chile."/>
    <s v="Gráfico de Evolución"/>
    <s v="abuso sexual delitos género violencia mujer mujeres casos víctimas detenciones sentencias coquimbo"/>
    <s v="https://analytics.zoho.com/open-view/2395394000007166420?ZOHO_CRITERIA=%22Localiza%20CL%22.%22Codreg%22%3D4"/>
    <x v="4"/>
    <s v="#1774B9"/>
  </r>
  <r>
    <s v="0316"/>
    <n v="300"/>
    <s v="Violencia contra la mujer"/>
    <s v="Mujeres"/>
    <n v="5"/>
    <x v="5"/>
    <x v="1"/>
    <x v="1"/>
    <x v="5"/>
    <x v="2"/>
    <x v="6"/>
    <s v="Periodo 2013-2019"/>
    <s v="Porcentaje"/>
    <s v="Poder Judicial"/>
    <s v="Variación Trimestral de Sentencias Dictadas (%) en la Región de Valparaíso por Juzgado de Garantía, durante el Periodo 2013-2019"/>
    <s v="El gráfico muestra la tendencia de la Variación Trimestral de Sentencias Dictadas (%) en la Región de Valparaíso por Juzgado de Garantía, durante el Periodo 2013-2019 de acuerdo a datos provenientes del Poder Judicial de Chile."/>
    <s v="Gráfico de Evolución"/>
    <s v="abuso sexual delitos género violencia mujer mujeres casos víctimas detenciones sentencias valparaíso"/>
    <s v="https://analytics.zoho.com/open-view/2395394000007166420?ZOHO_CRITERIA=%22Localiza%20CL%22.%22Codreg%22%3D5"/>
    <x v="5"/>
    <s v="#1774B9"/>
  </r>
  <r>
    <s v="0317"/>
    <n v="300"/>
    <s v="Violencia contra la mujer"/>
    <s v="Mujeres"/>
    <n v="6"/>
    <x v="5"/>
    <x v="1"/>
    <x v="1"/>
    <x v="6"/>
    <x v="2"/>
    <x v="6"/>
    <s v="Periodo 2013-2019"/>
    <s v="Porcentaje"/>
    <s v="Poder Judicial"/>
    <s v="Variación Trimestral de Sentencias Dictadas (%) en la Región de O'Higgins por Juzgado de Garantía, durante el Periodo 2013-2019"/>
    <s v="El gráfico muestra la tendencia de la Variación Trimestral de Sentencias Dictadas (%) en la Región de O'Higgins por Juzgado de Garantía, durante el Periodo 2013-2019 de acuerdo a datos provenientes del Poder Judicial de Chile."/>
    <s v="Gráfico de Evolución"/>
    <s v="abuso sexual delitos género violencia mujer mujeres casos víctimas detenciones sentencias ohiggins"/>
    <s v="https://analytics.zoho.com/open-view/2395394000007166420?ZOHO_CRITERIA=%22Localiza%20CL%22.%22Codreg%22%3D6"/>
    <x v="6"/>
    <s v="#1774B9"/>
  </r>
  <r>
    <s v="0318"/>
    <n v="300"/>
    <s v="Violencia contra la mujer"/>
    <s v="Mujeres"/>
    <n v="7"/>
    <x v="5"/>
    <x v="1"/>
    <x v="1"/>
    <x v="7"/>
    <x v="2"/>
    <x v="6"/>
    <s v="Periodo 2013-2019"/>
    <s v="Porcentaje"/>
    <s v="Poder Judicial"/>
    <s v="Variación Trimestral de Sentencias Dictadas (%) en la Región de Maule por Juzgado de Garantía, durante el Periodo 2013-2019"/>
    <s v="El gráfico muestra la tendencia de la Variación Trimestral de Sentencias Dictadas (%) en la Región de Maule por Juzgado de Garantía, durante el Periodo 2013-2019 de acuerdo a datos provenientes del Poder Judicial de Chile."/>
    <s v="Gráfico de Evolución"/>
    <s v="abuso sexual delitos género violencia mujer mujeres casos víctimas detenciones sentencias maule"/>
    <s v="https://analytics.zoho.com/open-view/2395394000007166420?ZOHO_CRITERIA=%22Localiza%20CL%22.%22Codreg%22%3D7"/>
    <x v="7"/>
    <s v="#1774B9"/>
  </r>
  <r>
    <s v="0319"/>
    <n v="300"/>
    <s v="Violencia contra la mujer"/>
    <s v="Mujeres"/>
    <n v="8"/>
    <x v="5"/>
    <x v="1"/>
    <x v="1"/>
    <x v="8"/>
    <x v="2"/>
    <x v="6"/>
    <s v="Periodo 2013-2019"/>
    <s v="Porcentaje"/>
    <s v="Poder Judicial"/>
    <s v="Variación Trimestral de Sentencias Dictadas (%) en la Región del Biobío por Juzgado de Garantía, durante el Periodo 2013-2019"/>
    <s v="El gráfico muestra la tendencia de la Variación Trimestral de Sentencias Dictadas (%) en la Región del Biobío por Juzgado de Garantía, durante el Periodo 2013-2019 de acuerdo a datos provenientes del Poder Judicial de Chile."/>
    <s v="Gráfico de Evolución"/>
    <s v="abuso sexual delitos género violencia mujer mujeres casos víctimas detenciones sentencias biobío"/>
    <s v="https://analytics.zoho.com/open-view/2395394000007166420?ZOHO_CRITERIA=%22Localiza%20CL%22.%22Codreg%22%3D8"/>
    <x v="8"/>
    <s v="#1774B9"/>
  </r>
  <r>
    <s v="0320"/>
    <n v="300"/>
    <s v="Violencia contra la mujer"/>
    <s v="Mujeres"/>
    <n v="9"/>
    <x v="5"/>
    <x v="1"/>
    <x v="1"/>
    <x v="9"/>
    <x v="2"/>
    <x v="6"/>
    <s v="Periodo 2013-2019"/>
    <s v="Porcentaje"/>
    <s v="Poder Judicial"/>
    <s v="Variación Trimestral de Sentencias Dictadas (%) en la Región de La Araucanía por Juzgado de Garantía, durante el Periodo 2013-2019"/>
    <s v="El gráfico muestra la tendencia de la Variación Trimestral de Sentencias Dictadas (%) en la Región de La Araucanía por Juzgado de Garantía, durante el Periodo 2013-2019 de acuerdo a datos provenientes del Poder Judicial de Chile."/>
    <s v="Gráfico de Evolución"/>
    <s v="abuso sexual delitos género violencia mujer mujeres casos víctimas detenciones sentencias araucanía"/>
    <s v="https://analytics.zoho.com/open-view/2395394000007166420?ZOHO_CRITERIA=%22Localiza%20CL%22.%22Codreg%22%3D9"/>
    <x v="9"/>
    <s v="#1774B9"/>
  </r>
  <r>
    <s v="0321"/>
    <n v="300"/>
    <s v="Violencia contra la mujer"/>
    <s v="Mujeres"/>
    <n v="10"/>
    <x v="5"/>
    <x v="1"/>
    <x v="1"/>
    <x v="10"/>
    <x v="2"/>
    <x v="6"/>
    <s v="Periodo 2013-2019"/>
    <s v="Porcentaje"/>
    <s v="Poder Judicial"/>
    <s v="Variación Trimestral de Sentencias Dictadas (%) en la Región de Los Lagos por Juzgado de Garantía, durante el Periodo 2013-2019"/>
    <s v="El gráfico muestra la tendencia de la Variación Trimestral de Sentencias Dictadas (%) en la Región de Los Lagos por Juzgado de Garantía, durante el Periodo 2013-2019 de acuerdo a datos provenientes del Poder Judicial de Chile."/>
    <s v="Gráfico de Evolución"/>
    <s v="abuso sexual delitos género violencia mujer mujeres casos víctimas detenciones sentencias lagos"/>
    <s v="https://analytics.zoho.com/open-view/2395394000007166420?ZOHO_CRITERIA=%22Localiza%20CL%22.%22Codreg%22%3D10"/>
    <x v="10"/>
    <s v="#1774B9"/>
  </r>
  <r>
    <s v="0322"/>
    <n v="300"/>
    <s v="Violencia contra la mujer"/>
    <s v="Mujeres"/>
    <n v="11"/>
    <x v="5"/>
    <x v="1"/>
    <x v="1"/>
    <x v="11"/>
    <x v="2"/>
    <x v="6"/>
    <s v="Periodo 2013-2019"/>
    <s v="Porcentaje"/>
    <s v="Poder Judicial"/>
    <s v="Variación Trimestral de Sentencias Dictadas (%) en la Región de Aysén por Juzgado de Garantía, durante el Periodo 2013-2019"/>
    <s v="El gráfico muestra la tendencia de la Variación Trimestral de Sentencias Dictadas (%) en la Región de Aysén por Juzgado de Garantía, durante el Periodo 2013-2019 de acuerdo a datos provenientes del Poder Judicial de Chile."/>
    <s v="Gráfico de Evolución"/>
    <s v="abuso sexual delitos género violencia mujer mujeres casos víctimas detenciones sentencias aysén"/>
    <s v="https://analytics.zoho.com/open-view/2395394000007166420?ZOHO_CRITERIA=%22Localiza%20CL%22.%22Codreg%22%3D11"/>
    <x v="11"/>
    <s v="#1774B9"/>
  </r>
  <r>
    <s v="0323"/>
    <n v="300"/>
    <s v="Violencia contra la mujer"/>
    <s v="Mujeres"/>
    <n v="12"/>
    <x v="5"/>
    <x v="1"/>
    <x v="1"/>
    <x v="12"/>
    <x v="2"/>
    <x v="6"/>
    <s v="Periodo 2013-2019"/>
    <s v="Porcentaje"/>
    <s v="Poder Judicial"/>
    <s v="Variación Trimestral de Sentencias Dictadas (%) en la Región de Magallanes por Juzgado de Garantía, durante el Periodo 2013-2019"/>
    <s v="El gráfico muestra la tendencia de la Variación Trimestral de Sentencias Dictadas (%) en la Región de Magallanes por Juzgado de Garantía, durante el Periodo 2013-2019 de acuerdo a datos provenientes del Poder Judicial de Chile."/>
    <s v="Gráfico de Evolución"/>
    <s v="abuso sexual delitos género violencia mujer mujeres casos víctimas detenciones sentencias magallanes"/>
    <s v="https://analytics.zoho.com/open-view/2395394000007166420?ZOHO_CRITERIA=%22Localiza%20CL%22.%22Codreg%22%3D12"/>
    <x v="12"/>
    <s v="#1774B9"/>
  </r>
  <r>
    <s v="0324"/>
    <n v="300"/>
    <s v="Violencia contra la mujer"/>
    <s v="Mujeres"/>
    <n v="13"/>
    <x v="5"/>
    <x v="1"/>
    <x v="1"/>
    <x v="13"/>
    <x v="2"/>
    <x v="6"/>
    <s v="Periodo 2013-2019"/>
    <s v="Porcentaje"/>
    <s v="Poder Judicial"/>
    <s v="Variación Trimestral de Sentencias Dictadas (%) en la Región Metropolitana por Juzgado de Garantía, durante el Periodo 2013-2019"/>
    <s v="El gráfico muestra la tendencia de la Variación Trimestral de Sentencias Dictadas (%) en la Región Metropolitana por Juzgado de Garantía, durante el Periodo 2013-2019 de acuerdo a datos provenientes del Poder Judicial de Chile."/>
    <s v="Gráfico de Evolución"/>
    <s v="abuso sexual delitos género violencia mujer mujeres casos víctimas detenciones sentencias metropolitana"/>
    <s v="https://analytics.zoho.com/open-view/2395394000007166420?ZOHO_CRITERIA=%22Localiza%20CL%22.%22Codreg%22%3D13"/>
    <x v="13"/>
    <s v="#1774B9"/>
  </r>
  <r>
    <s v="0325"/>
    <n v="300"/>
    <s v="Violencia contra la mujer"/>
    <s v="Mujeres"/>
    <n v="14"/>
    <x v="5"/>
    <x v="1"/>
    <x v="1"/>
    <x v="14"/>
    <x v="2"/>
    <x v="6"/>
    <s v="Periodo 2013-2019"/>
    <s v="Porcentaje"/>
    <s v="Poder Judicial"/>
    <s v="Variación Trimestral de Sentencias Dictadas (%) en la Región de Los Ríos por Juzgado de Garantía, durante el Periodo 2013-2019"/>
    <s v="El gráfico muestra la tendencia de la Variación Trimestral de Sentencias Dictadas (%) en la Región de Los Ríos por Juzgado de Garantía, durante el Periodo 2013-2019 de acuerdo a datos provenientes del Poder Judicial de Chile."/>
    <s v="Gráfico de Evolución"/>
    <s v="abuso sexual delitos género violencia mujer mujeres casos víctimas detenciones sentencias ríos"/>
    <s v="https://analytics.zoho.com/open-view/2395394000007166420?ZOHO_CRITERIA=%22Localiza%20CL%22.%22Codreg%22%3D14"/>
    <x v="14"/>
    <s v="#1774B9"/>
  </r>
  <r>
    <s v="0326"/>
    <n v="300"/>
    <s v="Violencia contra la mujer"/>
    <s v="Mujeres"/>
    <n v="15"/>
    <x v="5"/>
    <x v="1"/>
    <x v="1"/>
    <x v="15"/>
    <x v="2"/>
    <x v="6"/>
    <s v="Periodo 2013-2019"/>
    <s v="Porcentaje"/>
    <s v="Poder Judicial"/>
    <s v="Variación Trimestral de Sentencias Dictadas (%) en la Región de Arica y Parinacota por Juzgado de Garantía, durante el Periodo 2013-2019"/>
    <s v="El gráfico muestra la tendencia de la Variación Trimestral de Sentencias Dictadas (%) en la Región de Arica y Parinacota por Juzgado de Garantía, durante el Periodo 2013-2019 de acuerdo a datos provenientes del Poder Judicial de Chile."/>
    <s v="Gráfico de Evolución"/>
    <s v="abuso sexual delitos género violencia mujer mujeres casos víctimas detenciones sentencias arica parinacota"/>
    <s v="https://analytics.zoho.com/open-view/2395394000007166420?ZOHO_CRITERIA=%22Localiza%20CL%22.%22Codreg%22%3D15"/>
    <x v="15"/>
    <s v="#1774B9"/>
  </r>
  <r>
    <s v="0327"/>
    <n v="300"/>
    <s v="Violencia contra la mujer"/>
    <s v="Mujeres"/>
    <n v="16"/>
    <x v="5"/>
    <x v="1"/>
    <x v="1"/>
    <x v="16"/>
    <x v="2"/>
    <x v="6"/>
    <s v="Periodo 2013-2019"/>
    <s v="Porcentaje"/>
    <s v="Poder Judicial"/>
    <s v="Variación Trimestral de Sentencias Dictadas (%) en la Región de Ñuble por Juzgado de Garantía, durante el Periodo 2013-2019"/>
    <s v="El gráfico muestra la tendencia de la Variación Trimestral de Sentencias Dictadas (%) en la Región de Ñuble por Juzgado de Garantía, durante el Periodo 2013-2019 de acuerdo a datos provenientes del Poder Judicial de Chile."/>
    <s v="Gráfico de Evolución"/>
    <s v="abuso sexual delitos género violencia mujer mujeres casos víctimas detenciones sentencias ñuble"/>
    <s v="https://analytics.zoho.com/open-view/2395394000007166420?ZOHO_CRITERIA=%22Localiza%20CL%22.%22Codreg%22%3D16"/>
    <x v="16"/>
    <s v="#1774B9"/>
  </r>
  <r>
    <s v="0328"/>
    <n v="300"/>
    <s v="Violencia contra la mujer"/>
    <s v="Mujeres"/>
    <n v="270102004"/>
    <x v="5"/>
    <x v="1"/>
    <x v="0"/>
    <x v="0"/>
    <x v="0"/>
    <x v="6"/>
    <s v="Periodo 2013-2019"/>
    <s v="Porcentaje"/>
    <s v="Poder Judicial"/>
    <s v="Variación Trimestral de Sentencias Dictadas (%) para el Delito de Abuso Sexual Adulto por región, durante el Periodo 2013-2019"/>
    <s v="El gráfico muestra la evolución temporal de la Variación Trimestral de Sentencias Dictadas (%) para el Delito de Abuso Sexual Adulto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04"/>
    <x v="0"/>
    <s v="#1774B9"/>
  </r>
  <r>
    <s v="0329"/>
    <n v="300"/>
    <s v="Violencia contra la mujer"/>
    <s v="Mujeres"/>
    <n v="270102005"/>
    <x v="5"/>
    <x v="1"/>
    <x v="0"/>
    <x v="0"/>
    <x v="0"/>
    <x v="6"/>
    <s v="Periodo 2013-2019"/>
    <s v="Porcentaje"/>
    <s v="Poder Judicial"/>
    <s v="Variación Trimestral de Sentencias Dictadas (%) para el Delito de Abuso Sexual Calificado c/Introduccion Objetos O Uso Animal por región, durante el Periodo 2013-2019"/>
    <s v="El gráfico muestra la evolución temporal de la Variación Trimestral de Sentencias Dictadas (%) para el Delito de Abuso Sexual Calificado c/Introduccion Objetos O Uso Animal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05"/>
    <x v="0"/>
    <s v="#1774B9"/>
  </r>
  <r>
    <s v="0330"/>
    <n v="300"/>
    <s v="Violencia contra la mujer"/>
    <s v="Mujeres"/>
    <n v="270102006"/>
    <x v="5"/>
    <x v="1"/>
    <x v="0"/>
    <x v="0"/>
    <x v="0"/>
    <x v="6"/>
    <s v="Periodo 2013-2019"/>
    <s v="Porcentaje"/>
    <s v="Poder Judicial"/>
    <s v="Variación Trimestral de Sentencias Dictadas (%) para el Delito de Abuso Sexual Con Contacto De Menor De 14 Años por región, durante el Periodo 2013-2019"/>
    <s v="El gráfico muestra la evolución temporal de la Variación Trimestral de Sentencias Dictadas (%) para el Delito de Abuso Sexual Con Contacto De Menor De 14 Años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06"/>
    <x v="0"/>
    <s v="#1774B9"/>
  </r>
  <r>
    <s v="0331"/>
    <n v="300"/>
    <s v="Violencia contra la mujer"/>
    <s v="Mujeres"/>
    <n v="270102007"/>
    <x v="5"/>
    <x v="1"/>
    <x v="0"/>
    <x v="0"/>
    <x v="0"/>
    <x v="6"/>
    <s v="Periodo 2013-2019"/>
    <s v="Porcentaje"/>
    <s v="Poder Judicial"/>
    <s v="Variación Trimestral de Sentencias Dictadas (%) para el Delito de Abuso Sexual De 14 Años A Menor De 18 Años Con Circunstancia Estupro por región, durante el Periodo 2013-2019"/>
    <s v="El gráfico muestra la evolución temporal de la Variación Trimestral de Sentencias Dictadas (%) para el Delito de Abuso Sexual De 14 Años A Menor De 18 Años Con Circunstancia Estupro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07"/>
    <x v="0"/>
    <s v="#1774B9"/>
  </r>
  <r>
    <s v="0332"/>
    <n v="300"/>
    <s v="Violencia contra la mujer"/>
    <s v="Mujeres"/>
    <n v="270102008"/>
    <x v="5"/>
    <x v="1"/>
    <x v="0"/>
    <x v="0"/>
    <x v="0"/>
    <x v="6"/>
    <s v="Periodo 2013-2019"/>
    <s v="Porcentaje"/>
    <s v="Poder Judicial"/>
    <s v="Variación Trimestral de Sentencias Dictadas (%) para el Delito de Abuso Sexual De Mayor De 14 (Con Circunstancias De Violación) por región, durante el Periodo 2013-2019"/>
    <s v="El gráfico muestra la evolución temporal de la Variación Trimestral de Sentencias Dictadas (%) para el Delito de Abuso Sexual De Mayor De 14 (Con Circunstancias De Violación)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08"/>
    <x v="0"/>
    <s v="#1774B9"/>
  </r>
  <r>
    <s v="0333"/>
    <n v="300"/>
    <s v="Violencia contra la mujer"/>
    <s v="Mujeres"/>
    <n v="270102009"/>
    <x v="5"/>
    <x v="1"/>
    <x v="0"/>
    <x v="0"/>
    <x v="0"/>
    <x v="6"/>
    <s v="Periodo 2013-2019"/>
    <s v="Porcentaje"/>
    <s v="Poder Judicial"/>
    <s v="Variación Trimestral de Sentencias Dictadas (%) para el Delito de Abuso Sexual Mayor 14 /Sorpresa Sin Consentimiento por región, durante el Periodo 2013-2019"/>
    <s v="El gráfico muestra la evolución temporal de la Variación Trimestral de Sentencias Dictadas (%) para el Delito de Abuso Sexual Mayor 14 /Sorpresa Sin Consentimiento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09"/>
    <x v="0"/>
    <s v="#1774B9"/>
  </r>
  <r>
    <s v="0334"/>
    <n v="300"/>
    <s v="Violencia contra la mujer"/>
    <s v="Mujeres"/>
    <n v="270102010"/>
    <x v="5"/>
    <x v="1"/>
    <x v="0"/>
    <x v="0"/>
    <x v="0"/>
    <x v="6"/>
    <s v="Periodo 2013-2019"/>
    <s v="Porcentaje"/>
    <s v="Poder Judicial"/>
    <s v="Variación Trimestral de Sentencias Dictadas (%) para el Delito de Abuso Sexual Sin Contacto por región, durante el Periodo 2013-2019"/>
    <s v="El gráfico muestra la evolución temporal de la Variación Trimestral de Sentencias Dictadas (%) para el Delito de Abuso Sexual Sin Contacto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10"/>
    <x v="0"/>
    <s v="#1774B9"/>
  </r>
  <r>
    <s v="0335"/>
    <n v="300"/>
    <s v="Violencia contra la mujer"/>
    <s v="Mujeres"/>
    <n v="270102016"/>
    <x v="5"/>
    <x v="1"/>
    <x v="0"/>
    <x v="0"/>
    <x v="0"/>
    <x v="6"/>
    <s v="Periodo 2013-2019"/>
    <s v="Porcentaje"/>
    <s v="Poder Judicial"/>
    <s v="Variación Trimestral de Sentencias Dictadas (%) para el Delito de Acoso Sexual Lugares Públicos /Libre Acceso Público por región, durante el Periodo 2013-2019"/>
    <s v="El gráfico muestra la evolución temporal de la Variación Trimestral de Sentencias Dictadas (%) para el Delito de Acoso Sexual Lugares Públicos /Libre Acceso Público por región, durante el Periodo 2013-2019 de acuerdo a datos provenientes del Poder Judicial de Chile."/>
    <s v="Gráfico de Evolución"/>
    <s v="abuso sexual delitos género violencia mujer mujeres casos víctimas detenciones sentencias"/>
    <s v="https://analytics.zoho.com/open-view/2395394000007166376?ZOHO_CRITERIA=%22Trasposicion_27.15%22.%22Id_Categor%C3%ADa%22%3D270102016"/>
    <x v="0"/>
    <s v="#1774B9"/>
  </r>
  <r>
    <s v="0336"/>
    <n v="300"/>
    <s v="Violencia contra la mujer"/>
    <s v="Mujeres"/>
    <n v="270102004"/>
    <x v="5"/>
    <x v="1"/>
    <x v="0"/>
    <x v="0"/>
    <x v="2"/>
    <x v="6"/>
    <s v="Periodo 2013-2019"/>
    <s v="Porcentaje"/>
    <s v="Poder Judicial"/>
    <s v="Variación Trimestral de Sentencias Dictadas (%) para el Delito de Abuso Sexual Adulto por Juzgado de Garantía, durante el Periodo 2013-2019"/>
    <s v="El gráfico muestra la evolución temporal de la Variación Trimestral de Sentencias Dictadas (%) para el Delito de Abuso Sexual Adulto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04"/>
    <x v="34"/>
    <s v="#1774B9"/>
  </r>
  <r>
    <s v="0337"/>
    <n v="300"/>
    <s v="Violencia contra la mujer"/>
    <s v="Mujeres"/>
    <n v="270102005"/>
    <x v="5"/>
    <x v="1"/>
    <x v="0"/>
    <x v="0"/>
    <x v="2"/>
    <x v="6"/>
    <s v="Periodo 2013-2019"/>
    <s v="Porcentaje"/>
    <s v="Poder Judicial"/>
    <s v="Variación Trimestral de Sentencias Dictadas (%) para el Delito de Abuso Sexual Calificado c/Introduccion Objetos O Uso Animal por Juzgado de Garantía, durante el Periodo 2013-2019"/>
    <s v="El gráfico muestra la evolución temporal de la Variación Trimestral de Sentencias Dictadas (%) para el Delito de Abuso Sexual Calificado c/Introduccion Objetos O Uso Animal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05"/>
    <x v="34"/>
    <s v="#1774B9"/>
  </r>
  <r>
    <s v="0338"/>
    <n v="300"/>
    <s v="Violencia contra la mujer"/>
    <s v="Mujeres"/>
    <n v="270102006"/>
    <x v="5"/>
    <x v="1"/>
    <x v="0"/>
    <x v="0"/>
    <x v="2"/>
    <x v="6"/>
    <s v="Periodo 2013-2019"/>
    <s v="Porcentaje"/>
    <s v="Poder Judicial"/>
    <s v="Variación Trimestral de Sentencias Dictadas (%) para el Delito de Abuso Sexual Con Contacto De Menor De 14 Años por Juzgado de Garantía, durante el Periodo 2013-2019"/>
    <s v="El gráfico muestra la evolución temporal de la Variación Trimestral de Sentencias Dictadas (%) para el Delito de Abuso Sexual Con Contacto De Menor De 14 Años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06"/>
    <x v="34"/>
    <s v="#1774B9"/>
  </r>
  <r>
    <s v="0339"/>
    <n v="300"/>
    <s v="Violencia contra la mujer"/>
    <s v="Mujeres"/>
    <n v="270102007"/>
    <x v="5"/>
    <x v="1"/>
    <x v="0"/>
    <x v="0"/>
    <x v="2"/>
    <x v="6"/>
    <s v="Periodo 2013-2019"/>
    <s v="Porcentaje"/>
    <s v="Poder Judicial"/>
    <s v="Variación Trimestral de Sentencias Dictadas (%) para el Delito de Abuso Sexual De 14 Años A Menor De 18 Años Con Circunstancia Estupro por Juzgado de Garantía, durante el Periodo 2013-2019"/>
    <s v="El gráfico muestra la evolución temporal de la Variación Trimestral de Sentencias Dictadas (%) para el Delito de Abuso Sexual De 14 Años A Menor De 18 Años Con Circunstancia Estupro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07"/>
    <x v="34"/>
    <s v="#1774B9"/>
  </r>
  <r>
    <s v="0340"/>
    <n v="300"/>
    <s v="Violencia contra la mujer"/>
    <s v="Mujeres"/>
    <n v="270102008"/>
    <x v="5"/>
    <x v="1"/>
    <x v="0"/>
    <x v="0"/>
    <x v="2"/>
    <x v="6"/>
    <s v="Periodo 2013-2019"/>
    <s v="Porcentaje"/>
    <s v="Poder Judicial"/>
    <s v="Variación Trimestral de Sentencias Dictadas (%) para el Delito de Abuso Sexual De Mayor De 14 (Con Circunstancias De Violación) por Juzgado de Garantía, durante el Periodo 2013-2019"/>
    <s v="El gráfico muestra la evolución temporal de la Variación Trimestral de Sentencias Dictadas (%) para el Delito de Abuso Sexual De Mayor De 14 (Con Circunstancias De Violación)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08"/>
    <x v="34"/>
    <s v="#1774B9"/>
  </r>
  <r>
    <s v="0341"/>
    <n v="300"/>
    <s v="Violencia contra la mujer"/>
    <s v="Mujeres"/>
    <n v="270102009"/>
    <x v="5"/>
    <x v="1"/>
    <x v="0"/>
    <x v="0"/>
    <x v="2"/>
    <x v="6"/>
    <s v="Periodo 2013-2019"/>
    <s v="Porcentaje"/>
    <s v="Poder Judicial"/>
    <s v="Variación Trimestral de Sentencias Dictadas (%) para el Delito de Abuso Sexual Mayor 14 /Sorpresa Sin Consentimiento por Juzgado de Garantía, durante el Periodo 2013-2019"/>
    <s v="El gráfico muestra la evolución temporal de la Variación Trimestral de Sentencias Dictadas (%) para el Delito de Abuso Sexual Mayor 14 /Sorpresa Sin Consentimiento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09"/>
    <x v="34"/>
    <s v="#1774B9"/>
  </r>
  <r>
    <s v="0342"/>
    <n v="300"/>
    <s v="Violencia contra la mujer"/>
    <s v="Mujeres"/>
    <n v="270102010"/>
    <x v="5"/>
    <x v="1"/>
    <x v="0"/>
    <x v="0"/>
    <x v="2"/>
    <x v="6"/>
    <s v="Periodo 2013-2019"/>
    <s v="Porcentaje"/>
    <s v="Poder Judicial"/>
    <s v="Variación Trimestral de Sentencias Dictadas (%) para el Delito de Abuso Sexual Sin Contacto por Juzgado de Garantía, durante el Periodo 2013-2019"/>
    <s v="El gráfico muestra la evolución temporal de la Variación Trimestral de Sentencias Dictadas (%) para el Delito de Abuso Sexual Sin Contacto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10"/>
    <x v="34"/>
    <s v="#1774B9"/>
  </r>
  <r>
    <s v="0343"/>
    <n v="300"/>
    <s v="Violencia contra la mujer"/>
    <s v="Mujeres"/>
    <n v="270102016"/>
    <x v="5"/>
    <x v="1"/>
    <x v="0"/>
    <x v="0"/>
    <x v="2"/>
    <x v="6"/>
    <s v="Periodo 2013-2019"/>
    <s v="Porcentaje"/>
    <s v="Poder Judicial"/>
    <s v="Variación Trimestral de Sentencias Dictadas (%) para el Delito de Acoso Sexual Lugares Públicos /Libre Acceso Público por Juzgado de Garantía, durante el Periodo 2013-2019"/>
    <s v="El gráfico muestra la evolución temporal de la Variación Trimestral de Sentencias Dictadas (%) para el Delito de Acoso Sexual Lugares Públicos /Libre Acceso Público por Juzgado de Garantía, durante el Periodo 2013-2019 de acuerdo a datos provenientes del Poder Judicial de Chile."/>
    <s v="Gráfico de Evolución"/>
    <s v="abuso sexual delitos género violencia mujer mujeres casos víctimas detenciones sentencias juzgado garantía"/>
    <s v="https://analytics.zoho.com/open-view/2395394000007166336?ZOHO_CRITERIA=%22Trasposicion_27.15%22.%22Id_Categor%C3%ADa%22%3D270102016"/>
    <x v="34"/>
    <s v="#1774B9"/>
  </r>
  <r>
    <s v="0344"/>
    <n v="300"/>
    <s v="Violencia contra la mujer"/>
    <s v="Mujeres"/>
    <n v="270102003"/>
    <x v="5"/>
    <x v="1"/>
    <x v="0"/>
    <x v="0"/>
    <x v="0"/>
    <x v="7"/>
    <s v="Periodo 2013-2019"/>
    <s v="Número de sentencias"/>
    <s v="Poder Judicial"/>
    <s v="Mapa de Sentencias Dictadas Acumuladas para el Delito de Abuso Sexual (Sólo Crimen) por región, durante el Periodo 2013-2019"/>
    <s v="Se presenta la distribución geográfica de la frecuencia de sentencias para el periodo a través del Mapa de Sentencias Dictadas Acumuladas para el Delito de Abuso Sexual (Sólo Crimen)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3"/>
    <x v="0"/>
    <s v="#1774B9"/>
  </r>
  <r>
    <s v="0345"/>
    <n v="300"/>
    <s v="Violencia contra la mujer"/>
    <s v="Mujeres"/>
    <n v="270102004"/>
    <x v="5"/>
    <x v="1"/>
    <x v="0"/>
    <x v="0"/>
    <x v="0"/>
    <x v="7"/>
    <s v="Periodo 2013-2019"/>
    <s v="Número de sentencias"/>
    <s v="Poder Judicial"/>
    <s v="Mapa de Sentencias Dictadas Acumuladas para el Delito de Abuso Sexual Adulto por región, durante el Periodo 2013-2019"/>
    <s v="Se presenta la distribución geográfica de la frecuencia de sentencias para el periodo a través del Mapa de Sentencias Dictadas Acumuladas para el Delito de Abuso Sexual Adulto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4"/>
    <x v="0"/>
    <s v="#1774B9"/>
  </r>
  <r>
    <s v="0346"/>
    <n v="300"/>
    <s v="Violencia contra la mujer"/>
    <s v="Mujeres"/>
    <n v="270102005"/>
    <x v="5"/>
    <x v="1"/>
    <x v="0"/>
    <x v="0"/>
    <x v="0"/>
    <x v="7"/>
    <s v="Periodo 2013-2019"/>
    <s v="Número de sentencias"/>
    <s v="Poder Judicial"/>
    <s v="Mapa de Sentencias Dictadas Acumuladas para el Delito de Abuso Sexual Calificado c/Introduccion Objetos O Uso Animal por región, durante el Periodo 2013-2019"/>
    <s v="Se presenta la distribución geográfica de la frecuencia de sentencias para el periodo a través del Mapa de Sentencias Dictadas Acumuladas para el Delito de Abuso Sexual Calificado c/Introduccion Objetos O Uso Animal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5"/>
    <x v="0"/>
    <s v="#1774B9"/>
  </r>
  <r>
    <s v="0347"/>
    <n v="300"/>
    <s v="Violencia contra la mujer"/>
    <s v="Mujeres"/>
    <n v="270102006"/>
    <x v="5"/>
    <x v="1"/>
    <x v="0"/>
    <x v="0"/>
    <x v="0"/>
    <x v="7"/>
    <s v="Periodo 2013-2019"/>
    <s v="Número de sentencias"/>
    <s v="Poder Judicial"/>
    <s v="Mapa de Sentencias Dictadas Acumuladas para el Delito de Abuso Sexual Con Contacto De Menor De 14 Años por región, durante el Periodo 2013-2019"/>
    <s v="Se presenta la distribución geográfica de la frecuencia de sentencias para el periodo a través del Mapa de Sentencias Dictadas Acumuladas para el Delito de Abuso Sexual Con Contacto De Menor De 14 Años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6"/>
    <x v="0"/>
    <s v="#1774B9"/>
  </r>
  <r>
    <s v="0348"/>
    <n v="300"/>
    <s v="Violencia contra la mujer"/>
    <s v="Mujeres"/>
    <n v="270102007"/>
    <x v="5"/>
    <x v="1"/>
    <x v="0"/>
    <x v="0"/>
    <x v="0"/>
    <x v="7"/>
    <s v="Periodo 2013-2019"/>
    <s v="Número de sentencias"/>
    <s v="Poder Judicial"/>
    <s v="Mapa de Sentencias Dictadas Acumuladas para el Delito de Abuso Sexual De 14 Años A Menor De 18 Años Con Circunstancia Estupro por región, durante el Periodo 2013-2019"/>
    <s v="Se presenta la distribución geográfica de la frecuencia de sentencias para el periodo a través del Mapa de Sentencias Dictadas Acumuladas para el Delito de  Abuso Sexual De 14 Años A Menor De 18 Años Con Circunstancia Estupro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7"/>
    <x v="0"/>
    <s v="#1774B9"/>
  </r>
  <r>
    <s v="0349"/>
    <n v="300"/>
    <s v="Violencia contra la mujer"/>
    <s v="Mujeres"/>
    <n v="270102008"/>
    <x v="5"/>
    <x v="1"/>
    <x v="0"/>
    <x v="0"/>
    <x v="0"/>
    <x v="7"/>
    <s v="Periodo 2013-2019"/>
    <s v="Número de sentencias"/>
    <s v="Poder Judicial"/>
    <s v="Mapa de Sentencias Dictadas Acumuladas para el Delito de Abuso Sexual De Mayor De 14 (Con Circunstancias De Violación) por región, durante el Periodo 2013-2019"/>
    <s v="Se presenta la distribución geográfica de la frecuencia de sentencias para el periodo a través del Mapa de Sentencias Dictadas Acumuladas para el Delito de Abuso Sexual De Mayor De 14 (Con Circunstancias De Violación)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8"/>
    <x v="0"/>
    <s v="#1774B9"/>
  </r>
  <r>
    <s v="0350"/>
    <n v="300"/>
    <s v="Violencia contra la mujer"/>
    <s v="Mujeres"/>
    <n v="270102009"/>
    <x v="5"/>
    <x v="1"/>
    <x v="0"/>
    <x v="0"/>
    <x v="0"/>
    <x v="7"/>
    <s v="Periodo 2013-2019"/>
    <s v="Número de sentencias"/>
    <s v="Poder Judicial"/>
    <s v="Mapa de Sentencias Dictadas Acumuladas para el Delito de Abuso Sexual Mayor 14 /Sorpresa Sin Consentimiento por región, durante el Periodo 2013-2019"/>
    <s v="Se presenta la distribución geográfica de la frecuencia de sentencias para el periodo a través del Mapa de Sentencias Dictadas Acumuladas para el Delito de Abuso Sexual Mayor 14 /Sorpresa Sin Consentimiento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09"/>
    <x v="0"/>
    <s v="#1774B9"/>
  </r>
  <r>
    <s v="0351"/>
    <n v="300"/>
    <s v="Violencia contra la mujer"/>
    <s v="Mujeres"/>
    <n v="270102010"/>
    <x v="5"/>
    <x v="1"/>
    <x v="0"/>
    <x v="0"/>
    <x v="0"/>
    <x v="7"/>
    <s v="Periodo 2013-2019"/>
    <s v="Número de sentencias"/>
    <s v="Poder Judicial"/>
    <s v="Mapa de Sentencias Dictadas Acumuladas para el Delito de Abuso Sexual Sin Contacto por región, durante el Periodo 2013-2019"/>
    <s v="Se presenta la distribución geográfica de la frecuencia de sentencias para el periodo a través del Mapa de Sentencias Dictadas Acumuladas para el Delito de Abuso Sexual Sin Contacto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10"/>
    <x v="0"/>
    <s v="#1774B9"/>
  </r>
  <r>
    <s v="0352"/>
    <n v="300"/>
    <s v="Violencia contra la mujer"/>
    <s v="Mujeres"/>
    <n v="270102016"/>
    <x v="5"/>
    <x v="1"/>
    <x v="0"/>
    <x v="0"/>
    <x v="0"/>
    <x v="7"/>
    <s v="Periodo 2013-2019"/>
    <s v="Número de sentencias"/>
    <s v="Poder Judicial"/>
    <s v="Mapa de Sentencias Dictadas Acumuladas para el Delito de Acoso Sexual Lugares Públicos /Libre Acceso Público por región, durante el Periodo 2013-2019"/>
    <s v="Se presenta la distribución geográfica de la frecuencia de sentencias para el periodo a través del Mapa de Sentencias Dictadas Acumuladas para el Delito de Acoso Sexual Lugares Públicos /Libre Acceso Público por región, durante el Periodo 2013-2019 de acuerdo a datos provenientes del Poder Judicial de Chile."/>
    <s v="Mapa de calor"/>
    <s v="abuso sexual delitos género violencia mujer mujeres casos víctimas detenciones sentencias mapa"/>
    <s v="https://analytics.zoho.com/open-view/2395394000007166300?ZOHO_CRITERIA=%22Trasposicion_27.15%22.%22Id_Categor%C3%ADa%22%20%3D%20270102016"/>
    <x v="0"/>
    <s v="#1774B9"/>
  </r>
  <r>
    <s v="0353"/>
    <n v="300"/>
    <s v="Violencia contra la mujer"/>
    <s v="Mujeres"/>
    <n v="270102005"/>
    <x v="5"/>
    <x v="1"/>
    <x v="0"/>
    <x v="0"/>
    <x v="0"/>
    <x v="8"/>
    <s v="Año 2019"/>
    <s v="Número de sentencias"/>
    <s v="Poder Judicial"/>
    <s v="Mapa de Sentencias Dictadas para el Delito de Abuso Sexual Calificado c/Introduccion Objetos O Uso Animal por región, durante el Año 2019"/>
    <s v="Se presenta la distribución geográfica de la frecuencia de sentencias para el último año informado a través del Mapa de Sentencias Dictadas para el Delito de Abuso Sexual Calificado c/Introduccion Objetos O Uso Animal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05"/>
    <x v="0"/>
    <s v="#1774B9"/>
  </r>
  <r>
    <s v="0354"/>
    <n v="300"/>
    <s v="Violencia contra la mujer"/>
    <s v="Mujeres"/>
    <n v="270102006"/>
    <x v="5"/>
    <x v="1"/>
    <x v="0"/>
    <x v="0"/>
    <x v="0"/>
    <x v="8"/>
    <s v="Año 2019"/>
    <s v="Número de sentencias"/>
    <s v="Poder Judicial"/>
    <s v="Mapa de Sentencias Dictadas para el Delito de Abuso Sexual Con Contacto De Menor De 14 Años por región, durante el Año 2019"/>
    <s v="Se presenta la distribución geográfica de la frecuencia de sentencias para el último año informado a través del Mapa de Sentencias Dictadas para el Delito de Abuso Sexual Con Contacto De Menor De 14 Años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06"/>
    <x v="0"/>
    <s v="#1774B9"/>
  </r>
  <r>
    <s v="0355"/>
    <n v="300"/>
    <s v="Violencia contra la mujer"/>
    <s v="Mujeres"/>
    <n v="270102007"/>
    <x v="5"/>
    <x v="1"/>
    <x v="0"/>
    <x v="0"/>
    <x v="0"/>
    <x v="8"/>
    <s v="Año 2019"/>
    <s v="Número de sentencias"/>
    <s v="Poder Judicial"/>
    <s v="Mapa de Sentencias Dictadas para el Delito de Abuso Sexual De 14 Años A Menor De 18 Años Con Circunstancia Estupro por región, durante el Año 2019"/>
    <s v="Se presenta la distribución geográfica de la frecuencia de sentencias para el último año informado a través del Mapa de Sentencias Dictadas para el Delito de Abuso Sexual De 14 Años A Menor De 18 Años Con Circunstancia Estupro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07"/>
    <x v="0"/>
    <s v="#1774B9"/>
  </r>
  <r>
    <s v="0356"/>
    <n v="300"/>
    <s v="Violencia contra la mujer"/>
    <s v="Mujeres"/>
    <n v="270102008"/>
    <x v="5"/>
    <x v="1"/>
    <x v="0"/>
    <x v="0"/>
    <x v="0"/>
    <x v="8"/>
    <s v="Año 2019"/>
    <s v="Número de sentencias"/>
    <s v="Poder Judicial"/>
    <s v="Mapa de Sentencias Dictadas para el Delito de Abuso Sexual De Mayor De 14 (Con Circunstancias De Violación) por región, durante el Año 2019"/>
    <s v="Se presenta la distribución geográfica de la frecuencia de sentencias para el último año informado a través del Mapa de Sentencias Dictadas para el Delito de Abuso Sexual De Mayor De 14 (Con Circunstancias De Violación)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08"/>
    <x v="0"/>
    <s v="#1774B9"/>
  </r>
  <r>
    <s v="0357"/>
    <n v="300"/>
    <s v="Violencia contra la mujer"/>
    <s v="Mujeres"/>
    <n v="270102009"/>
    <x v="5"/>
    <x v="1"/>
    <x v="0"/>
    <x v="0"/>
    <x v="0"/>
    <x v="8"/>
    <s v="Año 2019"/>
    <s v="Número de sentencias"/>
    <s v="Poder Judicial"/>
    <s v="Mapa de Sentencias Dictadas para el Delito de Abuso Sexual Mayor 14 /Sorpresa Sin Consentimiento por región, durante el Año 2019"/>
    <s v="Se presenta la distribución geográfica de la frecuencia de sentencias para el último año informado a través del Mapa de Sentencias Dictadas para el Delito de Abuso Sexual Mayor 14 /Sorpresa Sin Consentimiento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09"/>
    <x v="0"/>
    <s v="#1774B9"/>
  </r>
  <r>
    <s v="0358"/>
    <n v="300"/>
    <s v="Violencia contra la mujer"/>
    <s v="Mujeres"/>
    <n v="270102010"/>
    <x v="5"/>
    <x v="1"/>
    <x v="0"/>
    <x v="0"/>
    <x v="0"/>
    <x v="8"/>
    <s v="Año 2019"/>
    <s v="Número de sentencias"/>
    <s v="Poder Judicial"/>
    <s v="Mapa de Sentencias Dictadas para el Delito de Abuso Sexual Sin Contacto por región, durante el Año 2019"/>
    <s v="Se presenta la distribución geográfica de la frecuencia de sentencias para el último año informado a través del Mapa de Sentencias Dictadas para el Delito de Abuso Sexual Sin Contacto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10"/>
    <x v="0"/>
    <s v="#1774B9"/>
  </r>
  <r>
    <s v="0359"/>
    <n v="300"/>
    <s v="Violencia contra la mujer"/>
    <s v="Mujeres"/>
    <n v="270102016"/>
    <x v="5"/>
    <x v="1"/>
    <x v="0"/>
    <x v="0"/>
    <x v="0"/>
    <x v="8"/>
    <s v="Año 2019"/>
    <s v="Número de sentencias"/>
    <s v="Poder Judicial"/>
    <s v="Mapa de Sentencias Dictadas para el Delito de Acoso Sexual Lugares Públicos /Libre Acceso Público por región, durante el Año 2019"/>
    <s v="Se presenta la distribución geográfica de la frecuencia de sentencias para el último año informado a través del Mapa de Sentencias Dictadas para el Delito de Acoso Sexual Lugares Públicos /Libre Acceso Público por región, durante el Año 2019 de acuerdo a datos provenientes del Poder Judicial de Chile."/>
    <s v="Mapa de calor"/>
    <s v="abuso sexual delitos género violencia mujer mujeres casos víctimas detenciones sentencias mapa"/>
    <s v="https://analytics.zoho.com/open-view/2395394000007166258?ZOHO_CRITERIA=%22Trasposicion_27.15%22.%22Id_Categor%C3%ADa%22%3D270102016"/>
    <x v="0"/>
    <s v="#1774B9"/>
  </r>
  <r>
    <s v="0360"/>
    <n v="300"/>
    <s v="Violencia contra la mujer"/>
    <s v="Mujeres"/>
    <s v="0"/>
    <x v="5"/>
    <x v="1"/>
    <x v="0"/>
    <x v="0"/>
    <x v="0"/>
    <x v="7"/>
    <s v="Periodo 2013-2019"/>
    <s v="Número de sentencias"/>
    <s v="Poder Judicial"/>
    <s v="Mapa de Sentencias Dictadas Acumuladas para la tipología de Delitos Sexuales por región, durante el Periodo 2013-2019"/>
    <s v="Se presenta la distribución geográfica de la frecuencia de sentencias para el periodo a través del Mapa de Sentencias Dictadas Acumuladas para la tipología de Delitos Sexuales por región, durante el Periodo 2013-2019, de acuerdo a datos provenientes del Poder Judicial de Chile."/>
    <s v="Mapa de calor"/>
    <s v="abuso sexual delitos género violencia mujer mujeres casos víctimas detenciones sentencias mapa"/>
    <s v="https://analytics.zoho.com/open-view/2395394000007166300"/>
    <x v="0"/>
    <s v="#1774B9"/>
  </r>
  <r>
    <s v="0361"/>
    <n v="300"/>
    <s v="Violencia contra la mujer"/>
    <s v="Mujeres"/>
    <s v="1"/>
    <x v="5"/>
    <x v="1"/>
    <x v="0"/>
    <x v="0"/>
    <x v="0"/>
    <x v="8"/>
    <s v="Año 2019"/>
    <s v="Número de sentencias"/>
    <s v="Poder Judicial"/>
    <s v="Mapa de Sentencias Dictadas para la tipología de Delitos Sexuales por región, durante el Año 2019"/>
    <s v="Se presenta la distribución geográfica de la frecuencia de sentencias para el último año informado a través del Mapa de Sentencias Dictadas para la tipología de Delitos Sexuales por región, durante el Año 2019, de acuerdo a datos provenientes del Poder Judicial de Chile."/>
    <s v="Mapa de calor"/>
    <s v="abuso sexual delitos género violencia mujer mujeres casos víctimas detenciones sentencias mapa"/>
    <s v="https://analytics.zoho.com/open-view/2395394000007166258"/>
    <x v="0"/>
    <s v="#1774B9"/>
  </r>
  <r>
    <s v="0362"/>
    <n v="300"/>
    <s v="Violencia contra la mujer"/>
    <s v="Mujeres"/>
    <n v="270103"/>
    <x v="6"/>
    <x v="2"/>
    <x v="0"/>
    <x v="0"/>
    <x v="2"/>
    <x v="9"/>
    <s v="Periodo 2013-2019"/>
    <s v="Número de sentencias"/>
    <s v="Poder Judicial"/>
    <s v="Sentencias Dictadas por Delitos Vinculados a la Mujer por región en la tipología de Delitos Violentos, para el Periodo 2013-2019"/>
    <s v="El gráfico muestra la evolución anual de la frecuencia de Sentencias Dictadas por Delitos Vinculados a la Mujer por región en la tipología de Delitos Violentos, para el Periodo 2013-2019 de acuerdo a datos provenientes del Poder Judicial de Chile."/>
    <s v="Gráfico de Evolución"/>
    <s v="sociedad delincuencia delitos frecuencia sentencias violentos secuestro homicidio tortura abuso lesiones mujer violencia femicidio violación regional"/>
    <s v="https://analytics.zoho.com/open-view/2395394000007158043?ZOHO_CRITERIA=%22Trasposicion_27.16%22.%22Id_Producto%22%3D270103"/>
    <x v="0"/>
    <s v="#1774B9"/>
  </r>
  <r>
    <s v="0363"/>
    <n v="300"/>
    <s v="Violencia contra la mujer"/>
    <s v="Mujeres"/>
    <n v="270104"/>
    <x v="7"/>
    <x v="2"/>
    <x v="0"/>
    <x v="0"/>
    <x v="2"/>
    <x v="9"/>
    <s v="Periodo 2013-2019"/>
    <s v="Número de sentencias"/>
    <s v="Poder Judicial"/>
    <s v="Sentencias Dictadas por Delitos Vinculados a la Mujer por región en la tipología de Delitos Contra el Estado Civil y la Familia, para el Periodo 2013-2019"/>
    <s v="El gráfico muestra la evolución anual de la frecuencia de Sentencias Dictadas por Delitos Vinculados a la Mujer por región en la tipología de Delitos Contra el Estado Civil y la Familia, para el Periodo 2013-2019 de acuerdo a datos provenientes del Poder Judicial de Chile."/>
    <s v="Gráfico de Evolución"/>
    <s v="sociedad delincuencia delitos frecuencia sentencias violentos maltrato intrafamiliar mujer violencia regional"/>
    <s v="https://analytics.zoho.com/open-view/2395394000007158043?ZOHO_CRITERIA=%22Trasposicion_27.16%22.%22Id_Producto%22%3D270104"/>
    <x v="0"/>
    <s v="#1774B9"/>
  </r>
  <r>
    <s v="0364"/>
    <n v="300"/>
    <s v="Violencia contra la mujer"/>
    <s v="Mujeres"/>
    <n v="270105"/>
    <x v="8"/>
    <x v="2"/>
    <x v="0"/>
    <x v="0"/>
    <x v="2"/>
    <x v="9"/>
    <s v="Periodo 2013-2019"/>
    <s v="Número de sentencias"/>
    <s v="Poder Judicial"/>
    <s v="Sentencias Dictadas por Delitos Vinculados a la Mujer por región en la tipología de Delitos Contra la Vida, Integridad o Dignidad Personal, para el Periodo 2013-2019"/>
    <s v="El gráfico muestra la evolución anual de la frecuencia de Sentencias Dictadas por Delitos Vinculados a la Mujer por región en la tipología de Delitos Contra la Vida, Integridad o Dignidad Personal, para el Periodo 2013-2019 de acuerdo a datos provenientes del Poder Judicial de Chile."/>
    <s v="Gráfico de Evolución"/>
    <s v="sociedad delincuencia delitos frecuencia sentencias violentos aborto causales mujer violencia consentimiento consentido regional"/>
    <s v="https://analytics.zoho.com/open-view/2395394000007158043?ZOHO_CRITERIA=%22Trasposicion_27.16%22.%22Id_Producto%22%3D270105"/>
    <x v="0"/>
    <s v="#1774B9"/>
  </r>
  <r>
    <s v="0365"/>
    <n v="300"/>
    <s v="Violencia contra la mujer"/>
    <s v="Mujeres"/>
    <n v="1"/>
    <x v="9"/>
    <x v="2"/>
    <x v="1"/>
    <x v="1"/>
    <x v="2"/>
    <x v="9"/>
    <s v="Periodo 2013-2019"/>
    <s v="Número de sentencias"/>
    <s v="Poder Judicial"/>
    <s v="Sentencias Dictadas por Delitos Vinculados a la Mujer por Tipo de Delito en la Región de Tarapacá durante el Periodo 2013-2019"/>
    <s v="Gráfico que muestra la frecuencia mensual de Sentencias Dictadas por Delitos Vinculados a la Mujer por Tipo de Delito en la Región de Tarapacá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tarapacá"/>
    <s v="https://analytics.zoho.com/open-view/2395394000007118833?ZOHO_CRITERIA=%22Localiza%20CL%22.%22Codreg%22%3D1"/>
    <x v="17"/>
    <s v="#1774B9"/>
  </r>
  <r>
    <s v="0366"/>
    <n v="300"/>
    <s v="Violencia contra la mujer"/>
    <s v="Mujeres"/>
    <n v="2"/>
    <x v="9"/>
    <x v="2"/>
    <x v="1"/>
    <x v="2"/>
    <x v="2"/>
    <x v="9"/>
    <s v="Periodo 2013-2019"/>
    <s v="Número de sentencias"/>
    <s v="Poder Judicial"/>
    <s v="Sentencias Dictadas por Delitos Vinculados a la Mujer por Tipo de Delito en la Región de Antofagasta durante el Periodo 2013-2019"/>
    <s v="Gráfico que muestra la frecuencia mensual de Sentencias Dictadas por Delitos Vinculados a la Mujer por Tipo de Delito en la Región de Antofagast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ntofagasta"/>
    <s v="https://analytics.zoho.com/open-view/2395394000007118833?ZOHO_CRITERIA=%22Localiza%20CL%22.%22Codreg%22%3D2"/>
    <x v="18"/>
    <s v="#1774B9"/>
  </r>
  <r>
    <s v="0367"/>
    <n v="300"/>
    <s v="Violencia contra la mujer"/>
    <s v="Mujeres"/>
    <n v="3"/>
    <x v="9"/>
    <x v="2"/>
    <x v="1"/>
    <x v="3"/>
    <x v="2"/>
    <x v="9"/>
    <s v="Periodo 2013-2019"/>
    <s v="Número de sentencias"/>
    <s v="Poder Judicial"/>
    <s v="Sentencias Dictadas por Delitos Vinculados a la Mujer por Tipo de Delito en la Región de Atacama durante el Periodo 2013-2019"/>
    <s v="Gráfico que muestra la frecuencia mensual de Sentencias Dictadas por Delitos Vinculados a la Mujer por Tipo de Delito en la Región de Atacam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tacama"/>
    <s v="https://analytics.zoho.com/open-view/2395394000007118833?ZOHO_CRITERIA=%22Localiza%20CL%22.%22Codreg%22%3D3"/>
    <x v="19"/>
    <s v="#1774B9"/>
  </r>
  <r>
    <s v="0368"/>
    <n v="300"/>
    <s v="Violencia contra la mujer"/>
    <s v="Mujeres"/>
    <n v="4"/>
    <x v="9"/>
    <x v="2"/>
    <x v="1"/>
    <x v="4"/>
    <x v="2"/>
    <x v="9"/>
    <s v="Periodo 2013-2019"/>
    <s v="Número de sentencias"/>
    <s v="Poder Judicial"/>
    <s v="Sentencias Dictadas por Delitos Vinculados a la Mujer por Tipo de Delito en la Región de Coquimbo durante el Periodo 2013-2019"/>
    <s v="Gráfico que muestra la frecuencia mensual de Sentencias Dictadas por Delitos Vinculados a la Mujer por Tipo de Delito en la Región de Coquimb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coquimbo"/>
    <s v="https://analytics.zoho.com/open-view/2395394000007118833?ZOHO_CRITERIA=%22Localiza%20CL%22.%22Codreg%22%3D4"/>
    <x v="20"/>
    <s v="#1774B9"/>
  </r>
  <r>
    <s v="0369"/>
    <n v="300"/>
    <s v="Violencia contra la mujer"/>
    <s v="Mujeres"/>
    <n v="5"/>
    <x v="9"/>
    <x v="2"/>
    <x v="1"/>
    <x v="5"/>
    <x v="2"/>
    <x v="9"/>
    <s v="Periodo 2013-2019"/>
    <s v="Número de sentencias"/>
    <s v="Poder Judicial"/>
    <s v="Sentencias Dictadas por Delitos Vinculados a la Mujer por Tipo de Delito en la Región de Valparaíso durante el Periodo 2013-2019"/>
    <s v="Gráfico que muestra la frecuencia mensual de Sentencias Dictadas por Delitos Vinculados a la Mujer por Tipo de Delito en la Región de Valparaís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valparaíso"/>
    <s v="https://analytics.zoho.com/open-view/2395394000007118833?ZOHO_CRITERIA=%22Localiza%20CL%22.%22Codreg%22%3D5"/>
    <x v="21"/>
    <s v="#1774B9"/>
  </r>
  <r>
    <s v="0370"/>
    <n v="300"/>
    <s v="Violencia contra la mujer"/>
    <s v="Mujeres"/>
    <n v="6"/>
    <x v="9"/>
    <x v="2"/>
    <x v="1"/>
    <x v="6"/>
    <x v="2"/>
    <x v="9"/>
    <s v="Periodo 2013-2019"/>
    <s v="Número de sentencias"/>
    <s v="Poder Judicial"/>
    <s v="Sentencias Dictadas por Delitos Vinculados a la Mujer por Tipo de Delito en la Región de O'Higgins durante el Periodo 2013-2019"/>
    <s v="Gráfico que muestra la frecuencia mensual de Sentencias Dictadas por Delitos Vinculados a la Mujer por Tipo de Delito en la Región de O'Higgin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ohiggins"/>
    <s v="https://analytics.zoho.com/open-view/2395394000007118833?ZOHO_CRITERIA=%22Localiza%20CL%22.%22Codreg%22%3D6"/>
    <x v="22"/>
    <s v="#1774B9"/>
  </r>
  <r>
    <s v="0371"/>
    <n v="300"/>
    <s v="Violencia contra la mujer"/>
    <s v="Mujeres"/>
    <n v="7"/>
    <x v="9"/>
    <x v="2"/>
    <x v="1"/>
    <x v="7"/>
    <x v="2"/>
    <x v="9"/>
    <s v="Periodo 2013-2019"/>
    <s v="Número de sentencias"/>
    <s v="Poder Judicial"/>
    <s v="Sentencias Dictadas por Delitos Vinculados a la Mujer por Tipo de Delito en la Región de Maule durante el Periodo 2013-2019"/>
    <s v="Gráfico que muestra la frecuencia mensual de Sentencias Dictadas por Delitos Vinculados a la Mujer por Tipo de Delito en la Región de Maule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ule"/>
    <s v="https://analytics.zoho.com/open-view/2395394000007118833?ZOHO_CRITERIA=%22Localiza%20CL%22.%22Codreg%22%3D7"/>
    <x v="23"/>
    <s v="#1774B9"/>
  </r>
  <r>
    <s v="0372"/>
    <n v="300"/>
    <s v="Violencia contra la mujer"/>
    <s v="Mujeres"/>
    <n v="8"/>
    <x v="9"/>
    <x v="2"/>
    <x v="1"/>
    <x v="8"/>
    <x v="2"/>
    <x v="9"/>
    <s v="Periodo 2013-2019"/>
    <s v="Número de sentencias"/>
    <s v="Poder Judicial"/>
    <s v="Sentencias Dictadas por Delitos Vinculados a la Mujer por Tipo de Delito en la Región del Biobío durante el Periodo 2013-2019"/>
    <s v="Gráfico que muestra la frecuencia mensual de Sentencias Dictadas por Delitos Vinculados a la Mujer por Tipo de Delito en la Región del Biobí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biobío"/>
    <s v="https://analytics.zoho.com/open-view/2395394000007118833?ZOHO_CRITERIA=%22Localiza%20CL%22.%22Codreg%22%3D8"/>
    <x v="24"/>
    <s v="#1774B9"/>
  </r>
  <r>
    <s v="0373"/>
    <n v="300"/>
    <s v="Violencia contra la mujer"/>
    <s v="Mujeres"/>
    <n v="9"/>
    <x v="9"/>
    <x v="2"/>
    <x v="1"/>
    <x v="9"/>
    <x v="2"/>
    <x v="9"/>
    <s v="Periodo 2013-2019"/>
    <s v="Número de sentencias"/>
    <s v="Poder Judicial"/>
    <s v="Sentencias Dictadas por Delitos Vinculados a la Mujer por Tipo de Delito en la Región de La Araucanía durante el Periodo 2013-2019"/>
    <s v="Gráfico que muestra la frecuencia mensual de Sentencias Dictadas por Delitos Vinculados a la Mujer por Tipo de Delito en la Región de La Araucaní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aucanía"/>
    <s v="https://analytics.zoho.com/open-view/2395394000007118833?ZOHO_CRITERIA=%22Localiza%20CL%22.%22Codreg%22%3D9"/>
    <x v="25"/>
    <s v="#1774B9"/>
  </r>
  <r>
    <s v="0374"/>
    <n v="300"/>
    <s v="Violencia contra la mujer"/>
    <s v="Mujeres"/>
    <n v="10"/>
    <x v="9"/>
    <x v="2"/>
    <x v="1"/>
    <x v="10"/>
    <x v="2"/>
    <x v="9"/>
    <s v="Periodo 2013-2019"/>
    <s v="Número de sentencias"/>
    <s v="Poder Judicial"/>
    <s v="Sentencias Dictadas por Delitos Vinculados a la Mujer por Tipo de Delito en la Región de Los Lagos durante el Periodo 2013-2019"/>
    <s v="Gráfico que muestra la frecuencia mensual de Sentencias Dictadas por Delitos Vinculados a la Mujer por Tipo de Delito en la Región de Los Lago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lagos"/>
    <s v="https://analytics.zoho.com/open-view/2395394000007118833?ZOHO_CRITERIA=%22Localiza%20CL%22.%22Codreg%22%3D10"/>
    <x v="26"/>
    <s v="#1774B9"/>
  </r>
  <r>
    <s v="0375"/>
    <n v="300"/>
    <s v="Violencia contra la mujer"/>
    <s v="Mujeres"/>
    <n v="11"/>
    <x v="9"/>
    <x v="2"/>
    <x v="1"/>
    <x v="11"/>
    <x v="2"/>
    <x v="9"/>
    <s v="Periodo 2013-2019"/>
    <s v="Número de sentencias"/>
    <s v="Poder Judicial"/>
    <s v="Sentencias Dictadas por Delitos Vinculados a la Mujer por Tipo de Delito en la Región de Aysén durante el Periodo 2013-2019"/>
    <s v="Gráfico que muestra la frecuencia mensual de Sentencias Dictadas por Delitos Vinculados a la Mujer por Tipo de Delito en la Región de Aysén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ysén"/>
    <s v="https://analytics.zoho.com/open-view/2395394000007118833?ZOHO_CRITERIA=%22Localiza%20CL%22.%22Codreg%22%3D11"/>
    <x v="27"/>
    <s v="#1774B9"/>
  </r>
  <r>
    <s v="0376"/>
    <n v="300"/>
    <s v="Violencia contra la mujer"/>
    <s v="Mujeres"/>
    <n v="12"/>
    <x v="9"/>
    <x v="2"/>
    <x v="1"/>
    <x v="12"/>
    <x v="2"/>
    <x v="9"/>
    <s v="Periodo 2013-2019"/>
    <s v="Número de sentencias"/>
    <s v="Poder Judicial"/>
    <s v="Sentencias Dictadas por Delitos Vinculados a la Mujer por Tipo de Delito en la Región de Magallanes durante el Periodo 2013-2019"/>
    <s v="Gráfico que muestra la frecuencia mensual de Sentencias Dictadas por Delitos Vinculados a la Mujer por Tipo de Delito en la Región de Magallane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gallanes"/>
    <s v="https://analytics.zoho.com/open-view/2395394000007118833?ZOHO_CRITERIA=%22Localiza%20CL%22.%22Codreg%22%3D12"/>
    <x v="28"/>
    <s v="#1774B9"/>
  </r>
  <r>
    <s v="0377"/>
    <n v="300"/>
    <s v="Violencia contra la mujer"/>
    <s v="Mujeres"/>
    <n v="13"/>
    <x v="9"/>
    <x v="2"/>
    <x v="1"/>
    <x v="13"/>
    <x v="2"/>
    <x v="9"/>
    <s v="Periodo 2013-2019"/>
    <s v="Número de sentencias"/>
    <s v="Poder Judicial"/>
    <s v="Sentencias Dictadas por Delitos Vinculados a la Mujer por Tipo de Delito en la Región Metropolitana durante el Periodo 2013-2019"/>
    <s v="Gráfico que muestra la frecuencia mensual de Sentencias Dictadas por Delitos Vinculados a la Mujer por Tipo de Delito en la Región Metropolitan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etropolitana"/>
    <s v="https://analytics.zoho.com/open-view/2395394000007118833?ZOHO_CRITERIA=%22Localiza%20CL%22.%22Codreg%22%3D13"/>
    <x v="29"/>
    <s v="#1774B9"/>
  </r>
  <r>
    <s v="0378"/>
    <n v="300"/>
    <s v="Violencia contra la mujer"/>
    <s v="Mujeres"/>
    <n v="14"/>
    <x v="9"/>
    <x v="2"/>
    <x v="1"/>
    <x v="14"/>
    <x v="2"/>
    <x v="9"/>
    <s v="Periodo 2013-2019"/>
    <s v="Número de sentencias"/>
    <s v="Poder Judicial"/>
    <s v="Sentencias Dictadas por Delitos Vinculados a la Mujer por Tipo de Delito en la Región de Los Ríos durante el Periodo 2013-2019"/>
    <s v="Gráfico que muestra la frecuencia mensual de Sentencias Dictadas por Delitos Vinculados a la Mujer por Tipo de Delito en la Región de Los Ríos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ríos"/>
    <s v="https://analytics.zoho.com/open-view/2395394000007118833?ZOHO_CRITERIA=%22Localiza%20CL%22.%22Codreg%22%3D14"/>
    <x v="30"/>
    <s v="#1774B9"/>
  </r>
  <r>
    <s v="0379"/>
    <n v="300"/>
    <s v="Violencia contra la mujer"/>
    <s v="Mujeres"/>
    <n v="15"/>
    <x v="9"/>
    <x v="2"/>
    <x v="1"/>
    <x v="15"/>
    <x v="2"/>
    <x v="9"/>
    <s v="Periodo 2013-2019"/>
    <s v="Número de sentencias"/>
    <s v="Poder Judicial"/>
    <s v="Sentencias Dictadas por Delitos Vinculados a la Mujer por Tipo de Delito en la Región de Arica y Parinacota durante el Periodo 2013-2019"/>
    <s v="Gráfico que muestra la frecuencia mensual de Sentencias Dictadas por Delitos Vinculados a la Mujer por Tipo de Delito en la Región de Arica y Parinacota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ica parinacota"/>
    <s v="https://analytics.zoho.com/open-view/2395394000007118833?ZOHO_CRITERIA=%22Localiza%20CL%22.%22Codreg%22%3D15"/>
    <x v="31"/>
    <s v="#1774B9"/>
  </r>
  <r>
    <s v="0380"/>
    <n v="300"/>
    <s v="Violencia contra la mujer"/>
    <s v="Mujeres"/>
    <n v="16"/>
    <x v="9"/>
    <x v="2"/>
    <x v="1"/>
    <x v="16"/>
    <x v="2"/>
    <x v="9"/>
    <s v="Periodo 2013-2019"/>
    <s v="Número de sentencias"/>
    <s v="Poder Judicial"/>
    <s v="Sentencias Dictadas por Delitos Vinculados a la Mujer por Tipo de Delito en la Región de Ñuble durante el Periodo 2013-2019"/>
    <s v="Gráfico que muestra la frecuencia mensual de Sentencias Dictadas por Delitos Vinculados a la Mujer por Tipo de Delito en la Región de Ñuble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ñuble"/>
    <s v="https://analytics.zoho.com/open-view/2395394000007118833?ZOHO_CRITERIA=%22Localiza%20CL%22.%22Codreg%22%3D16"/>
    <x v="32"/>
    <s v="#1774B9"/>
  </r>
  <r>
    <s v="0381"/>
    <n v="300"/>
    <s v="Violencia contra la mujer"/>
    <s v="Mujeres"/>
    <n v="1"/>
    <x v="9"/>
    <x v="2"/>
    <x v="1"/>
    <x v="1"/>
    <x v="2"/>
    <x v="9"/>
    <s v="Periodo 2013-2019"/>
    <s v="Número de sentencias"/>
    <s v="Poder Judicial"/>
    <s v="Sentencias Dictadas por Delitos Vinculados a la Mujer por Juzgado de Garantía en la Región de Tarapacá durante el Periodo 2013-2019"/>
    <s v="El gráfico muestra la evolución anual de la frecuencia de Sentencias Dictadas por Delitos Vinculados a la Mujer por Juzgado de Garantía en la Región de Tarapacá durante el Periodo 2013-2019 de acuerdo a datos provenientes del Poder Judicial de Chile."/>
    <s v="Gráfico de Evolución"/>
    <s v="sociedad delincuencia delitos frecuencia sentencias juzgado garantía mujer violencia tarapacá"/>
    <s v="https://analytics.zoho.com/open-view/2395394000007130196?ZOHO_CRITERIA=%22Localiza%20CL%22.%22Codreg%22%3D1"/>
    <x v="1"/>
    <s v="#1774B9"/>
  </r>
  <r>
    <s v="0382"/>
    <n v="300"/>
    <s v="Violencia contra la mujer"/>
    <s v="Mujeres"/>
    <n v="2"/>
    <x v="9"/>
    <x v="2"/>
    <x v="1"/>
    <x v="2"/>
    <x v="2"/>
    <x v="9"/>
    <s v="Periodo 2013-2019"/>
    <s v="Número de sentencias"/>
    <s v="Poder Judicial"/>
    <s v="Sentencias Dictadas por Delitos Vinculados a la Mujer por Juzgado de Garantía en la Región de Antofagasta durante el Periodo 2013-2019"/>
    <s v="El gráfico muestra la evolución anual de la frecuencia de Sentencias Dictadas por Delitos Vinculados a la Mujer por Juzgado de Garantía en la Región de Antofagasta durante el Periodo 2013-2019 de acuerdo a datos provenientes del Poder Judicial de Chile."/>
    <s v="Gráfico de Evolución"/>
    <s v="sociedad delincuencia delitos frecuencia sentencias juzgado garantía mujer violencia antofagasta"/>
    <s v="https://analytics.zoho.com/open-view/2395394000007130196?ZOHO_CRITERIA=%22Localiza%20CL%22.%22Codreg%22%3D2"/>
    <x v="2"/>
    <s v="#1774B9"/>
  </r>
  <r>
    <s v="0383"/>
    <n v="300"/>
    <s v="Violencia contra la mujer"/>
    <s v="Mujeres"/>
    <n v="3"/>
    <x v="9"/>
    <x v="2"/>
    <x v="1"/>
    <x v="3"/>
    <x v="2"/>
    <x v="9"/>
    <s v="Periodo 2013-2019"/>
    <s v="Número de sentencias"/>
    <s v="Poder Judicial"/>
    <s v="Sentencias Dictadas por Delitos Vinculados a la Mujer por Juzgado de Garantía en la Región de Atacama durante el Periodo 2013-2019"/>
    <s v="El gráfico muestra la evolución anual de la frecuencia de Sentencias Dictadas por Delitos Vinculados a la Mujer por Juzgado de Garantía en la Región de Atacama durante el Periodo 2013-2019 de acuerdo a datos provenientes del Poder Judicial de Chile."/>
    <s v="Gráfico de Evolución"/>
    <s v="sociedad delincuencia delitos frecuencia sentencias juzgado garantía mujer violencia atacama"/>
    <s v="https://analytics.zoho.com/open-view/2395394000007130196?ZOHO_CRITERIA=%22Localiza%20CL%22.%22Codreg%22%3D3"/>
    <x v="3"/>
    <s v="#1774B9"/>
  </r>
  <r>
    <s v="0384"/>
    <n v="300"/>
    <s v="Violencia contra la mujer"/>
    <s v="Mujeres"/>
    <n v="4"/>
    <x v="9"/>
    <x v="2"/>
    <x v="1"/>
    <x v="4"/>
    <x v="2"/>
    <x v="9"/>
    <s v="Periodo 2013-2019"/>
    <s v="Número de sentencias"/>
    <s v="Poder Judicial"/>
    <s v="Sentencias Dictadas por Delitos Vinculados a la Mujer por Juzgado de Garantía en la Región de Coquimbo durante el Periodo 2013-2019"/>
    <s v="El gráfico muestra la evolución anual de la frecuencia de Sentencias Dictadas por Delitos Vinculados a la Mujer por Juzgado de Garantía en la Región de Coquimbo durante el Periodo 2013-2019 de acuerdo a datos provenientes del Poder Judicial de Chile."/>
    <s v="Gráfico de Evolución"/>
    <s v="sociedad delincuencia delitos frecuencia sentencias juzgado garantía mujer violencia coquimbo"/>
    <s v="https://analytics.zoho.com/open-view/2395394000007130196?ZOHO_CRITERIA=%22Localiza%20CL%22.%22Codreg%22%3D4"/>
    <x v="4"/>
    <s v="#1774B9"/>
  </r>
  <r>
    <s v="0385"/>
    <n v="300"/>
    <s v="Violencia contra la mujer"/>
    <s v="Mujeres"/>
    <n v="5"/>
    <x v="9"/>
    <x v="2"/>
    <x v="1"/>
    <x v="5"/>
    <x v="2"/>
    <x v="9"/>
    <s v="Periodo 2013-2019"/>
    <s v="Número de sentencias"/>
    <s v="Poder Judicial"/>
    <s v="Sentencias Dictadas por Delitos Vinculados a la Mujer por Juzgado de Garantía en la Región de Valparaíso durante el Periodo 2013-2019"/>
    <s v="El gráfico muestra la evolución anual de la frecuencia de Sentencias Dictadas por Delitos Vinculados a la Mujer por Juzgado de Garantía en la Región de Valparaíso durante el Periodo 2013-2019 de acuerdo a datos provenientes del Poder Judicial de Chile."/>
    <s v="Gráfico de Evolución"/>
    <s v="sociedad delincuencia delitos frecuencia sentencias juzgado garantía mujer violencia valparaíso"/>
    <s v="https://analytics.zoho.com/open-view/2395394000007130196?ZOHO_CRITERIA=%22Localiza%20CL%22.%22Codreg%22%3D5"/>
    <x v="5"/>
    <s v="#1774B9"/>
  </r>
  <r>
    <s v="0386"/>
    <n v="300"/>
    <s v="Violencia contra la mujer"/>
    <s v="Mujeres"/>
    <n v="6"/>
    <x v="9"/>
    <x v="2"/>
    <x v="1"/>
    <x v="6"/>
    <x v="2"/>
    <x v="9"/>
    <s v="Periodo 2013-2019"/>
    <s v="Número de sentencias"/>
    <s v="Poder Judicial"/>
    <s v="Sentencias Dictadas por Delitos Vinculados a la Mujer por Juzgado de Garantía en la Región de O'Higgins durante el Periodo 2013-2019"/>
    <s v="El gráfico muestra la evolución anual de la frecuencia de Sentencias Dictadas por Delitos Vinculados a la Mujer por Juzgado de Garantía en la Región de O'Higgins durante el Periodo 2013-2019 de acuerdo a datos provenientes del Poder Judicial de Chile."/>
    <s v="Gráfico de Evolución"/>
    <s v="sociedad delincuencia delitos frecuencia sentencias juzgado garantía mujer violencia ohiggins"/>
    <s v="https://analytics.zoho.com/open-view/2395394000007130196?ZOHO_CRITERIA=%22Localiza%20CL%22.%22Codreg%22%3D6"/>
    <x v="6"/>
    <s v="#1774B9"/>
  </r>
  <r>
    <s v="0387"/>
    <n v="300"/>
    <s v="Violencia contra la mujer"/>
    <s v="Mujeres"/>
    <n v="7"/>
    <x v="9"/>
    <x v="2"/>
    <x v="1"/>
    <x v="7"/>
    <x v="2"/>
    <x v="9"/>
    <s v="Periodo 2013-2019"/>
    <s v="Número de sentencias"/>
    <s v="Poder Judicial"/>
    <s v="Sentencias Dictadas por Delitos Vinculados a la Mujer por Juzgado de Garantía en la Región de Maule durante el Periodo 2013-2019"/>
    <s v="El gráfico muestra la evolución anual de la frecuencia de Sentencias Dictadas por Delitos Vinculados a la Mujer por Juzgado de Garantía en la Región de Maule durante el Periodo 2013-2019 de acuerdo a datos provenientes del Poder Judicial de Chile."/>
    <s v="Gráfico de Evolución"/>
    <s v="sociedad delincuencia delitos frecuencia sentencias juzgado garantía mujer violencia maule"/>
    <s v="https://analytics.zoho.com/open-view/2395394000007130196?ZOHO_CRITERIA=%22Localiza%20CL%22.%22Codreg%22%3D7"/>
    <x v="7"/>
    <s v="#1774B9"/>
  </r>
  <r>
    <s v="0388"/>
    <n v="300"/>
    <s v="Violencia contra la mujer"/>
    <s v="Mujeres"/>
    <n v="8"/>
    <x v="9"/>
    <x v="2"/>
    <x v="1"/>
    <x v="8"/>
    <x v="2"/>
    <x v="9"/>
    <s v="Periodo 2013-2019"/>
    <s v="Número de sentencias"/>
    <s v="Poder Judicial"/>
    <s v="Sentencias Dictadas por Delitos Vinculados a la Mujer por Juzgado de Garantía en la Región del Biobío durante el Periodo 2013-2019"/>
    <s v="El gráfico muestra la evolución anual de la frecuencia de Sentencias Dictadas por Delitos Vinculados a la Mujer por Juzgado de Garantía en la Región del Biobío durante el Periodo 2013-2019 de acuerdo a datos provenientes del Poder Judicial de Chile."/>
    <s v="Gráfico de Evolución"/>
    <s v="sociedad delincuencia delitos frecuencia sentencias juzgado garantía mujer violencia biobío"/>
    <s v="https://analytics.zoho.com/open-view/2395394000007130196?ZOHO_CRITERIA=%22Localiza%20CL%22.%22Codreg%22%3D8"/>
    <x v="8"/>
    <s v="#1774B9"/>
  </r>
  <r>
    <s v="0389"/>
    <n v="300"/>
    <s v="Violencia contra la mujer"/>
    <s v="Mujeres"/>
    <n v="9"/>
    <x v="9"/>
    <x v="2"/>
    <x v="1"/>
    <x v="9"/>
    <x v="2"/>
    <x v="9"/>
    <s v="Periodo 2013-2019"/>
    <s v="Número de sentencias"/>
    <s v="Poder Judicial"/>
    <s v="Sentencias Dictadas por Delitos Vinculados a la Mujer por Juzgado de Garantía en la Región de La Araucanía durante el Periodo 2013-2019"/>
    <s v="El gráfico muestra la evolución anual de la frecuencia de Sentencias Dictadas por Delitos Vinculados a la Mujer por Juzgado de Garantía en la Región de La Araucanía durante el Periodo 2013-2019 de acuerdo a datos provenientes del Poder Judicial de Chile."/>
    <s v="Gráfico de Evolución"/>
    <s v="sociedad delincuencia delitos frecuencia sentencias juzgado garantía mujer violencia araucanía"/>
    <s v="https://analytics.zoho.com/open-view/2395394000007130196?ZOHO_CRITERIA=%22Localiza%20CL%22.%22Codreg%22%3D9"/>
    <x v="9"/>
    <s v="#1774B9"/>
  </r>
  <r>
    <s v="0390"/>
    <n v="300"/>
    <s v="Violencia contra la mujer"/>
    <s v="Mujeres"/>
    <n v="10"/>
    <x v="9"/>
    <x v="2"/>
    <x v="1"/>
    <x v="10"/>
    <x v="2"/>
    <x v="9"/>
    <s v="Periodo 2013-2019"/>
    <s v="Número de sentencias"/>
    <s v="Poder Judicial"/>
    <s v="Sentencias Dictadas por Delitos Vinculados a la Mujer por Juzgado de Garantía en la Región de Los Lagos durante el Periodo 2013-2019"/>
    <s v="El gráfico muestra la evolución anual de la frecuencia de Sentencias Dictadas por Delitos Vinculados a la Mujer por Juzgado de Garantía en la Región de Los Lagos durante el Periodo 2013-2019 de acuerdo a datos provenientes del Poder Judicial de Chile."/>
    <s v="Gráfico de Evolución"/>
    <s v="sociedad delincuencia delitos frecuencia sentencias juzgado garantía mujer violencia los lagos"/>
    <s v="https://analytics.zoho.com/open-view/2395394000007130196?ZOHO_CRITERIA=%22Localiza%20CL%22.%22Codreg%22%3D10"/>
    <x v="10"/>
    <s v="#1774B9"/>
  </r>
  <r>
    <s v="0391"/>
    <n v="300"/>
    <s v="Violencia contra la mujer"/>
    <s v="Mujeres"/>
    <n v="11"/>
    <x v="9"/>
    <x v="2"/>
    <x v="1"/>
    <x v="11"/>
    <x v="2"/>
    <x v="9"/>
    <s v="Periodo 2013-2019"/>
    <s v="Número de sentencias"/>
    <s v="Poder Judicial"/>
    <s v="Sentencias Dictadas por Delitos Vinculados a la Mujer por Juzgado de Garantía en la Región de Aysén durante el Periodo 2013-2019"/>
    <s v="El gráfico muestra la evolución anual de la frecuencia de Sentencias Dictadas por Delitos Vinculados a la Mujer por Juzgado de Garantía en la Región de Aysén durante el Periodo 2013-2019 de acuerdo a datos provenientes del Poder Judicial de Chile."/>
    <s v="Gráfico de Evolución"/>
    <s v="sociedad delincuencia delitos frecuencia sentencias juzgado garantía mujer violencia aysén"/>
    <s v="https://analytics.zoho.com/open-view/2395394000007130196?ZOHO_CRITERIA=%22Localiza%20CL%22.%22Codreg%22%3D11"/>
    <x v="11"/>
    <s v="#1774B9"/>
  </r>
  <r>
    <s v="0392"/>
    <n v="300"/>
    <s v="Violencia contra la mujer"/>
    <s v="Mujeres"/>
    <n v="12"/>
    <x v="9"/>
    <x v="2"/>
    <x v="1"/>
    <x v="12"/>
    <x v="2"/>
    <x v="9"/>
    <s v="Periodo 2013-2019"/>
    <s v="Número de sentencias"/>
    <s v="Poder Judicial"/>
    <s v="Sentencias Dictadas por Delitos Vinculados a la Mujer por Juzgado de Garantía en la Región de Magallanes durante el Periodo 2013-2019"/>
    <s v="El gráfico muestra la evolución anual de la frecuencia de Sentencias Dictadas por Delitos Vinculados a la Mujer por Juzgado de Garantía en la Región de Magallanes durante el Periodo 2013-2019 de acuerdo a datos provenientes del Poder Judicial de Chile."/>
    <s v="Gráfico de Evolución"/>
    <s v="sociedad delincuencia delitos frecuencia sentencias juzgado garantía mujer violencia magallanes"/>
    <s v="https://analytics.zoho.com/open-view/2395394000007130196?ZOHO_CRITERIA=%22Localiza%20CL%22.%22Codreg%22%3D12"/>
    <x v="12"/>
    <s v="#1774B9"/>
  </r>
  <r>
    <s v="0393"/>
    <n v="300"/>
    <s v="Violencia contra la mujer"/>
    <s v="Mujeres"/>
    <n v="13"/>
    <x v="9"/>
    <x v="2"/>
    <x v="1"/>
    <x v="13"/>
    <x v="2"/>
    <x v="9"/>
    <s v="Periodo 2013-2019"/>
    <s v="Número de sentencias"/>
    <s v="Poder Judicial"/>
    <s v="Sentencias Dictadas por Delitos Vinculados a la Mujer por Juzgado de Garantía en la Región Metropolitana durante el Periodo 2013-2019"/>
    <s v="El gráfico muestra la evolución anual de la frecuencia de Sentencias Dictadas por Delitos Vinculados a la Mujer por Juzgado de Garantía en la Región Metropolitana durante el Periodo 2013-2019 de acuerdo a datos provenientes del Poder Judicial de Chile."/>
    <s v="Gráfico de Evolución"/>
    <s v="sociedad delincuencia delitos frecuencia sentencias juzgado garantía mujer violencia metropolitana"/>
    <s v="https://analytics.zoho.com/open-view/2395394000007130196?ZOHO_CRITERIA=%22Localiza%20CL%22.%22Codreg%22%3D13"/>
    <x v="13"/>
    <s v="#1774B9"/>
  </r>
  <r>
    <s v="0394"/>
    <n v="300"/>
    <s v="Violencia contra la mujer"/>
    <s v="Mujeres"/>
    <n v="14"/>
    <x v="9"/>
    <x v="2"/>
    <x v="1"/>
    <x v="14"/>
    <x v="2"/>
    <x v="9"/>
    <s v="Periodo 2013-2019"/>
    <s v="Número de sentencias"/>
    <s v="Poder Judicial"/>
    <s v="Sentencias Dictadas por Delitos Vinculados a la Mujer por Juzgado de Garantía en la Región de Los Ríos durante el Periodo 2013-2019"/>
    <s v="El gráfico muestra la evolución anual de la frecuencia de Sentencias Dictadas por Delitos Vinculados a la Mujer por Juzgado de Garantía en la Región de Los Ríos durante el Periodo 2013-2019 de acuerdo a datos provenientes del Poder Judicial de Chile."/>
    <s v="Gráfico de Evolución"/>
    <s v="sociedad delincuencia delitos frecuencia sentencias juzgado garantía mujer violencia los ríos"/>
    <s v="https://analytics.zoho.com/open-view/2395394000007130196?ZOHO_CRITERIA=%22Localiza%20CL%22.%22Codreg%22%3D14"/>
    <x v="14"/>
    <s v="#1774B9"/>
  </r>
  <r>
    <s v="0395"/>
    <n v="300"/>
    <s v="Violencia contra la mujer"/>
    <s v="Mujeres"/>
    <n v="15"/>
    <x v="9"/>
    <x v="2"/>
    <x v="1"/>
    <x v="15"/>
    <x v="2"/>
    <x v="9"/>
    <s v="Periodo 2013-2019"/>
    <s v="Número de sentencias"/>
    <s v="Poder Judicial"/>
    <s v="Sentencias Dictadas por Delitos Vinculados a la Mujer por Juzgado de Garantía en la Región de Arica y Parinacota durante el Periodo 2013-2019"/>
    <s v="El gráfico muestra la evolución anual de la frecuencia de Sentencias Dictadas por Delitos Vinculados a la Mujer por Juzgado de Garantía en la Región de Arica y Parinacota durante el Periodo 2013-2019 de acuerdo a datos provenientes del Poder Judicial de Chile."/>
    <s v="Gráfico de Evolución"/>
    <s v="sociedad delincuencia delitos frecuencia sentencias juzgado garantía mujer violencia arica parinacota"/>
    <s v="https://analytics.zoho.com/open-view/2395394000007130196?ZOHO_CRITERIA=%22Localiza%20CL%22.%22Codreg%22%3D15"/>
    <x v="15"/>
    <s v="#1774B9"/>
  </r>
  <r>
    <s v="0396"/>
    <n v="300"/>
    <s v="Violencia contra la mujer"/>
    <s v="Mujeres"/>
    <n v="16"/>
    <x v="9"/>
    <x v="2"/>
    <x v="1"/>
    <x v="16"/>
    <x v="2"/>
    <x v="9"/>
    <s v="Periodo 2013-2019"/>
    <s v="Número de sentencias"/>
    <s v="Poder Judicial"/>
    <s v="Sentencias Dictadas por Delitos Vinculados a la Mujer por Juzgado de Garantía en la Región de Ñuble durante el Periodo 2013-2019"/>
    <s v="El gráfico muestra la evolución anual de la frecuencia de Sentencias Dictadas por Delitos Vinculados a la Mujer por Juzgado de Garantía en la Región de Ñuble durante el Periodo 2013-2019 de acuerdo a datos provenientes del Poder Judicial de Chile."/>
    <s v="Gráfico de Evolución"/>
    <s v="sociedad delincuencia delitos frecuencia sentencias juzgado garantía mujer violencia ñuble"/>
    <s v="https://analytics.zoho.com/open-view/2395394000007130196?ZOHO_CRITERIA=%22Localiza%20CL%22.%22Codreg%22%3D16"/>
    <x v="16"/>
    <s v="#1774B9"/>
  </r>
  <r>
    <s v="0397"/>
    <n v="300"/>
    <s v="Violencia contra la mujer"/>
    <s v="Mujeres"/>
    <n v="1"/>
    <x v="9"/>
    <x v="2"/>
    <x v="1"/>
    <x v="1"/>
    <x v="2"/>
    <x v="9"/>
    <s v="Periodo 2013-2019"/>
    <s v="Número de sentencias"/>
    <s v="Poder Judicial"/>
    <s v="Sentencias Dictadas por Delitos Vinculados a la Mujer por Delito en la Región de Tarapacá durante el Periodo 2013-2019"/>
    <s v="El gráfico muestra la evolución anual de la frecuencia de Sentencias Dictadas por Delitos Vinculados a la Mujer por Delito en la Región de Tarapacá durante el Periodo 2013-2019 de acuerdo a datos provenientes del Poder Judicial de Chile."/>
    <s v="Gráfico de Evolución"/>
    <s v="sociedad delincuencia delitos frecuencia sentencias secuestro homicio tortura aborto lesiones mujer violencia tarapacá"/>
    <s v="https://analytics.zoho.com/open-view/2395394000007158003?ZOHO_CRITERIA=%22Localiza%20CL%22.%22Codreg%22%3D1"/>
    <x v="17"/>
    <s v="#1774B9"/>
  </r>
  <r>
    <s v="0398"/>
    <n v="300"/>
    <s v="Violencia contra la mujer"/>
    <s v="Mujeres"/>
    <n v="2"/>
    <x v="9"/>
    <x v="2"/>
    <x v="1"/>
    <x v="2"/>
    <x v="2"/>
    <x v="9"/>
    <s v="Periodo 2013-2019"/>
    <s v="Número de sentencias"/>
    <s v="Poder Judicial"/>
    <s v="Sentencias Dictadas por Delitos Vinculados a la Mujer por Delito en la Región de Antofagasta durante el Periodo 2013-2019"/>
    <s v="El gráfico muestra la evolución anual de la frecuencia de Sentencias Dictadas por Delitos Vinculados a la Mujer por Delito en la Región de Antofagasta durante el Periodo 2013-2019 de acuerdo a datos provenientes del Poder Judicial de Chile."/>
    <s v="Gráfico de Evolución"/>
    <s v="sociedad delincuencia delitos frecuencia sentencias secuestro homicidio tortura aborto lesiones mujer violencia femicidio antofagasta"/>
    <s v="https://analytics.zoho.com/open-view/2395394000007158003?ZOHO_CRITERIA=%22Localiza%20CL%22.%22Codreg%22%3D2"/>
    <x v="18"/>
    <s v="#1774B9"/>
  </r>
  <r>
    <s v="0399"/>
    <n v="300"/>
    <s v="Violencia contra la mujer"/>
    <s v="Mujeres"/>
    <n v="3"/>
    <x v="9"/>
    <x v="2"/>
    <x v="1"/>
    <x v="3"/>
    <x v="2"/>
    <x v="9"/>
    <s v="Periodo 2013-2019"/>
    <s v="Número de sentencias"/>
    <s v="Poder Judicial"/>
    <s v="Sentencias Dictadas por Delitos Vinculados a la Mujer por Delito en la Región de Atacama durante el Periodo 2013-2019"/>
    <s v="El gráfico muestra la evolución anual de la frecuencia de Sentencias Dictadas por Delitos Vinculados a la Mujer por Delito en la Región de Atacama durante el Periodo 2013-2019 de acuerdo a datos provenientes del Poder Judicial de Chile."/>
    <s v="Gráfico de Evolución"/>
    <s v="sociedad delincuencia delitos frecuencia sentencias secuestro homicidio tortura aborto lesiones mujer violencia femicidio atacama"/>
    <s v="https://analytics.zoho.com/open-view/2395394000007158003?ZOHO_CRITERIA=%22Localiza%20CL%22.%22Codreg%22%3D3"/>
    <x v="19"/>
    <s v="#1774B9"/>
  </r>
  <r>
    <s v="0400"/>
    <n v="300"/>
    <s v="Violencia contra la mujer"/>
    <s v="Mujeres"/>
    <n v="4"/>
    <x v="9"/>
    <x v="2"/>
    <x v="1"/>
    <x v="4"/>
    <x v="2"/>
    <x v="9"/>
    <s v="Periodo 2013-2019"/>
    <s v="Número de sentencias"/>
    <s v="Poder Judicial"/>
    <s v="Sentencias Dictadas por Delitos Vinculados a la Mujer por Delito en la Región de Coquimbo durante el Periodo 2013-2019"/>
    <s v="El gráfico muestra la evolución anual de la frecuencia de Sentencias Dictadas por Delitos Vinculados a la Mujer por Delito en la Región de Coquimbo durante el Periodo 2013-2019 de acuerdo a datos provenientes del Poder Judicial de Chile."/>
    <s v="Gráfico de Evolución"/>
    <s v="sociedad delincuencia delitos frecuencia sentencias secuestro homicidio tortura aborto lesiones mujer violencia femicidio coquimbo"/>
    <s v="https://analytics.zoho.com/open-view/2395394000007158003?ZOHO_CRITERIA=%22Localiza%20CL%22.%22Codreg%22%3D4"/>
    <x v="20"/>
    <s v="#1774B9"/>
  </r>
  <r>
    <s v="0401"/>
    <n v="300"/>
    <s v="Violencia contra la mujer"/>
    <s v="Mujeres"/>
    <n v="5"/>
    <x v="9"/>
    <x v="2"/>
    <x v="1"/>
    <x v="5"/>
    <x v="2"/>
    <x v="9"/>
    <s v="Periodo 2013-2019"/>
    <s v="Número de sentencias"/>
    <s v="Poder Judicial"/>
    <s v="Sentencias Dictadas por Delitos Vinculados a la Mujer por Delito en la Región de Valparaíso durante el Periodo 2013-2019"/>
    <s v="El gráfico muestra la evolución anual de la frecuencia de Sentencias Dictadas por Delitos Vinculados a la Mujer por Delito en la Región de Valparaíso durante el Periodo 2013-2019 de acuerdo a datos provenientes del Poder Judicial de Chile."/>
    <s v="Gráfico de Evolución"/>
    <s v="sociedad delincuencia delitos frecuencia sentencias secuestro homicidio tortura aborto lesiones mujer violencia femicidio valparaíso"/>
    <s v="https://analytics.zoho.com/open-view/2395394000007158003?ZOHO_CRITERIA=%22Localiza%20CL%22.%22Codreg%22%3D5"/>
    <x v="21"/>
    <s v="#1774B9"/>
  </r>
  <r>
    <s v="0402"/>
    <n v="300"/>
    <s v="Violencia contra la mujer"/>
    <s v="Mujeres"/>
    <n v="6"/>
    <x v="9"/>
    <x v="2"/>
    <x v="1"/>
    <x v="6"/>
    <x v="2"/>
    <x v="9"/>
    <s v="Periodo 2013-2019"/>
    <s v="Número de sentencias"/>
    <s v="Poder Judicial"/>
    <s v="Sentencias Dictadas por Delitos Vinculados a la Mujer por Delito en la Región de O'Higgins durante el Periodo 2013-2019"/>
    <s v="El gráfico muestra la evolución anual de la frecuencia de Sentencias Dictadas por Delitos Vinculados a la Mujer por Delito en la Región de O'Higgins durante el Periodo 2013-2019 de acuerdo a datos provenientes del Poder Judicial de Chile."/>
    <s v="Gráfico de Evolución"/>
    <s v="sociedad delincuencia delitos frecuencia sentencias secuestro homicidio tortura aborto lesiones mujer violencia femicidio ohiggins"/>
    <s v="https://analytics.zoho.com/open-view/2395394000007158003?ZOHO_CRITERIA=%22Localiza%20CL%22.%22Codreg%22%3D6"/>
    <x v="22"/>
    <s v="#1774B9"/>
  </r>
  <r>
    <s v="0403"/>
    <n v="300"/>
    <s v="Violencia contra la mujer"/>
    <s v="Mujeres"/>
    <n v="7"/>
    <x v="9"/>
    <x v="2"/>
    <x v="1"/>
    <x v="7"/>
    <x v="2"/>
    <x v="9"/>
    <s v="Periodo 2013-2019"/>
    <s v="Número de sentencias"/>
    <s v="Poder Judicial"/>
    <s v="Sentencias Dictadas por Delitos Vinculados a la Mujer por Delito en la Región de Maule durante el Periodo 2013-2019"/>
    <s v="El gráfico muestra la evolución anual de la frecuencia de Sentencias Dictadas por Delitos Vinculados a la Mujer por Delito en la Región de Maule durante el Periodo 2013-2019 de acuerdo a datos provenientes del Poder Judicial de Chile."/>
    <s v="Gráfico de Evolución"/>
    <s v="sociedad delincuencia delitos frecuencia sentencias secuestro homicidio tortura aborto lesiones mujer violencia femicidio maule"/>
    <s v="https://analytics.zoho.com/open-view/2395394000007158003?ZOHO_CRITERIA=%22Localiza%20CL%22.%22Codreg%22%3D7"/>
    <x v="23"/>
    <s v="#1774B9"/>
  </r>
  <r>
    <s v="0404"/>
    <n v="300"/>
    <s v="Violencia contra la mujer"/>
    <s v="Mujeres"/>
    <n v="8"/>
    <x v="9"/>
    <x v="2"/>
    <x v="1"/>
    <x v="8"/>
    <x v="2"/>
    <x v="9"/>
    <s v="Periodo 2013-2019"/>
    <s v="Número de sentencias"/>
    <s v="Poder Judicial"/>
    <s v="Sentencias Dictadas por Delitos Vinculados a la Mujer por Delito en la Región del Biobío durante el Periodo 2013-2019"/>
    <s v="El gráfico muestra la evolución anual de la frecuencia de Sentencias Dictadas por Delitos Vinculados a la Mujer por Delito en la Región del Biobío durante el Periodo 2013-2019 de acuerdo a datos provenientes del Poder Judicial de Chile."/>
    <s v="Gráfico de Evolución"/>
    <s v="sociedad delincuencia delitos frecuencia sentencias secuestro homicidio tortura aborto lesiones mujer violencia femicidio biobío"/>
    <s v="https://analytics.zoho.com/open-view/2395394000007158003?ZOHO_CRITERIA=%22Localiza%20CL%22.%22Codreg%22%3D8"/>
    <x v="24"/>
    <s v="#1774B9"/>
  </r>
  <r>
    <s v="0405"/>
    <n v="300"/>
    <s v="Violencia contra la mujer"/>
    <s v="Mujeres"/>
    <n v="9"/>
    <x v="9"/>
    <x v="2"/>
    <x v="1"/>
    <x v="9"/>
    <x v="2"/>
    <x v="9"/>
    <s v="Periodo 2013-2019"/>
    <s v="Número de sentencias"/>
    <s v="Poder Judicial"/>
    <s v="Sentencias Dictadas por Delitos Vinculados a la Mujer por Delito en la Región de La Araucanía durante el Periodo 2013-2019"/>
    <s v="El gráfico muestra la evolución anual de la frecuencia de Sentencias Dictadas por Delitos Vinculados a la Mujer por Delito en la Región de La Araucanía durante el Periodo 2013-2019 de acuerdo a datos provenientes del Poder Judicial de Chile."/>
    <s v="Gráfico de Evolución"/>
    <s v="sociedad delincuencia delitos frecuencia sentencias secuestro homicidio tortura aborto lesiones mujer violencia femicidio araucanía"/>
    <s v="https://analytics.zoho.com/open-view/2395394000007158003?ZOHO_CRITERIA=%22Localiza%20CL%22.%22Codreg%22%3D9"/>
    <x v="25"/>
    <s v="#1774B9"/>
  </r>
  <r>
    <s v="0406"/>
    <n v="300"/>
    <s v="Violencia contra la mujer"/>
    <s v="Mujeres"/>
    <n v="10"/>
    <x v="9"/>
    <x v="2"/>
    <x v="1"/>
    <x v="10"/>
    <x v="2"/>
    <x v="9"/>
    <s v="Periodo 2013-2019"/>
    <s v="Número de sentencias"/>
    <s v="Poder Judicial"/>
    <s v="Sentencias Dictadas por Delitos Vinculados a la Mujer por Delito en la Región de Los Lagos durante el Periodo 2013-2019"/>
    <s v="El gráfico muestra la evolución anual de la frecuencia de Sentencias Dictadas por Delitos Vinculados a la Mujer por Delito en la Región de Los Lagos durante el Periodo 2013-2019 de acuerdo a datos provenientes del Poder Judicial de Chile."/>
    <s v="Gráfico de Evolución"/>
    <s v="sociedad delincuencia delitos frecuencia sentencias secuestro homicidio tortura aborto lesiones mujer violencia femicidio los lagos"/>
    <s v="https://analytics.zoho.com/open-view/2395394000007158003?ZOHO_CRITERIA=%22Localiza%20CL%22.%22Codreg%22%3D10"/>
    <x v="26"/>
    <s v="#1774B9"/>
  </r>
  <r>
    <s v="0407"/>
    <n v="300"/>
    <s v="Violencia contra la mujer"/>
    <s v="Mujeres"/>
    <n v="11"/>
    <x v="9"/>
    <x v="2"/>
    <x v="1"/>
    <x v="11"/>
    <x v="2"/>
    <x v="9"/>
    <s v="Periodo 2013-2019"/>
    <s v="Número de sentencias"/>
    <s v="Poder Judicial"/>
    <s v="Sentencias Dictadas por Delitos Vinculados a la Mujer por Delito en la Región de Aysén durante el Periodo 2013-2019"/>
    <s v="El gráfico muestra la evolución anual de la frecuencia de Sentencias Dictadas por Delitos Vinculados a la Mujer por Delito en la Región de Aysén durante el Periodo 2013-2019 de acuerdo a datos provenientes del Poder Judicial de Chile."/>
    <s v="Gráfico de Evolución"/>
    <s v="sociedad delincuencia delitos frecuencia sentencias secuestro homicidio tortura aborto lesiones mujer violencia femicidio aysén"/>
    <s v="https://analytics.zoho.com/open-view/2395394000007158003?ZOHO_CRITERIA=%22Localiza%20CL%22.%22Codreg%22%3D11"/>
    <x v="27"/>
    <s v="#1774B9"/>
  </r>
  <r>
    <s v="0408"/>
    <n v="300"/>
    <s v="Violencia contra la mujer"/>
    <s v="Mujeres"/>
    <n v="12"/>
    <x v="9"/>
    <x v="2"/>
    <x v="1"/>
    <x v="12"/>
    <x v="2"/>
    <x v="9"/>
    <s v="Periodo 2013-2019"/>
    <s v="Número de sentencias"/>
    <s v="Poder Judicial"/>
    <s v="Sentencias Dictadas por Delitos Vinculados a la Mujer por Delito en la Región de Magallanes durante el Periodo 2013-2019"/>
    <s v="El gráfico muestra la evolución anual de la frecuencia de Sentencias Dictadas por Delitos Vinculados a la Mujer por Delito en la Región de Magallanes durante el Periodo 2013-2019 de acuerdo a datos provenientes del Poder Judicial de Chile."/>
    <s v="Gráfico de Evolución"/>
    <s v="sociedad delincuencia delitos frecuencia sentencias secuestro homicidio tortura aborto lesiones mujer violencia femicidio magallanes"/>
    <s v="https://analytics.zoho.com/open-view/2395394000007158003?ZOHO_CRITERIA=%22Localiza%20CL%22.%22Codreg%22%3D12"/>
    <x v="28"/>
    <s v="#1774B9"/>
  </r>
  <r>
    <s v="0409"/>
    <n v="300"/>
    <s v="Violencia contra la mujer"/>
    <s v="Mujeres"/>
    <n v="13"/>
    <x v="9"/>
    <x v="2"/>
    <x v="1"/>
    <x v="13"/>
    <x v="2"/>
    <x v="9"/>
    <s v="Periodo 2013-2019"/>
    <s v="Número de sentencias"/>
    <s v="Poder Judicial"/>
    <s v="Sentencias Dictadas por Delitos Vinculados a la Mujer por Delito en la Región Metropolitana durante el Periodo 2013-2019"/>
    <s v="El gráfico muestra la evolución anual de la frecuencia de Sentencias Dictadas por Delitos Vinculados a la Mujer por Delito en la Región Metropolitana durante el Periodo 2013-2019 de acuerdo a datos provenientes del Poder Judicial de Chile."/>
    <s v="Gráfico de Evolución"/>
    <s v="sociedad delincuencia delitos frecuencia sentencias secuestro homicidio tortura aborto lesiones mujer violencia femicidio metropolitana"/>
    <s v="https://analytics.zoho.com/open-view/2395394000007158003?ZOHO_CRITERIA=%22Localiza%20CL%22.%22Codreg%22%3D13"/>
    <x v="29"/>
    <s v="#1774B9"/>
  </r>
  <r>
    <s v="0410"/>
    <n v="300"/>
    <s v="Violencia contra la mujer"/>
    <s v="Mujeres"/>
    <n v="14"/>
    <x v="9"/>
    <x v="2"/>
    <x v="1"/>
    <x v="14"/>
    <x v="2"/>
    <x v="9"/>
    <s v="Periodo 2013-2019"/>
    <s v="Número de sentencias"/>
    <s v="Poder Judicial"/>
    <s v="Sentencias Dictadas por Delitos Vinculados a la Mujer por Delito en la Región de Los Ríos durante el Periodo 2013-2019"/>
    <s v="El gráfico muestra la evolución anual de la frecuencia de Sentencias Dictadas por Delitos Vinculados a la Mujer por Delito en la Región de Los Ríos durante el Periodo 2013-2019 de acuerdo a datos provenientes del Poder Judicial de Chile."/>
    <s v="Gráfico de Evolución"/>
    <s v="sociedad delincuencia delitos frecuencia sentencias secuestro homicidio tortura aborto lesiones mujer violencia femicidio los ríos"/>
    <s v="https://analytics.zoho.com/open-view/2395394000007158003?ZOHO_CRITERIA=%22Localiza%20CL%22.%22Codreg%22%3D14"/>
    <x v="30"/>
    <s v="#1774B9"/>
  </r>
  <r>
    <s v="0411"/>
    <n v="300"/>
    <s v="Violencia contra la mujer"/>
    <s v="Mujeres"/>
    <n v="15"/>
    <x v="9"/>
    <x v="2"/>
    <x v="1"/>
    <x v="15"/>
    <x v="2"/>
    <x v="9"/>
    <s v="Periodo 2013-2019"/>
    <s v="Número de sentencias"/>
    <s v="Poder Judicial"/>
    <s v="Sentencias Dictadas por Delitos Vinculados a la Mujer por Delito en la Región de Arica y Parinacota durante el Periodo 2013-2019"/>
    <s v="El gráfico muestra la evolución anual de la frecuencia de Sentencias Dictadas por Delitos Vinculados a la Mujer por Delito en la Región de Arica y Parinacota durante el Periodo 2013-2019 de acuerdo a datos provenientes del Poder Judicial de Chile."/>
    <s v="Gráfico de Evolución"/>
    <s v="sociedad delincuencia delitos frecuencia sentencias secuestro homicidio tortura aborto lesiones mujer violencia femicidio arica parinacota"/>
    <s v="https://analytics.zoho.com/open-view/2395394000007158003?ZOHO_CRITERIA=%22Localiza%20CL%22.%22Codreg%22%3D15"/>
    <x v="31"/>
    <s v="#1774B9"/>
  </r>
  <r>
    <s v="0412"/>
    <n v="300"/>
    <s v="Violencia contra la mujer"/>
    <s v="Mujeres"/>
    <n v="16"/>
    <x v="9"/>
    <x v="2"/>
    <x v="1"/>
    <x v="16"/>
    <x v="2"/>
    <x v="9"/>
    <s v="Periodo 2013-2019"/>
    <s v="Número de sentencias"/>
    <s v="Poder Judicial"/>
    <s v="Sentencias Dictadas por Delitos Vinculados a la Mujer por Delito en la Región de Ñuble durante el Periodo 2013-2019"/>
    <s v="El gráfico muestra la evolución anual de la frecuencia de Sentencias Dictadas por Delitos Vinculados a la Mujer por Delito en la Región de Ñuble durante el Periodo 2013-2019 de acuerdo a datos provenientes del Poder Judicial de Chile."/>
    <s v="Gráfico de Evolución"/>
    <s v="sociedad delincuencia delitos frecuencia sentencias secuestro homicidio tortura aborto lesiones mujer violencia femicidio ñuble"/>
    <s v="https://analytics.zoho.com/open-view/2395394000007158003?ZOHO_CRITERIA=%22Localiza%20CL%22.%22Codreg%22%3D16"/>
    <x v="32"/>
    <s v="#1774B9"/>
  </r>
  <r>
    <s v="0413"/>
    <n v="300"/>
    <s v="Violencia contra la mujer"/>
    <s v="Mujeres"/>
    <n v="1"/>
    <x v="9"/>
    <x v="2"/>
    <x v="2"/>
    <x v="17"/>
    <x v="2"/>
    <x v="9"/>
    <s v="Periodo 2013-2019"/>
    <s v="Número de sentencias"/>
    <s v="Poder Judicial"/>
    <s v="Sentencias Dictadas por Delitos Vinculados a la Mujer por Tipo de Delito en el Juzgado de Garantía de Iquique para el Periodo 2013-2019"/>
    <s v="El gráfico muestra la evolución anual de la frecuencia de Sentencias Dictadas por Delitos Vinculados a la Mujer por Tipo de Delito en el Juzgado de Garantía de Iquiq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
    <x v="1"/>
    <s v="#1774B9"/>
  </r>
  <r>
    <s v="0414"/>
    <n v="300"/>
    <s v="Violencia contra la mujer"/>
    <s v="Mujeres"/>
    <n v="2"/>
    <x v="9"/>
    <x v="2"/>
    <x v="2"/>
    <x v="18"/>
    <x v="2"/>
    <x v="9"/>
    <s v="Periodo 2013-2019"/>
    <s v="Número de sentencias"/>
    <s v="Poder Judicial"/>
    <s v="Sentencias Dictadas por Delitos Vinculados a la Mujer por Tipo de Delito en el Juzgado de Garantía de Antofagasta para el Periodo 2013-2019"/>
    <s v="El gráfico muestra la evolución anual de la frecuencia de Sentencias Dictadas por Delitos Vinculados a la Mujer por Tipo de Delito en el Juzgado de Garantía de Antofagast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
    <x v="2"/>
    <s v="#1774B9"/>
  </r>
  <r>
    <s v="0415"/>
    <n v="300"/>
    <s v="Violencia contra la mujer"/>
    <s v="Mujeres"/>
    <n v="3"/>
    <x v="9"/>
    <x v="2"/>
    <x v="2"/>
    <x v="19"/>
    <x v="2"/>
    <x v="9"/>
    <s v="Periodo 2013-2019"/>
    <s v="Número de sentencias"/>
    <s v="Poder Judicial"/>
    <s v="Sentencias Dictadas por Delitos Vinculados a la Mujer por Tipo de Delito en el Juzgado de Garantía de Calama para el Periodo 2013-2019"/>
    <s v="El gráfico muestra la evolución anual de la frecuencia de Sentencias Dictadas por Delitos Vinculados a la Mujer por Tipo de Delito en el Juzgado de Garantía de Calam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
    <x v="2"/>
    <s v="#1774B9"/>
  </r>
  <r>
    <s v="0416"/>
    <n v="300"/>
    <s v="Violencia contra la mujer"/>
    <s v="Mujeres"/>
    <n v="4"/>
    <x v="9"/>
    <x v="2"/>
    <x v="2"/>
    <x v="20"/>
    <x v="2"/>
    <x v="9"/>
    <s v="Periodo 2013-2019"/>
    <s v="Número de sentencias"/>
    <s v="Poder Judicial"/>
    <s v="Sentencias Dictadas por Delitos Vinculados a la Mujer por Tipo de Delito en el Juzgado de Garantía de Tocopilla para el Periodo 2013-2019"/>
    <s v="El gráfico muestra la evolución anual de la frecuencia de Sentencias Dictadas por Delitos Vinculados a la Mujer por Tipo de Delito en el Juzgado de Garantía de Tocopill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
    <x v="2"/>
    <s v="#1774B9"/>
  </r>
  <r>
    <s v="0417"/>
    <n v="300"/>
    <s v="Violencia contra la mujer"/>
    <s v="Mujeres"/>
    <n v="5"/>
    <x v="9"/>
    <x v="2"/>
    <x v="2"/>
    <x v="21"/>
    <x v="2"/>
    <x v="9"/>
    <s v="Periodo 2013-2019"/>
    <s v="Número de sentencias"/>
    <s v="Poder Judicial"/>
    <s v="Sentencias Dictadas por Delitos Vinculados a la Mujer por Tipo de Delito en el Juzgado de Garantía de Copiapo para el Periodo 2013-2019"/>
    <s v="El gráfico muestra la evolución anual de la frecuencia de Sentencias Dictadas por Delitos Vinculados a la Mujer por Tipo de Delito en el Juzgado de Garantía de Copiap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
    <x v="3"/>
    <s v="#1774B9"/>
  </r>
  <r>
    <s v="0418"/>
    <n v="300"/>
    <s v="Violencia contra la mujer"/>
    <s v="Mujeres"/>
    <n v="6"/>
    <x v="9"/>
    <x v="2"/>
    <x v="2"/>
    <x v="22"/>
    <x v="2"/>
    <x v="9"/>
    <s v="Periodo 2013-2019"/>
    <s v="Número de sentencias"/>
    <s v="Poder Judicial"/>
    <s v="Sentencias Dictadas por Delitos Vinculados a la Mujer por Tipo de Delito en el Juzgado de Garantía de Diego de Almagro para el Periodo 2013-2019"/>
    <s v="El gráfico muestra la evolución anual de la frecuencia de Sentencias Dictadas por Delitos Vinculados a la Mujer por Tipo de Delito en el Juzgado de Garantía de Diego de Almag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
    <x v="3"/>
    <s v="#1774B9"/>
  </r>
  <r>
    <s v="0419"/>
    <n v="300"/>
    <s v="Violencia contra la mujer"/>
    <s v="Mujeres"/>
    <n v="7"/>
    <x v="9"/>
    <x v="2"/>
    <x v="2"/>
    <x v="23"/>
    <x v="2"/>
    <x v="9"/>
    <s v="Periodo 2013-2019"/>
    <s v="Número de sentencias"/>
    <s v="Poder Judicial"/>
    <s v="Sentencias Dictadas por Delitos Vinculados a la Mujer por Tipo de Delito en el Juzgado de Garantía de Vallenar para el Periodo 2013-2019"/>
    <s v="El gráfico muestra la evolución anual de la frecuencia de Sentencias Dictadas por Delitos Vinculados a la Mujer por Tipo de Delito en el Juzgado de Garantía de Vallena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
    <x v="3"/>
    <s v="#1774B9"/>
  </r>
  <r>
    <s v="0420"/>
    <n v="300"/>
    <s v="Violencia contra la mujer"/>
    <s v="Mujeres"/>
    <n v="8"/>
    <x v="9"/>
    <x v="2"/>
    <x v="2"/>
    <x v="24"/>
    <x v="2"/>
    <x v="9"/>
    <s v="Periodo 2013-2019"/>
    <s v="Número de sentencias"/>
    <s v="Poder Judicial"/>
    <s v="Sentencias Dictadas por Delitos Vinculados a la Mujer por Tipo de Delito en el Juzgado de Garantía de Coquimbo para el Periodo 2013-2019"/>
    <s v="El gráfico muestra la evolución anual de la frecuencia de Sentencias Dictadas por Delitos Vinculados a la Mujer por Tipo de Delito en el Juzgado de Garantía de Coquimb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8"/>
    <x v="4"/>
    <s v="#1774B9"/>
  </r>
  <r>
    <s v="0421"/>
    <n v="300"/>
    <s v="Violencia contra la mujer"/>
    <s v="Mujeres"/>
    <n v="9"/>
    <x v="9"/>
    <x v="2"/>
    <x v="2"/>
    <x v="25"/>
    <x v="2"/>
    <x v="9"/>
    <s v="Periodo 2013-2019"/>
    <s v="Número de sentencias"/>
    <s v="Poder Judicial"/>
    <s v="Sentencias Dictadas por Delitos Vinculados a la Mujer por Tipo de Delito en el Juzgado de Garantía de Illapel para el Periodo 2013-2019"/>
    <s v="El gráfico muestra la evolución anual de la frecuencia de Sentencias Dictadas por Delitos Vinculados a la Mujer por Tipo de Delito en el Juzgado de Garantía de Illape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9"/>
    <x v="4"/>
    <s v="#1774B9"/>
  </r>
  <r>
    <s v="0422"/>
    <n v="300"/>
    <s v="Violencia contra la mujer"/>
    <s v="Mujeres"/>
    <n v="10"/>
    <x v="9"/>
    <x v="2"/>
    <x v="2"/>
    <x v="26"/>
    <x v="2"/>
    <x v="9"/>
    <s v="Periodo 2013-2019"/>
    <s v="Número de sentencias"/>
    <s v="Poder Judicial"/>
    <s v="Sentencias Dictadas por Delitos Vinculados a la Mujer por Tipo de Delito en el Juzgado de Garantía de La Serena para el Periodo 2013-2019"/>
    <s v="El gráfico muestra la evolución anual de la frecuencia de Sentencias Dictadas por Delitos Vinculados a la Mujer por Tipo de Delito en el Juzgado de Garantía de La Sere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0"/>
    <x v="4"/>
    <s v="#1774B9"/>
  </r>
  <r>
    <s v="0423"/>
    <n v="300"/>
    <s v="Violencia contra la mujer"/>
    <s v="Mujeres"/>
    <n v="11"/>
    <x v="9"/>
    <x v="2"/>
    <x v="2"/>
    <x v="27"/>
    <x v="2"/>
    <x v="9"/>
    <s v="Periodo 2013-2019"/>
    <s v="Número de sentencias"/>
    <s v="Poder Judicial"/>
    <s v="Sentencias Dictadas por Delitos Vinculados a la Mujer por Tipo de Delito en el Juzgado de Garantía de Ovalle para el Periodo 2013-2019"/>
    <s v="El gráfico muestra la evolución anual de la frecuencia de Sentencias Dictadas por Delitos Vinculados a la Mujer por Tipo de Delito en el Juzgado de Garantía de Ovall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1"/>
    <x v="4"/>
    <s v="#1774B9"/>
  </r>
  <r>
    <s v="0424"/>
    <n v="300"/>
    <s v="Violencia contra la mujer"/>
    <s v="Mujeres"/>
    <n v="12"/>
    <x v="9"/>
    <x v="2"/>
    <x v="2"/>
    <x v="28"/>
    <x v="2"/>
    <x v="9"/>
    <s v="Periodo 2013-2019"/>
    <s v="Número de sentencias"/>
    <s v="Poder Judicial"/>
    <s v="Sentencias Dictadas por Delitos Vinculados a la Mujer por Tipo de Delito en el Juzgado de Garantía de Vicuña para el Periodo 2013-2019"/>
    <s v="El gráfico muestra la evolución anual de la frecuencia de Sentencias Dictadas por Delitos Vinculados a la Mujer por Tipo de Delito en el Juzgado de Garantía de Vicuñ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2"/>
    <x v="4"/>
    <s v="#1774B9"/>
  </r>
  <r>
    <s v="0425"/>
    <n v="300"/>
    <s v="Violencia contra la mujer"/>
    <s v="Mujeres"/>
    <n v="13"/>
    <x v="9"/>
    <x v="2"/>
    <x v="2"/>
    <x v="29"/>
    <x v="2"/>
    <x v="9"/>
    <s v="Periodo 2013-2019"/>
    <s v="Número de sentencias"/>
    <s v="Poder Judicial"/>
    <s v="Sentencias Dictadas por Delitos Vinculados a la Mujer por Tipo de Delito en el Juzgado de Garantía de Calera para el Periodo 2013-2019"/>
    <s v="El gráfico muestra la evolución anual de la frecuencia de Sentencias Dictadas por Delitos Vinculados a la Mujer por Tipo de Delito en el Juzgado de Garantía de Caler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3"/>
    <x v="5"/>
    <s v="#1774B9"/>
  </r>
  <r>
    <s v="0426"/>
    <n v="300"/>
    <s v="Violencia contra la mujer"/>
    <s v="Mujeres"/>
    <n v="14"/>
    <x v="9"/>
    <x v="2"/>
    <x v="2"/>
    <x v="30"/>
    <x v="2"/>
    <x v="9"/>
    <s v="Periodo 2013-2019"/>
    <s v="Número de sentencias"/>
    <s v="Poder Judicial"/>
    <s v="Sentencias Dictadas por Delitos Vinculados a la Mujer por Tipo de Delito en el Juzgado de Garantía de La Ligua para el Periodo 2013-2019"/>
    <s v="El gráfico muestra la evolución anual de la frecuencia de Sentencias Dictadas por Delitos Vinculados a la Mujer por Tipo de Delito en el Juzgado de Garantía de La Ligu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4"/>
    <x v="5"/>
    <s v="#1774B9"/>
  </r>
  <r>
    <s v="0427"/>
    <n v="300"/>
    <s v="Violencia contra la mujer"/>
    <s v="Mujeres"/>
    <n v="15"/>
    <x v="9"/>
    <x v="2"/>
    <x v="2"/>
    <x v="31"/>
    <x v="2"/>
    <x v="9"/>
    <s v="Periodo 2013-2019"/>
    <s v="Número de sentencias"/>
    <s v="Poder Judicial"/>
    <s v="Sentencias Dictadas por Delitos Vinculados a la Mujer por Tipo de Delito en el Juzgado de Garantía de Limache para el Periodo 2013-2019"/>
    <s v="El gráfico muestra la evolución anual de la frecuencia de Sentencias Dictadas por Delitos Vinculados a la Mujer por Tipo de Delito en el Juzgado de Garantía de Limach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5"/>
    <x v="5"/>
    <s v="#1774B9"/>
  </r>
  <r>
    <s v="0428"/>
    <n v="300"/>
    <s v="Violencia contra la mujer"/>
    <s v="Mujeres"/>
    <n v="16"/>
    <x v="9"/>
    <x v="2"/>
    <x v="2"/>
    <x v="32"/>
    <x v="2"/>
    <x v="9"/>
    <s v="Periodo 2013-2019"/>
    <s v="Número de sentencias"/>
    <s v="Poder Judicial"/>
    <s v="Sentencias Dictadas por Delitos Vinculados a la Mujer por Tipo de Delito en el Juzgado de Garantía de Los Andes para el Periodo 2013-2019"/>
    <s v="El gráfico muestra la evolución anual de la frecuencia de Sentencias Dictadas por Delitos Vinculados a la Mujer por Tipo de Delito en el Juzgado de Garantía de Los And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6"/>
    <x v="5"/>
    <s v="#1774B9"/>
  </r>
  <r>
    <s v="0429"/>
    <n v="300"/>
    <s v="Violencia contra la mujer"/>
    <s v="Mujeres"/>
    <n v="17"/>
    <x v="9"/>
    <x v="2"/>
    <x v="2"/>
    <x v="33"/>
    <x v="2"/>
    <x v="9"/>
    <s v="Periodo 2013-2019"/>
    <s v="Número de sentencias"/>
    <s v="Poder Judicial"/>
    <s v="Sentencias Dictadas por Delitos Vinculados a la Mujer por Tipo de Delito en el Juzgado de Garantía de Quillota para el Periodo 2013-2019"/>
    <s v="El gráfico muestra la evolución anual de la frecuencia de Sentencias Dictadas por Delitos Vinculados a la Mujer por Tipo de Delito en el Juzgado de Garantía de Quillot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7"/>
    <x v="5"/>
    <s v="#1774B9"/>
  </r>
  <r>
    <s v="0430"/>
    <n v="300"/>
    <s v="Violencia contra la mujer"/>
    <s v="Mujeres"/>
    <n v="18"/>
    <x v="9"/>
    <x v="2"/>
    <x v="2"/>
    <x v="34"/>
    <x v="2"/>
    <x v="9"/>
    <s v="Periodo 2013-2019"/>
    <s v="Número de sentencias"/>
    <s v="Poder Judicial"/>
    <s v="Sentencias Dictadas por Delitos Vinculados a la Mujer por Tipo de Delito en el Juzgado de Garantía de Quilpue para el Periodo 2013-2019"/>
    <s v="El gráfico muestra la evolución anual de la frecuencia de Sentencias Dictadas por Delitos Vinculados a la Mujer por Tipo de Delito en el Juzgado de Garantía de Quilp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8"/>
    <x v="5"/>
    <s v="#1774B9"/>
  </r>
  <r>
    <s v="0431"/>
    <n v="300"/>
    <s v="Violencia contra la mujer"/>
    <s v="Mujeres"/>
    <n v="19"/>
    <x v="9"/>
    <x v="2"/>
    <x v="2"/>
    <x v="35"/>
    <x v="2"/>
    <x v="9"/>
    <s v="Periodo 2013-2019"/>
    <s v="Número de sentencias"/>
    <s v="Poder Judicial"/>
    <s v="Sentencias Dictadas por Delitos Vinculados a la Mujer por Tipo de Delito en el Juzgado de Garantía de San Felipe para el Periodo 2013-2019"/>
    <s v="El gráfico muestra la evolución anual de la frecuencia de Sentencias Dictadas por Delitos Vinculados a la Mujer por Tipo de Delito en el Juzgado de Garantía de San Felip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19"/>
    <x v="5"/>
    <s v="#1774B9"/>
  </r>
  <r>
    <s v="0432"/>
    <n v="300"/>
    <s v="Violencia contra la mujer"/>
    <s v="Mujeres"/>
    <n v="20"/>
    <x v="9"/>
    <x v="2"/>
    <x v="2"/>
    <x v="36"/>
    <x v="2"/>
    <x v="9"/>
    <s v="Periodo 2013-2019"/>
    <s v="Número de sentencias"/>
    <s v="Poder Judicial"/>
    <s v="Sentencias Dictadas por Delitos Vinculados a la Mujer por Tipo de Delito en el Juzgado de Garantía de Valparaiso para el Periodo 2013-2019"/>
    <s v="El gráfico muestra la evolución anual de la frecuencia de Sentencias Dictadas por Delitos Vinculados a la Mujer por Tipo de Delito en el Juzgado de Garantía de Valparais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0"/>
    <x v="5"/>
    <s v="#1774B9"/>
  </r>
  <r>
    <s v="0433"/>
    <n v="300"/>
    <s v="Violencia contra la mujer"/>
    <s v="Mujeres"/>
    <n v="21"/>
    <x v="9"/>
    <x v="2"/>
    <x v="2"/>
    <x v="37"/>
    <x v="2"/>
    <x v="9"/>
    <s v="Periodo 2013-2019"/>
    <s v="Número de sentencias"/>
    <s v="Poder Judicial"/>
    <s v="Sentencias Dictadas por Delitos Vinculados a la Mujer por Tipo de Delito en el Juzgado de Garantía de Villa Alemana para el Periodo 2013-2019"/>
    <s v="El gráfico muestra la evolución anual de la frecuencia de Sentencias Dictadas por Delitos Vinculados a la Mujer por Tipo de Delito en el Juzgado de Garantía de Villa Alema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1"/>
    <x v="5"/>
    <s v="#1774B9"/>
  </r>
  <r>
    <s v="0434"/>
    <n v="300"/>
    <s v="Violencia contra la mujer"/>
    <s v="Mujeres"/>
    <n v="22"/>
    <x v="9"/>
    <x v="2"/>
    <x v="2"/>
    <x v="38"/>
    <x v="2"/>
    <x v="9"/>
    <s v="Periodo 2013-2019"/>
    <s v="Número de sentencias"/>
    <s v="Poder Judicial"/>
    <s v="Sentencias Dictadas por Delitos Vinculados a la Mujer por Tipo de Delito en el Juzgado de Garantía de Viña Del Mar para el Periodo 2013-2019"/>
    <s v="El gráfico muestra la evolución anual de la frecuencia de Sentencias Dictadas por Delitos Vinculados a la Mujer por Tipo de Delito en el Juzgado de Garantía de Viña Del Ma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2"/>
    <x v="5"/>
    <s v="#1774B9"/>
  </r>
  <r>
    <s v="0435"/>
    <n v="300"/>
    <s v="Violencia contra la mujer"/>
    <s v="Mujeres"/>
    <n v="23"/>
    <x v="9"/>
    <x v="2"/>
    <x v="2"/>
    <x v="39"/>
    <x v="2"/>
    <x v="9"/>
    <s v="Periodo 2013-2019"/>
    <s v="Número de sentencias"/>
    <s v="Poder Judicial"/>
    <s v="Sentencias Dictadas por Delitos Vinculados a la Mujer por Tipo de Delito en el Juzgado de Garantía de Graneros para el Periodo 2013-2019"/>
    <s v="El gráfico muestra la evolución anual de la frecuencia de Sentencias Dictadas por Delitos Vinculados a la Mujer por Tipo de Delito en el Juzgado de Garantía de Graner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3"/>
    <x v="6"/>
    <s v="#1774B9"/>
  </r>
  <r>
    <s v="0436"/>
    <n v="300"/>
    <s v="Violencia contra la mujer"/>
    <s v="Mujeres"/>
    <n v="24"/>
    <x v="9"/>
    <x v="2"/>
    <x v="2"/>
    <x v="40"/>
    <x v="2"/>
    <x v="9"/>
    <s v="Periodo 2013-2019"/>
    <s v="Número de sentencias"/>
    <s v="Poder Judicial"/>
    <s v="Sentencias Dictadas por Delitos Vinculados a la Mujer por Tipo de Delito en el Juzgado de Garantía de Rancagua para el Periodo 2013-2019"/>
    <s v="El gráfico muestra la evolución anual de la frecuencia de Sentencias Dictadas por Delitos Vinculados a la Mujer por Tipo de Delito en el Juzgado de Garantía de Rancagu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4"/>
    <x v="6"/>
    <s v="#1774B9"/>
  </r>
  <r>
    <s v="0437"/>
    <n v="300"/>
    <s v="Violencia contra la mujer"/>
    <s v="Mujeres"/>
    <n v="25"/>
    <x v="9"/>
    <x v="2"/>
    <x v="2"/>
    <x v="41"/>
    <x v="2"/>
    <x v="9"/>
    <s v="Periodo 2013-2019"/>
    <s v="Número de sentencias"/>
    <s v="Poder Judicial"/>
    <s v="Sentencias Dictadas por Delitos Vinculados a la Mujer por Tipo de Delito en el Juzgado de Garantía de Rengo para el Periodo 2013-2019"/>
    <s v="El gráfico muestra la evolución anual de la frecuencia de Sentencias Dictadas por Delitos Vinculados a la Mujer por Tipo de Delito en el Juzgado de Garantía de Ren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5"/>
    <x v="6"/>
    <s v="#1774B9"/>
  </r>
  <r>
    <s v="0438"/>
    <n v="300"/>
    <s v="Violencia contra la mujer"/>
    <s v="Mujeres"/>
    <n v="26"/>
    <x v="9"/>
    <x v="2"/>
    <x v="2"/>
    <x v="42"/>
    <x v="2"/>
    <x v="9"/>
    <s v="Periodo 2013-2019"/>
    <s v="Número de sentencias"/>
    <s v="Poder Judicial"/>
    <s v="Sentencias Dictadas por Delitos Vinculados a la Mujer por Tipo de Delito en el Juzgado de Garantía de San Fernando para el Periodo 2013-2019"/>
    <s v="El gráfico muestra la evolución anual de la frecuencia de Sentencias Dictadas por Delitos Vinculados a la Mujer por Tipo de Delito en el Juzgado de Garantía de San Fernand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6"/>
    <x v="6"/>
    <s v="#1774B9"/>
  </r>
  <r>
    <s v="0439"/>
    <n v="300"/>
    <s v="Violencia contra la mujer"/>
    <s v="Mujeres"/>
    <n v="27"/>
    <x v="9"/>
    <x v="2"/>
    <x v="2"/>
    <x v="43"/>
    <x v="2"/>
    <x v="9"/>
    <s v="Periodo 2013-2019"/>
    <s v="Número de sentencias"/>
    <s v="Poder Judicial"/>
    <s v="Sentencias Dictadas por Delitos Vinculados a la Mujer por Tipo de Delito en el Juzgado de Garantía de San Vicente para el Periodo 2013-2019"/>
    <s v="El gráfico muestra la evolución anual de la frecuencia de Sentencias Dictadas por Delitos Vinculados a la Mujer por Tipo de Delito en el Juzgado de Garantía de San Vicen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7"/>
    <x v="6"/>
    <s v="#1774B9"/>
  </r>
  <r>
    <s v="0440"/>
    <n v="300"/>
    <s v="Violencia contra la mujer"/>
    <s v="Mujeres"/>
    <n v="28"/>
    <x v="9"/>
    <x v="2"/>
    <x v="2"/>
    <x v="44"/>
    <x v="2"/>
    <x v="9"/>
    <s v="Periodo 2013-2019"/>
    <s v="Número de sentencias"/>
    <s v="Poder Judicial"/>
    <s v="Sentencias Dictadas por Delitos Vinculados a la Mujer por Tipo de Delito en el Juzgado de Garantía de Santa Cruz para el Periodo 2013-2019"/>
    <s v="El gráfico muestra la evolución anual de la frecuencia de Sentencias Dictadas por Delitos Vinculados a la Mujer por Tipo de Delito en el Juzgado de Garantía de Santa Cruz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8"/>
    <x v="6"/>
    <s v="#1774B9"/>
  </r>
  <r>
    <s v="0441"/>
    <n v="300"/>
    <s v="Violencia contra la mujer"/>
    <s v="Mujeres"/>
    <n v="29"/>
    <x v="9"/>
    <x v="2"/>
    <x v="2"/>
    <x v="45"/>
    <x v="2"/>
    <x v="9"/>
    <s v="Periodo 2013-2019"/>
    <s v="Número de sentencias"/>
    <s v="Poder Judicial"/>
    <s v="Sentencias Dictadas por Delitos Vinculados a la Mujer por Tipo de Delito en el Juzgado de Garantía de Cauquenes para el Periodo 2013-2019"/>
    <s v="El gráfico muestra la evolución anual de la frecuencia de Sentencias Dictadas por Delitos Vinculados a la Mujer por Tipo de Delito en el Juzgado de Garantía de Cauquen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29"/>
    <x v="7"/>
    <s v="#1774B9"/>
  </r>
  <r>
    <s v="0442"/>
    <n v="300"/>
    <s v="Violencia contra la mujer"/>
    <s v="Mujeres"/>
    <n v="30"/>
    <x v="9"/>
    <x v="2"/>
    <x v="2"/>
    <x v="46"/>
    <x v="2"/>
    <x v="9"/>
    <s v="Periodo 2013-2019"/>
    <s v="Número de sentencias"/>
    <s v="Poder Judicial"/>
    <s v="Sentencias Dictadas por Delitos Vinculados a la Mujer por Tipo de Delito en el Juzgado de Garantía de Constitucion para el Periodo 2013-2019"/>
    <s v="El gráfico muestra la evolución anual de la frecuencia de Sentencias Dictadas por Delitos Vinculados a la Mujer por Tipo de Delito en el Juzgado de Garantía de Constitucio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0"/>
    <x v="7"/>
    <s v="#1774B9"/>
  </r>
  <r>
    <s v="0443"/>
    <n v="300"/>
    <s v="Violencia contra la mujer"/>
    <s v="Mujeres"/>
    <n v="31"/>
    <x v="9"/>
    <x v="2"/>
    <x v="2"/>
    <x v="47"/>
    <x v="2"/>
    <x v="9"/>
    <s v="Periodo 2013-2019"/>
    <s v="Número de sentencias"/>
    <s v="Poder Judicial"/>
    <s v="Sentencias Dictadas por Delitos Vinculados a la Mujer por Tipo de Delito en el Juzgado de Garantía de Curico para el Periodo 2013-2019"/>
    <s v="El gráfico muestra la evolución anual de la frecuencia de Sentencias Dictadas por Delitos Vinculados a la Mujer por Tipo de Delito en el Juzgado de Garantía de Curi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1"/>
    <x v="7"/>
    <s v="#1774B9"/>
  </r>
  <r>
    <s v="0444"/>
    <n v="300"/>
    <s v="Violencia contra la mujer"/>
    <s v="Mujeres"/>
    <n v="32"/>
    <x v="9"/>
    <x v="2"/>
    <x v="2"/>
    <x v="48"/>
    <x v="2"/>
    <x v="9"/>
    <s v="Periodo 2013-2019"/>
    <s v="Número de sentencias"/>
    <s v="Poder Judicial"/>
    <s v="Sentencias Dictadas por Delitos Vinculados a la Mujer por Tipo de Delito en el Juzgado de Garantía de Linares para el Periodo 2013-2019"/>
    <s v="El gráfico muestra la evolución anual de la frecuencia de Sentencias Dictadas por Delitos Vinculados a la Mujer por Tipo de Delito en el Juzgado de Garantía de Linar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2"/>
    <x v="7"/>
    <s v="#1774B9"/>
  </r>
  <r>
    <s v="0445"/>
    <n v="300"/>
    <s v="Violencia contra la mujer"/>
    <s v="Mujeres"/>
    <n v="33"/>
    <x v="9"/>
    <x v="2"/>
    <x v="2"/>
    <x v="49"/>
    <x v="2"/>
    <x v="9"/>
    <s v="Periodo 2013-2019"/>
    <s v="Número de sentencias"/>
    <s v="Poder Judicial"/>
    <s v="Sentencias Dictadas por Delitos Vinculados a la Mujer por Tipo de Delito en el Juzgado de Garantía de Molina para el Periodo 2013-2019"/>
    <s v="El gráfico muestra la evolución anual de la frecuencia de Sentencias Dictadas por Delitos Vinculados a la Mujer por Tipo de Delito en el Juzgado de Garantía de Moli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3"/>
    <x v="7"/>
    <s v="#1774B9"/>
  </r>
  <r>
    <s v="0446"/>
    <n v="300"/>
    <s v="Violencia contra la mujer"/>
    <s v="Mujeres"/>
    <n v="34"/>
    <x v="9"/>
    <x v="2"/>
    <x v="2"/>
    <x v="50"/>
    <x v="2"/>
    <x v="9"/>
    <s v="Periodo 2013-2019"/>
    <s v="Número de sentencias"/>
    <s v="Poder Judicial"/>
    <s v="Sentencias Dictadas por Delitos Vinculados a la Mujer por Tipo de Delito en el Juzgado de Garantía de Parral para el Periodo 2013-2019"/>
    <s v="El gráfico muestra la evolución anual de la frecuencia de Sentencias Dictadas por Delitos Vinculados a la Mujer por Tipo de Delito en el Juzgado de Garantía de Parra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4"/>
    <x v="7"/>
    <s v="#1774B9"/>
  </r>
  <r>
    <s v="0447"/>
    <n v="300"/>
    <s v="Violencia contra la mujer"/>
    <s v="Mujeres"/>
    <n v="35"/>
    <x v="9"/>
    <x v="2"/>
    <x v="2"/>
    <x v="51"/>
    <x v="2"/>
    <x v="9"/>
    <s v="Periodo 2013-2019"/>
    <s v="Número de sentencias"/>
    <s v="Poder Judicial"/>
    <s v="Sentencias Dictadas por Delitos Vinculados a la Mujer por Tipo de Delito en el Juzgado de Garantía de San Javier para el Periodo 2013-2019"/>
    <s v="El gráfico muestra la evolución anual de la frecuencia de Sentencias Dictadas por Delitos Vinculados a la Mujer por Tipo de Delito en el Juzgado de Garantía de San Javier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5"/>
    <x v="7"/>
    <s v="#1774B9"/>
  </r>
  <r>
    <s v="0448"/>
    <n v="300"/>
    <s v="Violencia contra la mujer"/>
    <s v="Mujeres"/>
    <n v="36"/>
    <x v="9"/>
    <x v="2"/>
    <x v="2"/>
    <x v="52"/>
    <x v="2"/>
    <x v="9"/>
    <s v="Periodo 2013-2019"/>
    <s v="Número de sentencias"/>
    <s v="Poder Judicial"/>
    <s v="Sentencias Dictadas por Delitos Vinculados a la Mujer por Tipo de Delito en el Juzgado de Garantía de Talca para el Periodo 2013-2019"/>
    <s v="El gráfico muestra la evolución anual de la frecuencia de Sentencias Dictadas por Delitos Vinculados a la Mujer por Tipo de Delito en el Juzgado de Garantía de Tal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6"/>
    <x v="7"/>
    <s v="#1774B9"/>
  </r>
  <r>
    <s v="0449"/>
    <n v="300"/>
    <s v="Violencia contra la mujer"/>
    <s v="Mujeres"/>
    <n v="37"/>
    <x v="9"/>
    <x v="2"/>
    <x v="2"/>
    <x v="53"/>
    <x v="2"/>
    <x v="9"/>
    <s v="Periodo 2013-2019"/>
    <s v="Número de sentencias"/>
    <s v="Poder Judicial"/>
    <s v="Sentencias Dictadas por Delitos Vinculados a la Mujer por Tipo de Delito en el Juzgado de Garantía de Arauco para el Periodo 2013-2019"/>
    <s v="El gráfico muestra la evolución anual de la frecuencia de Sentencias Dictadas por Delitos Vinculados a la Mujer por Tipo de Delito en el Juzgado de Garantía de Arau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7"/>
    <x v="8"/>
    <s v="#1774B9"/>
  </r>
  <r>
    <s v="0450"/>
    <n v="300"/>
    <s v="Violencia contra la mujer"/>
    <s v="Mujeres"/>
    <n v="38"/>
    <x v="9"/>
    <x v="2"/>
    <x v="2"/>
    <x v="54"/>
    <x v="2"/>
    <x v="9"/>
    <s v="Periodo 2013-2019"/>
    <s v="Número de sentencias"/>
    <s v="Poder Judicial"/>
    <s v="Sentencias Dictadas por Delitos Vinculados a la Mujer por Tipo de Delito en el Juzgado de Garantía de Cañete para el Periodo 2013-2019"/>
    <s v="El gráfico muestra la evolución anual de la frecuencia de Sentencias Dictadas por Delitos Vinculados a la Mujer por Tipo de Delito en el Juzgado de Garantía de Cañe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8"/>
    <x v="8"/>
    <s v="#1774B9"/>
  </r>
  <r>
    <s v="0451"/>
    <n v="300"/>
    <s v="Violencia contra la mujer"/>
    <s v="Mujeres"/>
    <n v="39"/>
    <x v="9"/>
    <x v="2"/>
    <x v="2"/>
    <x v="55"/>
    <x v="2"/>
    <x v="9"/>
    <s v="Periodo 2013-2019"/>
    <s v="Número de sentencias"/>
    <s v="Poder Judicial"/>
    <s v="Sentencias Dictadas por Delitos Vinculados a la Mujer por Tipo de Delito en el Juzgado de Garantía de Chiguayante para el Periodo 2013-2019"/>
    <s v="El gráfico muestra la evolución anual de la frecuencia de Sentencias Dictadas por Delitos Vinculados a la Mujer por Tipo de Delito en el Juzgado de Garantía de Chiguayant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39"/>
    <x v="8"/>
    <s v="#1774B9"/>
  </r>
  <r>
    <s v="0452"/>
    <n v="300"/>
    <s v="Violencia contra la mujer"/>
    <s v="Mujeres"/>
    <n v="40"/>
    <x v="9"/>
    <x v="2"/>
    <x v="2"/>
    <x v="56"/>
    <x v="2"/>
    <x v="9"/>
    <s v="Periodo 2013-2019"/>
    <s v="Número de sentencias"/>
    <s v="Poder Judicial"/>
    <s v="Sentencias Dictadas por Delitos Vinculados a la Mujer por Tipo de Delito en el Juzgado de Garantía de Concepcion para el Periodo 2013-2019"/>
    <s v="El gráfico muestra la evolución anual de la frecuencia de Sentencias Dictadas por Delitos Vinculados a la Mujer por Tipo de Delito en el Juzgado de Garantía de Concepcio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0"/>
    <x v="8"/>
    <s v="#1774B9"/>
  </r>
  <r>
    <s v="0453"/>
    <n v="300"/>
    <s v="Violencia contra la mujer"/>
    <s v="Mujeres"/>
    <n v="41"/>
    <x v="9"/>
    <x v="2"/>
    <x v="2"/>
    <x v="57"/>
    <x v="2"/>
    <x v="9"/>
    <s v="Periodo 2013-2019"/>
    <s v="Número de sentencias"/>
    <s v="Poder Judicial"/>
    <s v="Sentencias Dictadas por Delitos Vinculados a la Mujer por Tipo de Delito en el Juzgado de Garantía de Coronel para el Periodo 2013-2019"/>
    <s v="El gráfico muestra la evolución anual de la frecuencia de Sentencias Dictadas por Delitos Vinculados a la Mujer por Tipo de Delito en el Juzgado de Garantía de Corone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1"/>
    <x v="8"/>
    <s v="#1774B9"/>
  </r>
  <r>
    <s v="0454"/>
    <n v="300"/>
    <s v="Violencia contra la mujer"/>
    <s v="Mujeres"/>
    <n v="42"/>
    <x v="9"/>
    <x v="2"/>
    <x v="2"/>
    <x v="58"/>
    <x v="2"/>
    <x v="9"/>
    <s v="Periodo 2013-2019"/>
    <s v="Número de sentencias"/>
    <s v="Poder Judicial"/>
    <s v="Sentencias Dictadas por Delitos Vinculados a la Mujer por Tipo de Delito en el Juzgado de Garantía de Los Angeles para el Periodo 2013-2019"/>
    <s v="El gráfico muestra la evolución anual de la frecuencia de Sentencias Dictadas por Delitos Vinculados a la Mujer por Tipo de Delito en el Juzgado de Garantía de Los Angele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2"/>
    <x v="8"/>
    <s v="#1774B9"/>
  </r>
  <r>
    <s v="0455"/>
    <n v="300"/>
    <s v="Violencia contra la mujer"/>
    <s v="Mujeres"/>
    <n v="43"/>
    <x v="9"/>
    <x v="2"/>
    <x v="2"/>
    <x v="59"/>
    <x v="2"/>
    <x v="9"/>
    <s v="Periodo 2013-2019"/>
    <s v="Número de sentencias"/>
    <s v="Poder Judicial"/>
    <s v="Sentencias Dictadas por Delitos Vinculados a la Mujer por Tipo de Delito en el Juzgado de Garantía de Talcahuano para el Periodo 2013-2019"/>
    <s v="El gráfico muestra la evolución anual de la frecuencia de Sentencias Dictadas por Delitos Vinculados a la Mujer por Tipo de Delito en el Juzgado de Garantía de Talcahuan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3"/>
    <x v="8"/>
    <s v="#1774B9"/>
  </r>
  <r>
    <s v="0456"/>
    <n v="300"/>
    <s v="Violencia contra la mujer"/>
    <s v="Mujeres"/>
    <n v="44"/>
    <x v="9"/>
    <x v="2"/>
    <x v="2"/>
    <x v="60"/>
    <x v="2"/>
    <x v="9"/>
    <s v="Periodo 2013-2019"/>
    <s v="Número de sentencias"/>
    <s v="Poder Judicial"/>
    <s v="Sentencias Dictadas por Delitos Vinculados a la Mujer por Tipo de Delito en el Juzgado de Garantía de Tome para el Periodo 2013-2019"/>
    <s v="El gráfico muestra la evolución anual de la frecuencia de Sentencias Dictadas por Delitos Vinculados a la Mujer por Tipo de Delito en el Juzgado de Garantía de Tom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4"/>
    <x v="8"/>
    <s v="#1774B9"/>
  </r>
  <r>
    <s v="0457"/>
    <n v="300"/>
    <s v="Violencia contra la mujer"/>
    <s v="Mujeres"/>
    <n v="45"/>
    <x v="9"/>
    <x v="2"/>
    <x v="2"/>
    <x v="61"/>
    <x v="2"/>
    <x v="9"/>
    <s v="Periodo 2013-2019"/>
    <s v="Número de sentencias"/>
    <s v="Poder Judicial"/>
    <s v="Sentencias Dictadas por Delitos Vinculados a la Mujer por Tipo de Delito en el Juzgado de Garantía de Angol para el Periodo 2013-2019"/>
    <s v="El gráfico muestra la evolución anual de la frecuencia de Sentencias Dictadas por Delitos Vinculados a la Mujer por Tipo de Delito en el Juzgado de Garantía de Ango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5"/>
    <x v="9"/>
    <s v="#1774B9"/>
  </r>
  <r>
    <s v="0458"/>
    <n v="300"/>
    <s v="Violencia contra la mujer"/>
    <s v="Mujeres"/>
    <n v="46"/>
    <x v="9"/>
    <x v="2"/>
    <x v="2"/>
    <x v="62"/>
    <x v="2"/>
    <x v="9"/>
    <s v="Periodo 2013-2019"/>
    <s v="Número de sentencias"/>
    <s v="Poder Judicial"/>
    <s v="Sentencias Dictadas por Delitos Vinculados a la Mujer por Tipo de Delito en el Juzgado de Garantía de Lautaro para el Periodo 2013-2019"/>
    <s v="El gráfico muestra la evolución anual de la frecuencia de Sentencias Dictadas por Delitos Vinculados a la Mujer por Tipo de Delito en el Juzgado de Garantía de Lauta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6"/>
    <x v="9"/>
    <s v="#1774B9"/>
  </r>
  <r>
    <s v="0459"/>
    <n v="300"/>
    <s v="Violencia contra la mujer"/>
    <s v="Mujeres"/>
    <n v="47"/>
    <x v="9"/>
    <x v="2"/>
    <x v="2"/>
    <x v="63"/>
    <x v="2"/>
    <x v="9"/>
    <s v="Periodo 2013-2019"/>
    <s v="Número de sentencias"/>
    <s v="Poder Judicial"/>
    <s v="Sentencias Dictadas por Delitos Vinculados a la Mujer por Tipo de Delito en el Juzgado de Garantía de Loncoche para el Periodo 2013-2019"/>
    <s v="El gráfico muestra la evolución anual de la frecuencia de Sentencias Dictadas por Delitos Vinculados a la Mujer por Tipo de Delito en el Juzgado de Garantía de Loncoch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7"/>
    <x v="9"/>
    <s v="#1774B9"/>
  </r>
  <r>
    <s v="0460"/>
    <n v="300"/>
    <s v="Violencia contra la mujer"/>
    <s v="Mujeres"/>
    <n v="48"/>
    <x v="9"/>
    <x v="2"/>
    <x v="2"/>
    <x v="64"/>
    <x v="2"/>
    <x v="9"/>
    <s v="Periodo 2013-2019"/>
    <s v="Número de sentencias"/>
    <s v="Poder Judicial"/>
    <s v="Sentencias Dictadas por Delitos Vinculados a la Mujer por Tipo de Delito en el Juzgado de Garantía de Nueva Imperial para el Periodo 2013-2019"/>
    <s v="El gráfico muestra la evolución anual de la frecuencia de Sentencias Dictadas por Delitos Vinculados a la Mujer por Tipo de Delito en el Juzgado de Garantía de Nueva Imperial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8"/>
    <x v="9"/>
    <s v="#1774B9"/>
  </r>
  <r>
    <s v="0461"/>
    <n v="300"/>
    <s v="Violencia contra la mujer"/>
    <s v="Mujeres"/>
    <n v="49"/>
    <x v="9"/>
    <x v="2"/>
    <x v="2"/>
    <x v="65"/>
    <x v="2"/>
    <x v="9"/>
    <s v="Periodo 2013-2019"/>
    <s v="Número de sentencias"/>
    <s v="Poder Judicial"/>
    <s v="Sentencias Dictadas por Delitos Vinculados a la Mujer por Tipo de Delito en el Juzgado de Garantía de Pitrufquen para el Periodo 2013-2019"/>
    <s v="El gráfico muestra la evolución anual de la frecuencia de Sentencias Dictadas por Delitos Vinculados a la Mujer por Tipo de Delito en el Juzgado de Garantía de Pitrufque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49"/>
    <x v="9"/>
    <s v="#1774B9"/>
  </r>
  <r>
    <s v="0462"/>
    <n v="300"/>
    <s v="Violencia contra la mujer"/>
    <s v="Mujeres"/>
    <n v="50"/>
    <x v="9"/>
    <x v="2"/>
    <x v="2"/>
    <x v="66"/>
    <x v="2"/>
    <x v="9"/>
    <s v="Periodo 2013-2019"/>
    <s v="Número de sentencias"/>
    <s v="Poder Judicial"/>
    <s v="Sentencias Dictadas por Delitos Vinculados a la Mujer por Tipo de Delito en el Juzgado de Garantía de Temuco para el Periodo 2013-2019"/>
    <s v="El gráfico muestra la evolución anual de la frecuencia de Sentencias Dictadas por Delitos Vinculados a la Mujer por Tipo de Delito en el Juzgado de Garantía de Temuc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0"/>
    <x v="9"/>
    <s v="#1774B9"/>
  </r>
  <r>
    <s v="0463"/>
    <n v="300"/>
    <s v="Violencia contra la mujer"/>
    <s v="Mujeres"/>
    <n v="51"/>
    <x v="9"/>
    <x v="2"/>
    <x v="2"/>
    <x v="67"/>
    <x v="2"/>
    <x v="9"/>
    <s v="Periodo 2013-2019"/>
    <s v="Número de sentencias"/>
    <s v="Poder Judicial"/>
    <s v="Sentencias Dictadas por Delitos Vinculados a la Mujer por Tipo de Delito en el Juzgado de Garantía de Victoria para el Periodo 2013-2019"/>
    <s v="El gráfico muestra la evolución anual de la frecuencia de Sentencias Dictadas por Delitos Vinculados a la Mujer por Tipo de Delito en el Juzgado de Garantía de Victori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1"/>
    <x v="9"/>
    <s v="#1774B9"/>
  </r>
  <r>
    <s v="0464"/>
    <n v="300"/>
    <s v="Violencia contra la mujer"/>
    <s v="Mujeres"/>
    <n v="52"/>
    <x v="9"/>
    <x v="2"/>
    <x v="2"/>
    <x v="68"/>
    <x v="2"/>
    <x v="9"/>
    <s v="Periodo 2013-2019"/>
    <s v="Número de sentencias"/>
    <s v="Poder Judicial"/>
    <s v="Sentencias Dictadas por Delitos Vinculados a la Mujer por Tipo de Delito en el Juzgado de Garantía de Villarrica para el Periodo 2013-2019"/>
    <s v="El gráfico muestra la evolución anual de la frecuencia de Sentencias Dictadas por Delitos Vinculados a la Mujer por Tipo de Delito en el Juzgado de Garantía de Villarri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2"/>
    <x v="9"/>
    <s v="#1774B9"/>
  </r>
  <r>
    <s v="0465"/>
    <n v="300"/>
    <s v="Violencia contra la mujer"/>
    <s v="Mujeres"/>
    <n v="53"/>
    <x v="9"/>
    <x v="2"/>
    <x v="2"/>
    <x v="69"/>
    <x v="2"/>
    <x v="9"/>
    <s v="Periodo 2013-2019"/>
    <s v="Número de sentencias"/>
    <s v="Poder Judicial"/>
    <s v="Sentencias Dictadas por Delitos Vinculados a la Mujer por Tipo de Delito en el Juzgado de Garantía de Ancud para el Periodo 2013-2019"/>
    <s v="El gráfico muestra la evolución anual de la frecuencia de Sentencias Dictadas por Delitos Vinculados a la Mujer por Tipo de Delito en el Juzgado de Garantía de Ancud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3"/>
    <x v="10"/>
    <s v="#1774B9"/>
  </r>
  <r>
    <s v="0466"/>
    <n v="300"/>
    <s v="Violencia contra la mujer"/>
    <s v="Mujeres"/>
    <n v="54"/>
    <x v="9"/>
    <x v="2"/>
    <x v="2"/>
    <x v="70"/>
    <x v="2"/>
    <x v="9"/>
    <s v="Periodo 2013-2019"/>
    <s v="Número de sentencias"/>
    <s v="Poder Judicial"/>
    <s v="Sentencias Dictadas por Delitos Vinculados a la Mujer por Tipo de Delito en el Juzgado de Garantía de Castro para el Periodo 2013-2019"/>
    <s v="El gráfico muestra la evolución anual de la frecuencia de Sentencias Dictadas por Delitos Vinculados a la Mujer por Tipo de Delito en el Juzgado de Garantía de Cast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4"/>
    <x v="10"/>
    <s v="#1774B9"/>
  </r>
  <r>
    <s v="0467"/>
    <n v="300"/>
    <s v="Violencia contra la mujer"/>
    <s v="Mujeres"/>
    <n v="55"/>
    <x v="9"/>
    <x v="2"/>
    <x v="2"/>
    <x v="71"/>
    <x v="2"/>
    <x v="9"/>
    <s v="Periodo 2013-2019"/>
    <s v="Número de sentencias"/>
    <s v="Poder Judicial"/>
    <s v="Sentencias Dictadas por Delitos Vinculados a la Mujer por Tipo de Delito en el Juzgado de Garantía de Osorno para el Periodo 2013-2019"/>
    <s v="El gráfico muestra la evolución anual de la frecuencia de Sentencias Dictadas por Delitos Vinculados a la Mujer por Tipo de Delito en el Juzgado de Garantía de Osorn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5"/>
    <x v="10"/>
    <s v="#1774B9"/>
  </r>
  <r>
    <s v="0468"/>
    <n v="300"/>
    <s v="Violencia contra la mujer"/>
    <s v="Mujeres"/>
    <n v="56"/>
    <x v="9"/>
    <x v="2"/>
    <x v="2"/>
    <x v="72"/>
    <x v="2"/>
    <x v="9"/>
    <s v="Periodo 2013-2019"/>
    <s v="Número de sentencias"/>
    <s v="Poder Judicial"/>
    <s v="Sentencias Dictadas por Delitos Vinculados a la Mujer por Tipo de Delito en el Juzgado de Garantía de Puerto Montt para el Periodo 2013-2019"/>
    <s v="El gráfico muestra la evolución anual de la frecuencia de Sentencias Dictadas por Delitos Vinculados a la Mujer por Tipo de Delito en el Juzgado de Garantía de Puerto Montt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6"/>
    <x v="10"/>
    <s v="#1774B9"/>
  </r>
  <r>
    <s v="0469"/>
    <n v="300"/>
    <s v="Violencia contra la mujer"/>
    <s v="Mujeres"/>
    <n v="57"/>
    <x v="9"/>
    <x v="2"/>
    <x v="2"/>
    <x v="73"/>
    <x v="2"/>
    <x v="9"/>
    <s v="Periodo 2013-2019"/>
    <s v="Número de sentencias"/>
    <s v="Poder Judicial"/>
    <s v="Sentencias Dictadas por Delitos Vinculados a la Mujer por Tipo de Delito en el Juzgado de Garantía de Puerto Varas para el Periodo 2013-2019"/>
    <s v="El gráfico muestra la evolución anual de la frecuencia de Sentencias Dictadas por Delitos Vinculados a la Mujer por Tipo de Delito en el Juzgado de Garantía de Puerto Vara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7"/>
    <x v="10"/>
    <s v="#1774B9"/>
  </r>
  <r>
    <s v="0470"/>
    <n v="300"/>
    <s v="Violencia contra la mujer"/>
    <s v="Mujeres"/>
    <n v="58"/>
    <x v="9"/>
    <x v="2"/>
    <x v="2"/>
    <x v="74"/>
    <x v="2"/>
    <x v="9"/>
    <s v="Periodo 2013-2019"/>
    <s v="Número de sentencias"/>
    <s v="Poder Judicial"/>
    <s v="Sentencias Dictadas por Delitos Vinculados a la Mujer por Tipo de Delito en el Juzgado de Garantía de Rio Negro para el Periodo 2013-2019"/>
    <s v="El gráfico muestra la evolución anual de la frecuencia de Sentencias Dictadas por Delitos Vinculados a la Mujer por Tipo de Delito en el Juzgado de Garantía de Rio Negr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8"/>
    <x v="10"/>
    <s v="#1774B9"/>
  </r>
  <r>
    <s v="0471"/>
    <n v="300"/>
    <s v="Violencia contra la mujer"/>
    <s v="Mujeres"/>
    <n v="59"/>
    <x v="9"/>
    <x v="2"/>
    <x v="2"/>
    <x v="75"/>
    <x v="2"/>
    <x v="9"/>
    <s v="Periodo 2013-2019"/>
    <s v="Número de sentencias"/>
    <s v="Poder Judicial"/>
    <s v="Sentencias Dictadas por Delitos Vinculados a la Mujer por Tipo de Delito en el Juzgado de Garantía de Coyhaique para el Periodo 2013-2019"/>
    <s v="El gráfico muestra la evolución anual de la frecuencia de Sentencias Dictadas por Delitos Vinculados a la Mujer por Tipo de Delito en el Juzgado de Garantía de Coyhaique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59"/>
    <x v="11"/>
    <s v="#1774B9"/>
  </r>
  <r>
    <s v="0472"/>
    <n v="300"/>
    <s v="Violencia contra la mujer"/>
    <s v="Mujeres"/>
    <n v="60"/>
    <x v="9"/>
    <x v="2"/>
    <x v="2"/>
    <x v="76"/>
    <x v="2"/>
    <x v="9"/>
    <s v="Periodo 2013-2019"/>
    <s v="Número de sentencias"/>
    <s v="Poder Judicial"/>
    <s v="Sentencias Dictadas por Delitos Vinculados a la Mujer por Tipo de Delito en el Juzgado de Garantía de Punta Arenas para el Periodo 2013-2019"/>
    <s v="El gráfico muestra la evolución anual de la frecuencia de Sentencias Dictadas por Delitos Vinculados a la Mujer por Tipo de Delito en el Juzgado de Garantía de Punta Arena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0"/>
    <x v="12"/>
    <s v="#1774B9"/>
  </r>
  <r>
    <s v="0473"/>
    <n v="300"/>
    <s v="Violencia contra la mujer"/>
    <s v="Mujeres"/>
    <n v="61"/>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0°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1"/>
    <x v="13"/>
    <s v="#1774B9"/>
  </r>
  <r>
    <s v="0474"/>
    <n v="300"/>
    <s v="Violencia contra la mujer"/>
    <s v="Mujeres"/>
    <n v="62"/>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1°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2"/>
    <x v="13"/>
    <s v="#1774B9"/>
  </r>
  <r>
    <s v="0475"/>
    <n v="300"/>
    <s v="Violencia contra la mujer"/>
    <s v="Mujeres"/>
    <n v="63"/>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2°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3"/>
    <x v="13"/>
    <s v="#1774B9"/>
  </r>
  <r>
    <s v="0476"/>
    <n v="300"/>
    <s v="Violencia contra la mujer"/>
    <s v="Mujeres"/>
    <n v="64"/>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3°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4"/>
    <x v="13"/>
    <s v="#1774B9"/>
  </r>
  <r>
    <s v="0477"/>
    <n v="300"/>
    <s v="Violencia contra la mujer"/>
    <s v="Mujeres"/>
    <n v="65"/>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4°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5"/>
    <x v="13"/>
    <s v="#1774B9"/>
  </r>
  <r>
    <s v="0478"/>
    <n v="300"/>
    <s v="Violencia contra la mujer"/>
    <s v="Mujeres"/>
    <n v="66"/>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5°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6"/>
    <x v="13"/>
    <s v="#1774B9"/>
  </r>
  <r>
    <s v="0479"/>
    <n v="300"/>
    <s v="Violencia contra la mujer"/>
    <s v="Mujeres"/>
    <n v="67"/>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1°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7"/>
    <x v="13"/>
    <s v="#1774B9"/>
  </r>
  <r>
    <s v="0480"/>
    <n v="300"/>
    <s v="Violencia contra la mujer"/>
    <s v="Mujeres"/>
    <n v="68"/>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2°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8"/>
    <x v="13"/>
    <s v="#1774B9"/>
  </r>
  <r>
    <s v="0481"/>
    <n v="300"/>
    <s v="Violencia contra la mujer"/>
    <s v="Mujeres"/>
    <n v="69"/>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3°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69"/>
    <x v="13"/>
    <s v="#1774B9"/>
  </r>
  <r>
    <s v="0482"/>
    <n v="300"/>
    <s v="Violencia contra la mujer"/>
    <s v="Mujeres"/>
    <n v="70"/>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4°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0"/>
    <x v="13"/>
    <s v="#1774B9"/>
  </r>
  <r>
    <s v="0483"/>
    <n v="300"/>
    <s v="Violencia contra la mujer"/>
    <s v="Mujeres"/>
    <n v="71"/>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5°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1"/>
    <x v="13"/>
    <s v="#1774B9"/>
  </r>
  <r>
    <s v="0484"/>
    <n v="300"/>
    <s v="Violencia contra la mujer"/>
    <s v="Mujeres"/>
    <n v="72"/>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6°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2"/>
    <x v="13"/>
    <s v="#1774B9"/>
  </r>
  <r>
    <s v="0485"/>
    <n v="300"/>
    <s v="Violencia contra la mujer"/>
    <s v="Mujeres"/>
    <n v="73"/>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7°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3"/>
    <x v="13"/>
    <s v="#1774B9"/>
  </r>
  <r>
    <s v="0486"/>
    <n v="300"/>
    <s v="Violencia contra la mujer"/>
    <s v="Mujeres"/>
    <n v="74"/>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8°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4"/>
    <x v="13"/>
    <s v="#1774B9"/>
  </r>
  <r>
    <s v="0487"/>
    <n v="300"/>
    <s v="Violencia contra la mujer"/>
    <s v="Mujeres"/>
    <n v="75"/>
    <x v="9"/>
    <x v="2"/>
    <x v="2"/>
    <x v="77"/>
    <x v="2"/>
    <x v="9"/>
    <s v="Periodo 2013-2019"/>
    <s v="Número de sentencias"/>
    <s v="Poder Judicial"/>
    <s v="Sentencias Dictadas por Delitos Vinculados a la Mujer por Tipo de Delito en el Juzgado de Garantía de Santiago para el Periodo 2013-2019"/>
    <s v="El gráfico muestra la evolución anual de la frecuencia de Sentencias Dictadas por Delitos Vinculados a la Mujer por Tipo de Delito en el 9° Juzgado de Garantía de Santiago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5"/>
    <x v="13"/>
    <s v="#1774B9"/>
  </r>
  <r>
    <s v="0488"/>
    <n v="300"/>
    <s v="Violencia contra la mujer"/>
    <s v="Mujeres"/>
    <n v="76"/>
    <x v="9"/>
    <x v="2"/>
    <x v="2"/>
    <x v="78"/>
    <x v="2"/>
    <x v="9"/>
    <s v="Periodo 2013-2019"/>
    <s v="Número de sentencias"/>
    <s v="Poder Judicial"/>
    <s v="Sentencias Dictadas por Delitos Vinculados a la Mujer por Tipo de Delito en el Juzgado de Garantía de Los Lagos para el Periodo 2013-2019"/>
    <s v="El gráfico muestra la evolución anual de la frecuencia de Sentencias Dictadas por Delitos Vinculados a la Mujer por Tipo de Delito en el Juzgado de Garantía de Los Lag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6"/>
    <x v="14"/>
    <s v="#1774B9"/>
  </r>
  <r>
    <s v="0489"/>
    <n v="300"/>
    <s v="Violencia contra la mujer"/>
    <s v="Mujeres"/>
    <n v="77"/>
    <x v="9"/>
    <x v="2"/>
    <x v="2"/>
    <x v="79"/>
    <x v="2"/>
    <x v="9"/>
    <s v="Periodo 2013-2019"/>
    <s v="Número de sentencias"/>
    <s v="Poder Judicial"/>
    <s v="Sentencias Dictadas por Delitos Vinculados a la Mujer por Tipo de Delito en el Juzgado de Garantía de Mariquina para el Periodo 2013-2019"/>
    <s v="El gráfico muestra la evolución anual de la frecuencia de Sentencias Dictadas por Delitos Vinculados a la Mujer por Tipo de Delito en el Juzgado de Garantía de Mariquin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7"/>
    <x v="14"/>
    <s v="#1774B9"/>
  </r>
  <r>
    <s v="0490"/>
    <n v="300"/>
    <s v="Violencia contra la mujer"/>
    <s v="Mujeres"/>
    <n v="78"/>
    <x v="9"/>
    <x v="2"/>
    <x v="2"/>
    <x v="80"/>
    <x v="2"/>
    <x v="9"/>
    <s v="Periodo 2013-2019"/>
    <s v="Número de sentencias"/>
    <s v="Poder Judicial"/>
    <s v="Sentencias Dictadas por Delitos Vinculados a la Mujer por Tipo de Delito en el Juzgado de Garantía de Valdivia para el Periodo 2013-2019"/>
    <s v="El gráfico muestra la evolución anual de la frecuencia de Sentencias Dictadas por Delitos Vinculados a la Mujer por Tipo de Delito en el Juzgado de Garantía de Valdivi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8"/>
    <x v="14"/>
    <s v="#1774B9"/>
  </r>
  <r>
    <s v="0491"/>
    <n v="300"/>
    <s v="Violencia contra la mujer"/>
    <s v="Mujeres"/>
    <n v="79"/>
    <x v="9"/>
    <x v="2"/>
    <x v="2"/>
    <x v="81"/>
    <x v="2"/>
    <x v="9"/>
    <s v="Periodo 2013-2019"/>
    <s v="Número de sentencias"/>
    <s v="Poder Judicial"/>
    <s v="Sentencias Dictadas por Delitos Vinculados a la Mujer por Tipo de Delito en el Juzgado de Garantía de Arica para el Periodo 2013-2019"/>
    <s v="El gráfico muestra la evolución anual de la frecuencia de Sentencias Dictadas por Delitos Vinculados a la Mujer por Tipo de Delito en el Juzgado de Garantía de Arica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79"/>
    <x v="15"/>
    <s v="#1774B9"/>
  </r>
  <r>
    <s v="0492"/>
    <n v="300"/>
    <s v="Violencia contra la mujer"/>
    <s v="Mujeres"/>
    <n v="80"/>
    <x v="9"/>
    <x v="2"/>
    <x v="2"/>
    <x v="82"/>
    <x v="2"/>
    <x v="9"/>
    <s v="Periodo 2013-2019"/>
    <s v="Número de sentencias"/>
    <s v="Poder Judicial"/>
    <s v="Sentencias Dictadas por Delitos Vinculados a la Mujer por Tipo de Delito en el Juzgado de Garantía de Chillan para el Periodo 2013-2019"/>
    <s v="El gráfico muestra la evolución anual de la frecuencia de Sentencias Dictadas por Delitos Vinculados a la Mujer por Tipo de Delito en el Juzgado de Garantía de Chillan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80"/>
    <x v="16"/>
    <s v="#1774B9"/>
  </r>
  <r>
    <s v="0493"/>
    <n v="300"/>
    <s v="Violencia contra la mujer"/>
    <s v="Mujeres"/>
    <n v="81"/>
    <x v="9"/>
    <x v="2"/>
    <x v="2"/>
    <x v="83"/>
    <x v="2"/>
    <x v="9"/>
    <s v="Periodo 2013-2019"/>
    <s v="Número de sentencias"/>
    <s v="Poder Judicial"/>
    <s v="Sentencias Dictadas por Delitos Vinculados a la Mujer por Tipo de Delito en el Juzgado de Garantía de San Carlos para el Periodo 2013-2019"/>
    <s v="El gráfico muestra la evolución anual de la frecuencia de Sentencias Dictadas por Delitos Vinculados a la Mujer por Tipo de Delito en el Juzgado de Garantía de San Carlos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81"/>
    <x v="16"/>
    <s v="#1774B9"/>
  </r>
  <r>
    <s v="0494"/>
    <n v="300"/>
    <s v="Violencia contra la mujer"/>
    <s v="Mujeres"/>
    <n v="82"/>
    <x v="9"/>
    <x v="2"/>
    <x v="2"/>
    <x v="84"/>
    <x v="2"/>
    <x v="9"/>
    <s v="Periodo 2013-2019"/>
    <s v="Número de sentencias"/>
    <s v="Poder Judicial"/>
    <s v="Sentencias Dictadas por Delitos Vinculados a la Mujer por Tipo de Delito en el Juzgado de Garantía de Yungay para el Periodo 2013-2019"/>
    <s v="El gráfico muestra la evolución anual de la frecuencia de Sentencias Dictadas por Delitos Vinculados a la Mujer por Tipo de Delito en el Juzgado de Garantía de Yungay para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garantía sentencias juzgado contra vida dignidad integridad violentos familia civil mujer violencia"/>
    <s v="https://analytics.zoho.com/open-view/2395394000007158163?ZOHO_CRITERIA=%22Trasposicion_27.16%22.%22Id_Juzgado_Garant%C3%ADa%22%3D82"/>
    <x v="16"/>
    <s v="#1774B9"/>
  </r>
  <r>
    <s v="0495"/>
    <n v="300"/>
    <s v="Violencia contra la mujer"/>
    <s v="Mujeres"/>
    <n v="1"/>
    <x v="9"/>
    <x v="2"/>
    <x v="2"/>
    <x v="17"/>
    <x v="2"/>
    <x v="9"/>
    <s v="Periodo 2013-2019"/>
    <s v="Número de sentencias"/>
    <s v="Poder Judicial"/>
    <s v="Sentencias Dictadas por Delitos Vinculados a la Mujer por Delito en el Juzgado de Garantía de Iquique para el Periodo 2013-2019"/>
    <s v="Gráfico que muestra la evolución anual de la frecuencia de Sentencias Dictadas por Delitos Vinculados a la Mujer por Delito en el Juzgado de Garantía de Iquiqu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
    <x v="1"/>
    <s v="#1774B9"/>
  </r>
  <r>
    <s v="0496"/>
    <n v="300"/>
    <s v="Violencia contra la mujer"/>
    <s v="Mujeres"/>
    <n v="2"/>
    <x v="9"/>
    <x v="2"/>
    <x v="2"/>
    <x v="18"/>
    <x v="2"/>
    <x v="9"/>
    <s v="Periodo 2013-2019"/>
    <s v="Número de sentencias"/>
    <s v="Poder Judicial"/>
    <s v="Sentencias Dictadas por Delitos Vinculados a la Mujer por Delito en el Juzgado de Garantía de Antofagasta para el Periodo 2013-2019"/>
    <s v="Gráfico que muestra la evolución anual de la frecuencia de Sentencias Dictadas por Delitos Vinculados a la Mujer por Delito en el Juzgado de Garantía de Antofagast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
    <x v="2"/>
    <s v="#1774B9"/>
  </r>
  <r>
    <s v="0497"/>
    <n v="300"/>
    <s v="Violencia contra la mujer"/>
    <s v="Mujeres"/>
    <n v="3"/>
    <x v="9"/>
    <x v="2"/>
    <x v="2"/>
    <x v="19"/>
    <x v="2"/>
    <x v="9"/>
    <s v="Periodo 2013-2019"/>
    <s v="Número de sentencias"/>
    <s v="Poder Judicial"/>
    <s v="Sentencias Dictadas por Delitos Vinculados a la Mujer por Delito en el Juzgado de Garantía de Calama para el Periodo 2013-2019"/>
    <s v="Gráfico que muestra la evolución anual de la frecuencia de Sentencias Dictadas por Delitos Vinculados a la Mujer por Delito en el Juzgado de Garantía de Calam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
    <x v="2"/>
    <s v="#1774B9"/>
  </r>
  <r>
    <s v="0498"/>
    <n v="300"/>
    <s v="Violencia contra la mujer"/>
    <s v="Mujeres"/>
    <n v="4"/>
    <x v="9"/>
    <x v="2"/>
    <x v="2"/>
    <x v="20"/>
    <x v="2"/>
    <x v="9"/>
    <s v="Periodo 2013-2019"/>
    <s v="Número de sentencias"/>
    <s v="Poder Judicial"/>
    <s v="Sentencias Dictadas por Delitos Vinculados a la Mujer por Delito en el Juzgado de Garantía de Tocopilla para el Periodo 2013-2019"/>
    <s v="Gráfico que muestra la evolución anual de la frecuencia de Sentencias Dictadas por Delitos Vinculados a la Mujer por Delito en el Juzgado de Garantía de Tocopill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
    <x v="2"/>
    <s v="#1774B9"/>
  </r>
  <r>
    <s v="0499"/>
    <n v="300"/>
    <s v="Violencia contra la mujer"/>
    <s v="Mujeres"/>
    <n v="5"/>
    <x v="9"/>
    <x v="2"/>
    <x v="2"/>
    <x v="21"/>
    <x v="2"/>
    <x v="9"/>
    <s v="Periodo 2013-2019"/>
    <s v="Número de sentencias"/>
    <s v="Poder Judicial"/>
    <s v="Sentencias Dictadas por Delitos Vinculados a la Mujer por Delito en el Juzgado de Garantía de Copiapo para el Periodo 2013-2019"/>
    <s v="Gráfico que muestra la evolución anual de la frecuencia de Sentencias Dictadas por Delitos Vinculados a la Mujer por Delito en el Juzgado de Garantía de Copiap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
    <x v="3"/>
    <s v="#1774B9"/>
  </r>
  <r>
    <s v="0500"/>
    <n v="300"/>
    <s v="Violencia contra la mujer"/>
    <s v="Mujeres"/>
    <n v="6"/>
    <x v="9"/>
    <x v="2"/>
    <x v="2"/>
    <x v="22"/>
    <x v="2"/>
    <x v="9"/>
    <s v="Periodo 2013-2019"/>
    <s v="Número de sentencias"/>
    <s v="Poder Judicial"/>
    <s v="Sentencias Dictadas por Delitos Vinculados a la Mujer por Delito en el Juzgado de Garantía de Diego de Almagro para el Periodo 2013-2019"/>
    <s v="Gráfico que muestra la evolución anual de la frecuencia de Sentencias Dictadas por Delitos Vinculados a la Mujer por Delito en el Juzgado de Garantía de Diego de Almag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
    <x v="3"/>
    <s v="#1774B9"/>
  </r>
  <r>
    <s v="0501"/>
    <n v="300"/>
    <s v="Violencia contra la mujer"/>
    <s v="Mujeres"/>
    <n v="7"/>
    <x v="9"/>
    <x v="2"/>
    <x v="2"/>
    <x v="23"/>
    <x v="2"/>
    <x v="9"/>
    <s v="Periodo 2013-2019"/>
    <s v="Número de sentencias"/>
    <s v="Poder Judicial"/>
    <s v="Sentencias Dictadas por Delitos Vinculados a la Mujer por Delito en el Juzgado de Garantía de Vallenar para el Periodo 2013-2019"/>
    <s v="Gráfico que muestra la evolución anual de la frecuencia de Sentencias Dictadas por Delitos Vinculados a la Mujer por Delito en el Juzgado de Garantía de Vallenar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
    <x v="3"/>
    <s v="#1774B9"/>
  </r>
  <r>
    <s v="0502"/>
    <n v="300"/>
    <s v="Violencia contra la mujer"/>
    <s v="Mujeres"/>
    <n v="8"/>
    <x v="9"/>
    <x v="2"/>
    <x v="2"/>
    <x v="24"/>
    <x v="2"/>
    <x v="9"/>
    <s v="Periodo 2013-2019"/>
    <s v="Número de sentencias"/>
    <s v="Poder Judicial"/>
    <s v="Sentencias Dictadas por Delitos Vinculados a la Mujer por Delito en el Juzgado de Garantía de Coquimbo para el Periodo 2013-2019"/>
    <s v="Gráfico que muestra la evolución anual de la frecuencia de Sentencias Dictadas por Delitos Vinculados a la Mujer por Delito en el Juzgado de Garantía de Coquimb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8"/>
    <x v="4"/>
    <s v="#1774B9"/>
  </r>
  <r>
    <s v="0503"/>
    <n v="300"/>
    <s v="Violencia contra la mujer"/>
    <s v="Mujeres"/>
    <n v="9"/>
    <x v="9"/>
    <x v="2"/>
    <x v="2"/>
    <x v="25"/>
    <x v="2"/>
    <x v="9"/>
    <s v="Periodo 2013-2019"/>
    <s v="Número de sentencias"/>
    <s v="Poder Judicial"/>
    <s v="Sentencias Dictadas por Delitos Vinculados a la Mujer por Delito en el Juzgado de Garantía de Illapel para el Periodo 2013-2019"/>
    <s v="Gráfico que muestra la evolución anual de la frecuencia de Sentencias Dictadas por Delitos Vinculados a la Mujer por Delito en el Juzgado de Garantía de Illape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9"/>
    <x v="4"/>
    <s v="#1774B9"/>
  </r>
  <r>
    <s v="0504"/>
    <n v="300"/>
    <s v="Violencia contra la mujer"/>
    <s v="Mujeres"/>
    <n v="10"/>
    <x v="9"/>
    <x v="2"/>
    <x v="2"/>
    <x v="26"/>
    <x v="2"/>
    <x v="9"/>
    <s v="Periodo 2013-2019"/>
    <s v="Número de sentencias"/>
    <s v="Poder Judicial"/>
    <s v="Sentencias Dictadas por Delitos Vinculados a la Mujer por Delito en el Juzgado de Garantía de La Serena para el Periodo 2013-2019"/>
    <s v="Gráfico que muestra la evolución anual de la frecuencia de Sentencias Dictadas por Delitos Vinculados a la Mujer por Delito en el Juzgado de Garantía de La Sere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0"/>
    <x v="4"/>
    <s v="#1774B9"/>
  </r>
  <r>
    <s v="0505"/>
    <n v="300"/>
    <s v="Violencia contra la mujer"/>
    <s v="Mujeres"/>
    <n v="11"/>
    <x v="9"/>
    <x v="2"/>
    <x v="2"/>
    <x v="27"/>
    <x v="2"/>
    <x v="9"/>
    <s v="Periodo 2013-2019"/>
    <s v="Número de sentencias"/>
    <s v="Poder Judicial"/>
    <s v="Sentencias Dictadas por Delitos Vinculados a la Mujer por Delito en el Juzgado de Garantía de Ovalle para el Periodo 2013-2019"/>
    <s v="Gráfico que muestra la evolución anual de la frecuencia de Sentencias Dictadas por Delitos Vinculados a la Mujer por Delito en el Juzgado de Garantía de Ovall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1"/>
    <x v="4"/>
    <s v="#1774B9"/>
  </r>
  <r>
    <s v="0506"/>
    <n v="300"/>
    <s v="Violencia contra la mujer"/>
    <s v="Mujeres"/>
    <n v="12"/>
    <x v="9"/>
    <x v="2"/>
    <x v="2"/>
    <x v="28"/>
    <x v="2"/>
    <x v="9"/>
    <s v="Periodo 2013-2019"/>
    <s v="Número de sentencias"/>
    <s v="Poder Judicial"/>
    <s v="Sentencias Dictadas por Delitos Vinculados a la Mujer por Delito en el Juzgado de Garantía de Vicuña para el Periodo 2013-2019"/>
    <s v="Gráfico que muestra la evolución anual de la frecuencia de Sentencias Dictadas por Delitos Vinculados a la Mujer por Delito en el Juzgado de Garantía de Vicuñ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2"/>
    <x v="4"/>
    <s v="#1774B9"/>
  </r>
  <r>
    <s v="0507"/>
    <n v="300"/>
    <s v="Violencia contra la mujer"/>
    <s v="Mujeres"/>
    <n v="13"/>
    <x v="9"/>
    <x v="2"/>
    <x v="2"/>
    <x v="29"/>
    <x v="2"/>
    <x v="9"/>
    <s v="Periodo 2013-2019"/>
    <s v="Número de sentencias"/>
    <s v="Poder Judicial"/>
    <s v="Sentencias Dictadas por Delitos Vinculados a la Mujer por Delito en el Juzgado de Garantía de Calera para el Periodo 2013-2019"/>
    <s v="Gráfico que muestra la evolución anual de la frecuencia de Sentencias Dictadas por Delitos Vinculados a la Mujer por Delito en el Juzgado de Garantía de Caler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3"/>
    <x v="5"/>
    <s v="#1774B9"/>
  </r>
  <r>
    <s v="0508"/>
    <n v="300"/>
    <s v="Violencia contra la mujer"/>
    <s v="Mujeres"/>
    <n v="14"/>
    <x v="9"/>
    <x v="2"/>
    <x v="2"/>
    <x v="30"/>
    <x v="2"/>
    <x v="9"/>
    <s v="Periodo 2013-2019"/>
    <s v="Número de sentencias"/>
    <s v="Poder Judicial"/>
    <s v="Sentencias Dictadas por Delitos Vinculados a la Mujer por Delito en el Juzgado de Garantía de La Ligua para el Periodo 2013-2019"/>
    <s v="Gráfico que muestra la evolución anual de la frecuencia de Sentencias Dictadas por Delitos Vinculados a la Mujer por Delito en el Juzgado de Garantía de La Ligu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4"/>
    <x v="5"/>
    <s v="#1774B9"/>
  </r>
  <r>
    <s v="0509"/>
    <n v="300"/>
    <s v="Violencia contra la mujer"/>
    <s v="Mujeres"/>
    <n v="15"/>
    <x v="9"/>
    <x v="2"/>
    <x v="2"/>
    <x v="31"/>
    <x v="2"/>
    <x v="9"/>
    <s v="Periodo 2013-2019"/>
    <s v="Número de sentencias"/>
    <s v="Poder Judicial"/>
    <s v="Sentencias Dictadas por Delitos Vinculados a la Mujer por Delito en el Juzgado de Garantía de Limache para el Periodo 2013-2019"/>
    <s v="Gráfico que muestra la evolución anual de la frecuencia de Sentencias Dictadas por Delitos Vinculados a la Mujer por Delito en el Juzgado de Garantía de Limach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5"/>
    <x v="5"/>
    <s v="#1774B9"/>
  </r>
  <r>
    <s v="0510"/>
    <n v="300"/>
    <s v="Violencia contra la mujer"/>
    <s v="Mujeres"/>
    <n v="16"/>
    <x v="9"/>
    <x v="2"/>
    <x v="2"/>
    <x v="32"/>
    <x v="2"/>
    <x v="9"/>
    <s v="Periodo 2013-2019"/>
    <s v="Número de sentencias"/>
    <s v="Poder Judicial"/>
    <s v="Sentencias Dictadas por Delitos Vinculados a la Mujer por Delito en el Juzgado de Garantía de Los Andes para el Periodo 2013-2019"/>
    <s v="Gráfico que muestra la evolución anual de la frecuencia de Sentencias Dictadas por Delitos Vinculados a la Mujer por Delito en el Juzgado de Garantía de Los And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6"/>
    <x v="5"/>
    <s v="#1774B9"/>
  </r>
  <r>
    <s v="0511"/>
    <n v="300"/>
    <s v="Violencia contra la mujer"/>
    <s v="Mujeres"/>
    <n v="17"/>
    <x v="9"/>
    <x v="2"/>
    <x v="2"/>
    <x v="33"/>
    <x v="2"/>
    <x v="9"/>
    <s v="Periodo 2013-2019"/>
    <s v="Número de sentencias"/>
    <s v="Poder Judicial"/>
    <s v="Sentencias Dictadas por Delitos Vinculados a la Mujer por Delito en el Juzgado de Garantía de Quillota para el Periodo 2013-2019"/>
    <s v="Gráfico que muestra la evolución anual de la frecuencia de Sentencias Dictadas por Delitos Vinculados a la Mujer por Delito en el Juzgado de Garantía de Quillot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7"/>
    <x v="5"/>
    <s v="#1774B9"/>
  </r>
  <r>
    <s v="0512"/>
    <n v="300"/>
    <s v="Violencia contra la mujer"/>
    <s v="Mujeres"/>
    <n v="18"/>
    <x v="9"/>
    <x v="2"/>
    <x v="2"/>
    <x v="34"/>
    <x v="2"/>
    <x v="9"/>
    <s v="Periodo 2013-2019"/>
    <s v="Número de sentencias"/>
    <s v="Poder Judicial"/>
    <s v="Sentencias Dictadas por Delitos Vinculados a la Mujer por Delito en el Juzgado de Garantía de Quilpue para el Periodo 2013-2019"/>
    <s v="Gráfico que muestra la evolución anual de la frecuencia de Sentencias Dictadas por Delitos Vinculados a la Mujer por Delito en el Juzgado de Garantía de Quilpu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8"/>
    <x v="5"/>
    <s v="#1774B9"/>
  </r>
  <r>
    <s v="0513"/>
    <n v="300"/>
    <s v="Violencia contra la mujer"/>
    <s v="Mujeres"/>
    <n v="19"/>
    <x v="9"/>
    <x v="2"/>
    <x v="2"/>
    <x v="35"/>
    <x v="2"/>
    <x v="9"/>
    <s v="Periodo 2013-2019"/>
    <s v="Número de sentencias"/>
    <s v="Poder Judicial"/>
    <s v="Sentencias Dictadas por Delitos Vinculados a la Mujer por Delito en el Juzgado de Garantía de San Felipe para el Periodo 2013-2019"/>
    <s v="Gráfico que muestra la evolución anual de la frecuencia de Sentencias Dictadas por Delitos Vinculados a la Mujer por Delito en el Juzgado de Garantía de San Felip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19"/>
    <x v="5"/>
    <s v="#1774B9"/>
  </r>
  <r>
    <s v="0514"/>
    <n v="300"/>
    <s v="Violencia contra la mujer"/>
    <s v="Mujeres"/>
    <n v="20"/>
    <x v="9"/>
    <x v="2"/>
    <x v="2"/>
    <x v="36"/>
    <x v="2"/>
    <x v="9"/>
    <s v="Periodo 2013-2019"/>
    <s v="Número de sentencias"/>
    <s v="Poder Judicial"/>
    <s v="Sentencias Dictadas por Delitos Vinculados a la Mujer por Delito en el Juzgado de Garantía de Valparaiso para el Periodo 2013-2019"/>
    <s v="Gráfico que muestra la evolución anual de la frecuencia de Sentencias Dictadas por Delitos Vinculados a la Mujer por Delito en el Juzgado de Garantía de Valparais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0"/>
    <x v="5"/>
    <s v="#1774B9"/>
  </r>
  <r>
    <s v="0515"/>
    <n v="300"/>
    <s v="Violencia contra la mujer"/>
    <s v="Mujeres"/>
    <n v="21"/>
    <x v="9"/>
    <x v="2"/>
    <x v="2"/>
    <x v="37"/>
    <x v="2"/>
    <x v="9"/>
    <s v="Periodo 2013-2019"/>
    <s v="Número de sentencias"/>
    <s v="Poder Judicial"/>
    <s v="Sentencias Dictadas por Delitos Vinculados a la Mujer por Delito en el Juzgado de Garantía de Villa Alemana para el Periodo 2013-2019"/>
    <s v="Gráfico que muestra la evolución anual de la frecuencia de Sentencias Dictadas por Delitos Vinculados a la Mujer por Delito en el Juzgado de Garantía de Villa Alema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1"/>
    <x v="5"/>
    <s v="#1774B9"/>
  </r>
  <r>
    <s v="0516"/>
    <n v="300"/>
    <s v="Violencia contra la mujer"/>
    <s v="Mujeres"/>
    <n v="22"/>
    <x v="9"/>
    <x v="2"/>
    <x v="2"/>
    <x v="38"/>
    <x v="2"/>
    <x v="9"/>
    <s v="Periodo 2013-2019"/>
    <s v="Número de sentencias"/>
    <s v="Poder Judicial"/>
    <s v="Sentencias Dictadas por Delitos Vinculados a la Mujer por Delito en el Juzgado de Garantía de Viña Del Mar para el Periodo 2013-2019"/>
    <s v="Gráfico que muestra la evolución anual de la frecuencia de Sentencias Dictadas por Delitos Vinculados a la Mujer por Delito en el Juzgado de Garantía de Viña Del Mar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2"/>
    <x v="5"/>
    <s v="#1774B9"/>
  </r>
  <r>
    <s v="0517"/>
    <n v="300"/>
    <s v="Violencia contra la mujer"/>
    <s v="Mujeres"/>
    <n v="23"/>
    <x v="9"/>
    <x v="2"/>
    <x v="2"/>
    <x v="39"/>
    <x v="2"/>
    <x v="9"/>
    <s v="Periodo 2013-2019"/>
    <s v="Número de sentencias"/>
    <s v="Poder Judicial"/>
    <s v="Sentencias Dictadas por Delitos Vinculados a la Mujer por Delito en el Juzgado de Garantía de Graneros para el Periodo 2013-2019"/>
    <s v="Gráfico que muestra la evolución anual de la frecuencia de Sentencias Dictadas por Delitos Vinculados a la Mujer por Delito en el Juzgado de Garantía de Granero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3"/>
    <x v="6"/>
    <s v="#1774B9"/>
  </r>
  <r>
    <s v="0518"/>
    <n v="300"/>
    <s v="Violencia contra la mujer"/>
    <s v="Mujeres"/>
    <n v="24"/>
    <x v="9"/>
    <x v="2"/>
    <x v="2"/>
    <x v="40"/>
    <x v="2"/>
    <x v="9"/>
    <s v="Periodo 2013-2019"/>
    <s v="Número de sentencias"/>
    <s v="Poder Judicial"/>
    <s v="Sentencias Dictadas por Delitos Vinculados a la Mujer por Delito en el Juzgado de Garantía de Rancagua para el Periodo 2013-2019"/>
    <s v="Gráfico que muestra la evolución anual de la frecuencia de Sentencias Dictadas por Delitos Vinculados a la Mujer por Delito en el Juzgado de Garantía de Rancagu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4"/>
    <x v="6"/>
    <s v="#1774B9"/>
  </r>
  <r>
    <s v="0519"/>
    <n v="300"/>
    <s v="Violencia contra la mujer"/>
    <s v="Mujeres"/>
    <n v="25"/>
    <x v="9"/>
    <x v="2"/>
    <x v="2"/>
    <x v="41"/>
    <x v="2"/>
    <x v="9"/>
    <s v="Periodo 2013-2019"/>
    <s v="Número de sentencias"/>
    <s v="Poder Judicial"/>
    <s v="Sentencias Dictadas por Delitos Vinculados a la Mujer por Delito en el Juzgado de Garantía de Rengo para el Periodo 2013-2019"/>
    <s v="Gráfico que muestra la evolución anual de la frecuencia de Sentencias Dictadas por Delitos Vinculados a la Mujer por Delito en el Juzgado de Garantía de Ren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5"/>
    <x v="6"/>
    <s v="#1774B9"/>
  </r>
  <r>
    <s v="0520"/>
    <n v="300"/>
    <s v="Violencia contra la mujer"/>
    <s v="Mujeres"/>
    <n v="26"/>
    <x v="9"/>
    <x v="2"/>
    <x v="2"/>
    <x v="42"/>
    <x v="2"/>
    <x v="9"/>
    <s v="Periodo 2013-2019"/>
    <s v="Número de sentencias"/>
    <s v="Poder Judicial"/>
    <s v="Sentencias Dictadas por Delitos Vinculados a la Mujer por Delito en el Juzgado de Garantía de San Fernando para el Periodo 2013-2019"/>
    <s v="Gráfico que muestra la evolución anual de la frecuencia de Sentencias Dictadas por Delitos Vinculados a la Mujer por Delito en el Juzgado de Garantía de San Fernand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6"/>
    <x v="6"/>
    <s v="#1774B9"/>
  </r>
  <r>
    <s v="0521"/>
    <n v="300"/>
    <s v="Violencia contra la mujer"/>
    <s v="Mujeres"/>
    <n v="27"/>
    <x v="9"/>
    <x v="2"/>
    <x v="2"/>
    <x v="43"/>
    <x v="2"/>
    <x v="9"/>
    <s v="Periodo 2013-2019"/>
    <s v="Número de sentencias"/>
    <s v="Poder Judicial"/>
    <s v="Sentencias Dictadas por Delitos Vinculados a la Mujer por Delito en el Juzgado de Garantía de San Vicente para el Periodo 2013-2019"/>
    <s v="Gráfico que muestra la evolución anual de la frecuencia de Sentencias Dictadas por Delitos Vinculados a la Mujer por Delito en el Juzgado de Garantía de San Vicent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7"/>
    <x v="6"/>
    <s v="#1774B9"/>
  </r>
  <r>
    <s v="0522"/>
    <n v="300"/>
    <s v="Violencia contra la mujer"/>
    <s v="Mujeres"/>
    <n v="28"/>
    <x v="9"/>
    <x v="2"/>
    <x v="2"/>
    <x v="44"/>
    <x v="2"/>
    <x v="9"/>
    <s v="Periodo 2013-2019"/>
    <s v="Número de sentencias"/>
    <s v="Poder Judicial"/>
    <s v="Sentencias Dictadas por Delitos Vinculados a la Mujer por Delito en el Juzgado de Garantía de Santa Cruz para el Periodo 2013-2019"/>
    <s v="Gráfico que muestra la evolución anual de la frecuencia de Sentencias Dictadas por Delitos Vinculados a la Mujer por Delito en el Juzgado de Garantía de Santa Cruz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8"/>
    <x v="6"/>
    <s v="#1774B9"/>
  </r>
  <r>
    <s v="0523"/>
    <n v="300"/>
    <s v="Violencia contra la mujer"/>
    <s v="Mujeres"/>
    <n v="29"/>
    <x v="9"/>
    <x v="2"/>
    <x v="2"/>
    <x v="45"/>
    <x v="2"/>
    <x v="9"/>
    <s v="Periodo 2013-2019"/>
    <s v="Número de sentencias"/>
    <s v="Poder Judicial"/>
    <s v="Sentencias Dictadas por Delitos Vinculados a la Mujer por Delito en el Juzgado de Garantía de Cauquenes para el Periodo 2013-2019"/>
    <s v="Gráfico que muestra la evolución anual de la frecuencia de Sentencias Dictadas por Delitos Vinculados a la Mujer por Delito en el Juzgado de Garantía de Cauquen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29"/>
    <x v="7"/>
    <s v="#1774B9"/>
  </r>
  <r>
    <s v="0524"/>
    <n v="300"/>
    <s v="Violencia contra la mujer"/>
    <s v="Mujeres"/>
    <n v="30"/>
    <x v="9"/>
    <x v="2"/>
    <x v="2"/>
    <x v="46"/>
    <x v="2"/>
    <x v="9"/>
    <s v="Periodo 2013-2019"/>
    <s v="Número de sentencias"/>
    <s v="Poder Judicial"/>
    <s v="Sentencias Dictadas por Delitos Vinculados a la Mujer por Delito en el Juzgado de Garantía de Constitucion para el Periodo 2013-2019"/>
    <s v="Gráfico que muestra la evolución anual de la frecuencia de Sentencias Dictadas por Delitos Vinculados a la Mujer por Delito en el Juzgado de Garantía de Constitucio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0"/>
    <x v="7"/>
    <s v="#1774B9"/>
  </r>
  <r>
    <s v="0525"/>
    <n v="300"/>
    <s v="Violencia contra la mujer"/>
    <s v="Mujeres"/>
    <n v="31"/>
    <x v="9"/>
    <x v="2"/>
    <x v="2"/>
    <x v="47"/>
    <x v="2"/>
    <x v="9"/>
    <s v="Periodo 2013-2019"/>
    <s v="Número de sentencias"/>
    <s v="Poder Judicial"/>
    <s v="Sentencias Dictadas por Delitos Vinculados a la Mujer por Delito en el Juzgado de Garantía de Curico para el Periodo 2013-2019"/>
    <s v="Gráfico que muestra la evolución anual de la frecuencia de Sentencias Dictadas por Delitos Vinculados a la Mujer por Delito en el Juzgado de Garantía de Curic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1"/>
    <x v="7"/>
    <s v="#1774B9"/>
  </r>
  <r>
    <s v="0526"/>
    <n v="300"/>
    <s v="Violencia contra la mujer"/>
    <s v="Mujeres"/>
    <n v="32"/>
    <x v="9"/>
    <x v="2"/>
    <x v="2"/>
    <x v="48"/>
    <x v="2"/>
    <x v="9"/>
    <s v="Periodo 2013-2019"/>
    <s v="Número de sentencias"/>
    <s v="Poder Judicial"/>
    <s v="Sentencias Dictadas por Delitos Vinculados a la Mujer por Delito en el Juzgado de Garantía de Linares para el Periodo 2013-2019"/>
    <s v="Gráfico que muestra la evolución anual de la frecuencia de Sentencias Dictadas por Delitos Vinculados a la Mujer por Delito en el Juzgado de Garantía de Linar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2"/>
    <x v="7"/>
    <s v="#1774B9"/>
  </r>
  <r>
    <s v="0527"/>
    <n v="300"/>
    <s v="Violencia contra la mujer"/>
    <s v="Mujeres"/>
    <n v="33"/>
    <x v="9"/>
    <x v="2"/>
    <x v="2"/>
    <x v="49"/>
    <x v="2"/>
    <x v="9"/>
    <s v="Periodo 2013-2019"/>
    <s v="Número de sentencias"/>
    <s v="Poder Judicial"/>
    <s v="Sentencias Dictadas por Delitos Vinculados a la Mujer por Delito en el Juzgado de Garantía de Molina para el Periodo 2013-2019"/>
    <s v="Gráfico que muestra la evolución anual de la frecuencia de Sentencias Dictadas por Delitos Vinculados a la Mujer por Delito en el Juzgado de Garantía de Moli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3"/>
    <x v="7"/>
    <s v="#1774B9"/>
  </r>
  <r>
    <s v="0528"/>
    <n v="300"/>
    <s v="Violencia contra la mujer"/>
    <s v="Mujeres"/>
    <n v="34"/>
    <x v="9"/>
    <x v="2"/>
    <x v="2"/>
    <x v="50"/>
    <x v="2"/>
    <x v="9"/>
    <s v="Periodo 2013-2019"/>
    <s v="Número de sentencias"/>
    <s v="Poder Judicial"/>
    <s v="Sentencias Dictadas por Delitos Vinculados a la Mujer por Delito en el Juzgado de Garantía de Parral para el Periodo 2013-2019"/>
    <s v="Gráfico que muestra la evolución anual de la frecuencia de Sentencias Dictadas por Delitos Vinculados a la Mujer por Delito en el Juzgado de Garantía de Parra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4"/>
    <x v="7"/>
    <s v="#1774B9"/>
  </r>
  <r>
    <s v="0529"/>
    <n v="300"/>
    <s v="Violencia contra la mujer"/>
    <s v="Mujeres"/>
    <n v="35"/>
    <x v="9"/>
    <x v="2"/>
    <x v="2"/>
    <x v="51"/>
    <x v="2"/>
    <x v="9"/>
    <s v="Periodo 2013-2019"/>
    <s v="Número de sentencias"/>
    <s v="Poder Judicial"/>
    <s v="Sentencias Dictadas por Delitos Vinculados a la Mujer por Delito en el Juzgado de Garantía de San Javier para el Periodo 2013-2019"/>
    <s v="Gráfico que muestra la evolución anual de la frecuencia de Sentencias Dictadas por Delitos Vinculados a la Mujer por Delito en el Juzgado de Garantía de San Javier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5"/>
    <x v="7"/>
    <s v="#1774B9"/>
  </r>
  <r>
    <s v="0530"/>
    <n v="300"/>
    <s v="Violencia contra la mujer"/>
    <s v="Mujeres"/>
    <n v="36"/>
    <x v="9"/>
    <x v="2"/>
    <x v="2"/>
    <x v="52"/>
    <x v="2"/>
    <x v="9"/>
    <s v="Periodo 2013-2019"/>
    <s v="Número de sentencias"/>
    <s v="Poder Judicial"/>
    <s v="Sentencias Dictadas por Delitos Vinculados a la Mujer por Delito en el Juzgado de Garantía de Talca para el Periodo 2013-2019"/>
    <s v="Gráfico que muestra la evolución anual de la frecuencia de Sentencias Dictadas por Delitos Vinculados a la Mujer por Delito en el Juzgado de Garantía de Talc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6"/>
    <x v="7"/>
    <s v="#1774B9"/>
  </r>
  <r>
    <s v="0531"/>
    <n v="300"/>
    <s v="Violencia contra la mujer"/>
    <s v="Mujeres"/>
    <n v="37"/>
    <x v="9"/>
    <x v="2"/>
    <x v="2"/>
    <x v="53"/>
    <x v="2"/>
    <x v="9"/>
    <s v="Periodo 2013-2019"/>
    <s v="Número de sentencias"/>
    <s v="Poder Judicial"/>
    <s v="Sentencias Dictadas por Delitos Vinculados a la Mujer por Delito en el Juzgado de Garantía de Arauco para el Periodo 2013-2019"/>
    <s v="Gráfico que muestra la evolución anual de la frecuencia de Sentencias Dictadas por Delitos Vinculados a la Mujer por Delito en el Juzgado de Garantía de Arauc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7"/>
    <x v="8"/>
    <s v="#1774B9"/>
  </r>
  <r>
    <s v="0532"/>
    <n v="300"/>
    <s v="Violencia contra la mujer"/>
    <s v="Mujeres"/>
    <n v="38"/>
    <x v="9"/>
    <x v="2"/>
    <x v="2"/>
    <x v="54"/>
    <x v="2"/>
    <x v="9"/>
    <s v="Periodo 2013-2019"/>
    <s v="Número de sentencias"/>
    <s v="Poder Judicial"/>
    <s v="Sentencias Dictadas por Delitos Vinculados a la Mujer por Delito en el Juzgado de Garantía de Cañete para el Periodo 2013-2019"/>
    <s v="Gráfico que muestra la evolución anual de la frecuencia de Sentencias Dictadas por Delitos Vinculados a la Mujer por Delito en el Juzgado de Garantía de Cañet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8"/>
    <x v="8"/>
    <s v="#1774B9"/>
  </r>
  <r>
    <s v="0533"/>
    <n v="300"/>
    <s v="Violencia contra la mujer"/>
    <s v="Mujeres"/>
    <n v="39"/>
    <x v="9"/>
    <x v="2"/>
    <x v="2"/>
    <x v="55"/>
    <x v="2"/>
    <x v="9"/>
    <s v="Periodo 2013-2019"/>
    <s v="Número de sentencias"/>
    <s v="Poder Judicial"/>
    <s v="Sentencias Dictadas por Delitos Vinculados a la Mujer por Delito en el Juzgado de Garantía de Chiguayante para el Periodo 2013-2019"/>
    <s v="Gráfico que muestra la evolución anual de la frecuencia de Sentencias Dictadas por Delitos Vinculados a la Mujer por Delito en el Juzgado de Garantía de Chiguayant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39"/>
    <x v="8"/>
    <s v="#1774B9"/>
  </r>
  <r>
    <s v="0534"/>
    <n v="300"/>
    <s v="Violencia contra la mujer"/>
    <s v="Mujeres"/>
    <n v="40"/>
    <x v="9"/>
    <x v="2"/>
    <x v="2"/>
    <x v="56"/>
    <x v="2"/>
    <x v="9"/>
    <s v="Periodo 2013-2019"/>
    <s v="Número de sentencias"/>
    <s v="Poder Judicial"/>
    <s v="Sentencias Dictadas por Delitos Vinculados a la Mujer por Delito en el Juzgado de Garantía de Concepcion para el Periodo 2013-2019"/>
    <s v="Gráfico que muestra la evolución anual de la frecuencia de Sentencias Dictadas por Delitos Vinculados a la Mujer por Delito en el Juzgado de Garantía de Concepcio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0"/>
    <x v="8"/>
    <s v="#1774B9"/>
  </r>
  <r>
    <s v="0535"/>
    <n v="300"/>
    <s v="Violencia contra la mujer"/>
    <s v="Mujeres"/>
    <n v="41"/>
    <x v="9"/>
    <x v="2"/>
    <x v="2"/>
    <x v="57"/>
    <x v="2"/>
    <x v="9"/>
    <s v="Periodo 2013-2019"/>
    <s v="Número de sentencias"/>
    <s v="Poder Judicial"/>
    <s v="Sentencias Dictadas por Delitos Vinculados a la Mujer por Delito en el Juzgado de Garantía de Coronel para el Periodo 2013-2019"/>
    <s v="Gráfico que muestra la evolución anual de la frecuencia de Sentencias Dictadas por Delitos Vinculados a la Mujer por Delito en el Juzgado de Garantía de Corone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1"/>
    <x v="8"/>
    <s v="#1774B9"/>
  </r>
  <r>
    <s v="0536"/>
    <n v="300"/>
    <s v="Violencia contra la mujer"/>
    <s v="Mujeres"/>
    <n v="42"/>
    <x v="9"/>
    <x v="2"/>
    <x v="2"/>
    <x v="58"/>
    <x v="2"/>
    <x v="9"/>
    <s v="Periodo 2013-2019"/>
    <s v="Número de sentencias"/>
    <s v="Poder Judicial"/>
    <s v="Sentencias Dictadas por Delitos Vinculados a la Mujer por Delito en el Juzgado de Garantía de Los Angeles para el Periodo 2013-2019"/>
    <s v="Gráfico que muestra la evolución anual de la frecuencia de Sentencias Dictadas por Delitos Vinculados a la Mujer por Delito en el Juzgado de Garantía de Los Angele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2"/>
    <x v="8"/>
    <s v="#1774B9"/>
  </r>
  <r>
    <s v="0537"/>
    <n v="300"/>
    <s v="Violencia contra la mujer"/>
    <s v="Mujeres"/>
    <n v="43"/>
    <x v="9"/>
    <x v="2"/>
    <x v="2"/>
    <x v="59"/>
    <x v="2"/>
    <x v="9"/>
    <s v="Periodo 2013-2019"/>
    <s v="Número de sentencias"/>
    <s v="Poder Judicial"/>
    <s v="Sentencias Dictadas por Delitos Vinculados a la Mujer por Delito en el Juzgado de Garantía de Talcahuano para el Periodo 2013-2019"/>
    <s v="Gráfico que muestra la evolución anual de la frecuencia de Sentencias Dictadas por Delitos Vinculados a la Mujer por Delito en el Juzgado de Garantía de Talcahuan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3"/>
    <x v="8"/>
    <s v="#1774B9"/>
  </r>
  <r>
    <s v="0538"/>
    <n v="300"/>
    <s v="Violencia contra la mujer"/>
    <s v="Mujeres"/>
    <n v="44"/>
    <x v="9"/>
    <x v="2"/>
    <x v="2"/>
    <x v="60"/>
    <x v="2"/>
    <x v="9"/>
    <s v="Periodo 2013-2019"/>
    <s v="Número de sentencias"/>
    <s v="Poder Judicial"/>
    <s v="Sentencias Dictadas por Delitos Vinculados a la Mujer por Delito en el Juzgado de Garantía de Tome para el Periodo 2013-2019"/>
    <s v="Gráfico que muestra la evolución anual de la frecuencia de Sentencias Dictadas por Delitos Vinculados a la Mujer por Delito en el Juzgado de Garantía de Tom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4"/>
    <x v="8"/>
    <s v="#1774B9"/>
  </r>
  <r>
    <s v="0539"/>
    <n v="300"/>
    <s v="Violencia contra la mujer"/>
    <s v="Mujeres"/>
    <n v="45"/>
    <x v="9"/>
    <x v="2"/>
    <x v="2"/>
    <x v="61"/>
    <x v="2"/>
    <x v="9"/>
    <s v="Periodo 2013-2019"/>
    <s v="Número de sentencias"/>
    <s v="Poder Judicial"/>
    <s v="Sentencias Dictadas por Delitos Vinculados a la Mujer por Delito en el Juzgado de Garantía de Angol para el Periodo 2013-2019"/>
    <s v="Gráfico que muestra la evolución anual de la frecuencia de Sentencias Dictadas por Delitos Vinculados a la Mujer por Delito en el Juzgado de Garantía de Ango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5"/>
    <x v="9"/>
    <s v="#1774B9"/>
  </r>
  <r>
    <s v="0540"/>
    <n v="300"/>
    <s v="Violencia contra la mujer"/>
    <s v="Mujeres"/>
    <n v="46"/>
    <x v="9"/>
    <x v="2"/>
    <x v="2"/>
    <x v="62"/>
    <x v="2"/>
    <x v="9"/>
    <s v="Periodo 2013-2019"/>
    <s v="Número de sentencias"/>
    <s v="Poder Judicial"/>
    <s v="Sentencias Dictadas por Delitos Vinculados a la Mujer por Delito en el Juzgado de Garantía de Lautaro para el Periodo 2013-2019"/>
    <s v="Gráfico que muestra la evolución anual de la frecuencia de Sentencias Dictadas por Delitos Vinculados a la Mujer por Delito en el Juzgado de Garantía de Lauta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6"/>
    <x v="9"/>
    <s v="#1774B9"/>
  </r>
  <r>
    <s v="0541"/>
    <n v="300"/>
    <s v="Violencia contra la mujer"/>
    <s v="Mujeres"/>
    <n v="47"/>
    <x v="9"/>
    <x v="2"/>
    <x v="2"/>
    <x v="63"/>
    <x v="2"/>
    <x v="9"/>
    <s v="Periodo 2013-2019"/>
    <s v="Número de sentencias"/>
    <s v="Poder Judicial"/>
    <s v="Sentencias Dictadas por Delitos Vinculados a la Mujer por Delito en el Juzgado de Garantía de Loncoche para el Periodo 2013-2019"/>
    <s v="Gráfico que muestra la evolución anual de la frecuencia de Sentencias Dictadas por Delitos Vinculados a la Mujer por Delito en el Juzgado de Garantía de Loncoch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7"/>
    <x v="9"/>
    <s v="#1774B9"/>
  </r>
  <r>
    <s v="0542"/>
    <n v="300"/>
    <s v="Violencia contra la mujer"/>
    <s v="Mujeres"/>
    <n v="48"/>
    <x v="9"/>
    <x v="2"/>
    <x v="2"/>
    <x v="64"/>
    <x v="2"/>
    <x v="9"/>
    <s v="Periodo 2013-2019"/>
    <s v="Número de sentencias"/>
    <s v="Poder Judicial"/>
    <s v="Sentencias Dictadas por Delitos Vinculados a la Mujer por Delito en el Juzgado de Garantía de Nueva Imperial para el Periodo 2013-2019"/>
    <s v="Gráfico que muestra la evolución anual de la frecuencia de Sentencias Dictadas por Delitos Vinculados a la Mujer por Delito en el Juzgado de Garantía de Nueva Imperial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8"/>
    <x v="9"/>
    <s v="#1774B9"/>
  </r>
  <r>
    <s v="0543"/>
    <n v="300"/>
    <s v="Violencia contra la mujer"/>
    <s v="Mujeres"/>
    <n v="49"/>
    <x v="9"/>
    <x v="2"/>
    <x v="2"/>
    <x v="65"/>
    <x v="2"/>
    <x v="9"/>
    <s v="Periodo 2013-2019"/>
    <s v="Número de sentencias"/>
    <s v="Poder Judicial"/>
    <s v="Sentencias Dictadas por Delitos Vinculados a la Mujer por Delito en el Juzgado de Garantía de Pitrufquen para el Periodo 2013-2019"/>
    <s v="Gráfico que muestra la evolución anual de la frecuencia de Sentencias Dictadas por Delitos Vinculados a la Mujer por Delito en el Juzgado de Garantía de Pitrufque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49"/>
    <x v="9"/>
    <s v="#1774B9"/>
  </r>
  <r>
    <s v="0544"/>
    <n v="300"/>
    <s v="Violencia contra la mujer"/>
    <s v="Mujeres"/>
    <n v="50"/>
    <x v="9"/>
    <x v="2"/>
    <x v="2"/>
    <x v="66"/>
    <x v="2"/>
    <x v="9"/>
    <s v="Periodo 2013-2019"/>
    <s v="Número de sentencias"/>
    <s v="Poder Judicial"/>
    <s v="Sentencias Dictadas por Delitos Vinculados a la Mujer por Delito en el Juzgado de Garantía de Temuco para el Periodo 2013-2019"/>
    <s v="Gráfico que muestra la evolución anual de la frecuencia de Sentencias Dictadas por Delitos Vinculados a la Mujer por Delito en el Juzgado de Garantía de Temuc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0"/>
    <x v="9"/>
    <s v="#1774B9"/>
  </r>
  <r>
    <s v="0545"/>
    <n v="300"/>
    <s v="Violencia contra la mujer"/>
    <s v="Mujeres"/>
    <n v="51"/>
    <x v="9"/>
    <x v="2"/>
    <x v="2"/>
    <x v="67"/>
    <x v="2"/>
    <x v="9"/>
    <s v="Periodo 2013-2019"/>
    <s v="Número de sentencias"/>
    <s v="Poder Judicial"/>
    <s v="Sentencias Dictadas por Delitos Vinculados a la Mujer por Delito en el Juzgado de Garantía de Victoria para el Periodo 2013-2019"/>
    <s v="Gráfico que muestra la evolución anual de la frecuencia de Sentencias Dictadas por Delitos Vinculados a la Mujer por Delito en el Juzgado de Garantía de Victori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1"/>
    <x v="9"/>
    <s v="#1774B9"/>
  </r>
  <r>
    <s v="0546"/>
    <n v="300"/>
    <s v="Violencia contra la mujer"/>
    <s v="Mujeres"/>
    <n v="52"/>
    <x v="9"/>
    <x v="2"/>
    <x v="2"/>
    <x v="68"/>
    <x v="2"/>
    <x v="9"/>
    <s v="Periodo 2013-2019"/>
    <s v="Número de sentencias"/>
    <s v="Poder Judicial"/>
    <s v="Sentencias Dictadas por Delitos Vinculados a la Mujer por Delito en el Juzgado de Garantía de Villarrica para el Periodo 2013-2019"/>
    <s v="Gráfico que muestra la evolución anual de la frecuencia de Sentencias Dictadas por Delitos Vinculados a la Mujer por Delito en el Juzgado de Garantía de Villarric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2"/>
    <x v="9"/>
    <s v="#1774B9"/>
  </r>
  <r>
    <s v="0547"/>
    <n v="300"/>
    <s v="Violencia contra la mujer"/>
    <s v="Mujeres"/>
    <n v="53"/>
    <x v="9"/>
    <x v="2"/>
    <x v="2"/>
    <x v="69"/>
    <x v="2"/>
    <x v="9"/>
    <s v="Periodo 2013-2019"/>
    <s v="Número de sentencias"/>
    <s v="Poder Judicial"/>
    <s v="Sentencias Dictadas por Delitos Vinculados a la Mujer por Delito en el Juzgado de Garantía de Ancud para el Periodo 2013-2019"/>
    <s v="Gráfico que muestra la evolución anual de la frecuencia de Sentencias Dictadas por Delitos Vinculados a la Mujer por Delito en el Juzgado de Garantía de Ancud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3"/>
    <x v="10"/>
    <s v="#1774B9"/>
  </r>
  <r>
    <s v="0548"/>
    <n v="300"/>
    <s v="Violencia contra la mujer"/>
    <s v="Mujeres"/>
    <n v="54"/>
    <x v="9"/>
    <x v="2"/>
    <x v="2"/>
    <x v="70"/>
    <x v="2"/>
    <x v="9"/>
    <s v="Periodo 2013-2019"/>
    <s v="Número de sentencias"/>
    <s v="Poder Judicial"/>
    <s v="Sentencias Dictadas por Delitos Vinculados a la Mujer por Delito en el Juzgado de Garantía de Castro para el Periodo 2013-2019"/>
    <s v="Gráfico que muestra la evolución anual de la frecuencia de Sentencias Dictadas por Delitos Vinculados a la Mujer por Delito en el Juzgado de Garantía de Cast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4"/>
    <x v="10"/>
    <s v="#1774B9"/>
  </r>
  <r>
    <s v="0549"/>
    <n v="300"/>
    <s v="Violencia contra la mujer"/>
    <s v="Mujeres"/>
    <n v="55"/>
    <x v="9"/>
    <x v="2"/>
    <x v="2"/>
    <x v="71"/>
    <x v="2"/>
    <x v="9"/>
    <s v="Periodo 2013-2019"/>
    <s v="Número de sentencias"/>
    <s v="Poder Judicial"/>
    <s v="Sentencias Dictadas por Delitos Vinculados a la Mujer por Delito en el Juzgado de Garantía de Osorno para el Periodo 2013-2019"/>
    <s v="Gráfico que muestra la evolución anual de la frecuencia de Sentencias Dictadas por Delitos Vinculados a la Mujer por Delito en el Juzgado de Garantía de Osorn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5"/>
    <x v="10"/>
    <s v="#1774B9"/>
  </r>
  <r>
    <s v="0550"/>
    <n v="300"/>
    <s v="Violencia contra la mujer"/>
    <s v="Mujeres"/>
    <n v="56"/>
    <x v="9"/>
    <x v="2"/>
    <x v="2"/>
    <x v="72"/>
    <x v="2"/>
    <x v="9"/>
    <s v="Periodo 2013-2019"/>
    <s v="Número de sentencias"/>
    <s v="Poder Judicial"/>
    <s v="Sentencias Dictadas por Delitos Vinculados a la Mujer por Delito en el Juzgado de Garantía de Puerto Montt para el Periodo 2013-2019"/>
    <s v="Gráfico que muestra la evolución anual de la frecuencia de Sentencias Dictadas por Delitos Vinculados a la Mujer por Delito en el Juzgado de Garantía de Puerto Montt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6"/>
    <x v="10"/>
    <s v="#1774B9"/>
  </r>
  <r>
    <s v="0551"/>
    <n v="300"/>
    <s v="Violencia contra la mujer"/>
    <s v="Mujeres"/>
    <n v="57"/>
    <x v="9"/>
    <x v="2"/>
    <x v="2"/>
    <x v="73"/>
    <x v="2"/>
    <x v="9"/>
    <s v="Periodo 2013-2019"/>
    <s v="Número de sentencias"/>
    <s v="Poder Judicial"/>
    <s v="Sentencias Dictadas por Delitos Vinculados a la Mujer por Delito en el Juzgado de Garantía de Puerto Varas para el Periodo 2013-2019"/>
    <s v="Gráfico que muestra la evolución anual de la frecuencia de Sentencias Dictadas por Delitos Vinculados a la Mujer por Delito en el Juzgado de Garantía de Puerto Vara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7"/>
    <x v="10"/>
    <s v="#1774B9"/>
  </r>
  <r>
    <s v="0552"/>
    <n v="300"/>
    <s v="Violencia contra la mujer"/>
    <s v="Mujeres"/>
    <n v="58"/>
    <x v="9"/>
    <x v="2"/>
    <x v="2"/>
    <x v="74"/>
    <x v="2"/>
    <x v="9"/>
    <s v="Periodo 2013-2019"/>
    <s v="Número de sentencias"/>
    <s v="Poder Judicial"/>
    <s v="Sentencias Dictadas por Delitos Vinculados a la Mujer por Delito en el Juzgado de Garantía de Rio Negro para el Periodo 2013-2019"/>
    <s v="Gráfico que muestra la evolución anual de la frecuencia de Sentencias Dictadas por Delitos Vinculados a la Mujer por Delito en el Juzgado de Garantía de Rio Negr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8"/>
    <x v="10"/>
    <s v="#1774B9"/>
  </r>
  <r>
    <s v="0553"/>
    <n v="300"/>
    <s v="Violencia contra la mujer"/>
    <s v="Mujeres"/>
    <n v="59"/>
    <x v="9"/>
    <x v="2"/>
    <x v="2"/>
    <x v="75"/>
    <x v="2"/>
    <x v="9"/>
    <s v="Periodo 2013-2019"/>
    <s v="Número de sentencias"/>
    <s v="Poder Judicial"/>
    <s v="Sentencias Dictadas por Delitos Vinculados a la Mujer por Delito en el Juzgado de Garantía de Coyhaique para el Periodo 2013-2019"/>
    <s v="Gráfico que muestra la evolución anual de la frecuencia de Sentencias Dictadas por Delitos Vinculados a la Mujer por Delito en el Juzgado de Garantía de Coyhaique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59"/>
    <x v="11"/>
    <s v="#1774B9"/>
  </r>
  <r>
    <s v="0554"/>
    <n v="300"/>
    <s v="Violencia contra la mujer"/>
    <s v="Mujeres"/>
    <n v="60"/>
    <x v="9"/>
    <x v="2"/>
    <x v="2"/>
    <x v="76"/>
    <x v="2"/>
    <x v="9"/>
    <s v="Periodo 2013-2019"/>
    <s v="Número de sentencias"/>
    <s v="Poder Judicial"/>
    <s v="Sentencias Dictadas por Delitos Vinculados a la Mujer por Delito en el Juzgado de Garantía de Punta Arenas para el Periodo 2013-2019"/>
    <s v="Gráfico que muestra la evolución anual de la frecuencia de Sentencias Dictadas por Delitos Vinculados a la Mujer por Delito en el Juzgado de Garantía de Punta Arena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0"/>
    <x v="12"/>
    <s v="#1774B9"/>
  </r>
  <r>
    <s v="0555"/>
    <n v="300"/>
    <s v="Violencia contra la mujer"/>
    <s v="Mujeres"/>
    <n v="61"/>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1"/>
    <x v="13"/>
    <s v="#1774B9"/>
  </r>
  <r>
    <s v="0556"/>
    <n v="300"/>
    <s v="Violencia contra la mujer"/>
    <s v="Mujeres"/>
    <n v="62"/>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2"/>
    <x v="13"/>
    <s v="#1774B9"/>
  </r>
  <r>
    <s v="0557"/>
    <n v="300"/>
    <s v="Violencia contra la mujer"/>
    <s v="Mujeres"/>
    <n v="63"/>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3"/>
    <x v="13"/>
    <s v="#1774B9"/>
  </r>
  <r>
    <s v="0558"/>
    <n v="300"/>
    <s v="Violencia contra la mujer"/>
    <s v="Mujeres"/>
    <n v="64"/>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4"/>
    <x v="13"/>
    <s v="#1774B9"/>
  </r>
  <r>
    <s v="0559"/>
    <n v="300"/>
    <s v="Violencia contra la mujer"/>
    <s v="Mujeres"/>
    <n v="65"/>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5"/>
    <x v="13"/>
    <s v="#1774B9"/>
  </r>
  <r>
    <s v="0560"/>
    <n v="300"/>
    <s v="Violencia contra la mujer"/>
    <s v="Mujeres"/>
    <n v="66"/>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6"/>
    <x v="13"/>
    <s v="#1774B9"/>
  </r>
  <r>
    <s v="0561"/>
    <n v="300"/>
    <s v="Violencia contra la mujer"/>
    <s v="Mujeres"/>
    <n v="67"/>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7"/>
    <x v="13"/>
    <s v="#1774B9"/>
  </r>
  <r>
    <s v="0562"/>
    <n v="300"/>
    <s v="Violencia contra la mujer"/>
    <s v="Mujeres"/>
    <n v="68"/>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8"/>
    <x v="13"/>
    <s v="#1774B9"/>
  </r>
  <r>
    <s v="0563"/>
    <n v="300"/>
    <s v="Violencia contra la mujer"/>
    <s v="Mujeres"/>
    <n v="69"/>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69"/>
    <x v="13"/>
    <s v="#1774B9"/>
  </r>
  <r>
    <s v="0564"/>
    <n v="300"/>
    <s v="Violencia contra la mujer"/>
    <s v="Mujeres"/>
    <n v="70"/>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0"/>
    <x v="13"/>
    <s v="#1774B9"/>
  </r>
  <r>
    <s v="0565"/>
    <n v="300"/>
    <s v="Violencia contra la mujer"/>
    <s v="Mujeres"/>
    <n v="71"/>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1"/>
    <x v="13"/>
    <s v="#1774B9"/>
  </r>
  <r>
    <s v="0566"/>
    <n v="300"/>
    <s v="Violencia contra la mujer"/>
    <s v="Mujeres"/>
    <n v="72"/>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2"/>
    <x v="13"/>
    <s v="#1774B9"/>
  </r>
  <r>
    <s v="0567"/>
    <n v="300"/>
    <s v="Violencia contra la mujer"/>
    <s v="Mujeres"/>
    <n v="73"/>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3"/>
    <x v="13"/>
    <s v="#1774B9"/>
  </r>
  <r>
    <s v="0568"/>
    <n v="300"/>
    <s v="Violencia contra la mujer"/>
    <s v="Mujeres"/>
    <n v="74"/>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4"/>
    <x v="13"/>
    <s v="#1774B9"/>
  </r>
  <r>
    <s v="0569"/>
    <n v="300"/>
    <s v="Violencia contra la mujer"/>
    <s v="Mujeres"/>
    <n v="75"/>
    <x v="9"/>
    <x v="2"/>
    <x v="2"/>
    <x v="77"/>
    <x v="2"/>
    <x v="9"/>
    <s v="Periodo 2013-2019"/>
    <s v="Número de sentencias"/>
    <s v="Poder Judicial"/>
    <s v="Sentencias Dictadas por Delitos Vinculados a la Mujer por Delito en el Juzgado de Garantía de Santiago para el Periodo 2013-2019"/>
    <s v="Gráfico que muestra la evolución anual de la frecuencia de Sentencias Dictadas por Delitos Vinculados a la Mujer por Delito en el Juzgado de Garantía de Santiago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5"/>
    <x v="13"/>
    <s v="#1774B9"/>
  </r>
  <r>
    <s v="0570"/>
    <n v="300"/>
    <s v="Violencia contra la mujer"/>
    <s v="Mujeres"/>
    <n v="76"/>
    <x v="9"/>
    <x v="2"/>
    <x v="2"/>
    <x v="78"/>
    <x v="2"/>
    <x v="9"/>
    <s v="Periodo 2013-2019"/>
    <s v="Número de sentencias"/>
    <s v="Poder Judicial"/>
    <s v="Sentencias Dictadas por Delitos Vinculados a la Mujer por Delito en el Juzgado de Garantía de Los Lagos para el Periodo 2013-2019"/>
    <s v="Gráfico que muestra la evolución anual de la frecuencia de Sentencias Dictadas por Delitos Vinculados a la Mujer por Delito en el Juzgado de Garantía de Los Lago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6"/>
    <x v="14"/>
    <s v="#1774B9"/>
  </r>
  <r>
    <s v="0571"/>
    <n v="300"/>
    <s v="Violencia contra la mujer"/>
    <s v="Mujeres"/>
    <n v="77"/>
    <x v="9"/>
    <x v="2"/>
    <x v="2"/>
    <x v="79"/>
    <x v="2"/>
    <x v="9"/>
    <s v="Periodo 2013-2019"/>
    <s v="Número de sentencias"/>
    <s v="Poder Judicial"/>
    <s v="Sentencias Dictadas por Delitos Vinculados a la Mujer por Delito en el Juzgado de Garantía de Mariquina para el Periodo 2013-2019"/>
    <s v="Gráfico que muestra la evolución anual de la frecuencia de Sentencias Dictadas por Delitos Vinculados a la Mujer por Delito en el Juzgado de Garantía de Mariquin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7"/>
    <x v="14"/>
    <s v="#1774B9"/>
  </r>
  <r>
    <s v="0572"/>
    <n v="300"/>
    <s v="Violencia contra la mujer"/>
    <s v="Mujeres"/>
    <n v="78"/>
    <x v="9"/>
    <x v="2"/>
    <x v="2"/>
    <x v="80"/>
    <x v="2"/>
    <x v="9"/>
    <s v="Periodo 2013-2019"/>
    <s v="Número de sentencias"/>
    <s v="Poder Judicial"/>
    <s v="Sentencias Dictadas por Delitos Vinculados a la Mujer por Delito en el Juzgado de Garantía de Valdivia para el Periodo 2013-2019"/>
    <s v="Gráfico que muestra la evolución anual de la frecuencia de Sentencias Dictadas por Delitos Vinculados a la Mujer por Delito en el Juzgado de Garantía de Valdivi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8"/>
    <x v="14"/>
    <s v="#1774B9"/>
  </r>
  <r>
    <s v="0573"/>
    <n v="300"/>
    <s v="Violencia contra la mujer"/>
    <s v="Mujeres"/>
    <n v="79"/>
    <x v="9"/>
    <x v="2"/>
    <x v="2"/>
    <x v="81"/>
    <x v="2"/>
    <x v="9"/>
    <s v="Periodo 2013-2019"/>
    <s v="Número de sentencias"/>
    <s v="Poder Judicial"/>
    <s v="Sentencias Dictadas por Delitos Vinculados a la Mujer por Delito en el Juzgado de Garantía de Arica para el Periodo 2013-2019"/>
    <s v="Gráfico que muestra la evolución anual de la frecuencia de Sentencias Dictadas por Delitos Vinculados a la Mujer por Delito en el Juzgado de Garantía de Arica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79"/>
    <x v="15"/>
    <s v="#1774B9"/>
  </r>
  <r>
    <s v="0574"/>
    <n v="300"/>
    <s v="Violencia contra la mujer"/>
    <s v="Mujeres"/>
    <n v="80"/>
    <x v="9"/>
    <x v="2"/>
    <x v="2"/>
    <x v="82"/>
    <x v="2"/>
    <x v="9"/>
    <s v="Periodo 2013-2019"/>
    <s v="Número de sentencias"/>
    <s v="Poder Judicial"/>
    <s v="Sentencias Dictadas por Delitos Vinculados a la Mujer por Delito en el Juzgado de Garantía de Chillan para el Periodo 2013-2019"/>
    <s v="Gráfico que muestra la evolución anual de la frecuencia de Sentencias Dictadas por Delitos Vinculados a la Mujer por Delito en el Juzgado de Garantía de Chillan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80"/>
    <x v="16"/>
    <s v="#1774B9"/>
  </r>
  <r>
    <s v="0575"/>
    <n v="300"/>
    <s v="Violencia contra la mujer"/>
    <s v="Mujeres"/>
    <n v="81"/>
    <x v="9"/>
    <x v="2"/>
    <x v="2"/>
    <x v="83"/>
    <x v="2"/>
    <x v="9"/>
    <s v="Periodo 2013-2019"/>
    <s v="Número de sentencias"/>
    <s v="Poder Judicial"/>
    <s v="Sentencias Dictadas por Delitos Vinculados a la Mujer por Delito en el Juzgado de Garantía de San Carlos para el Periodo 2013-2019"/>
    <s v="Gráfico que muestra la evolución anual de la frecuencia de Sentencias Dictadas por Delitos Vinculados a la Mujer por Delito en el Juzgado de Garantía de San Carlos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81"/>
    <x v="16"/>
    <s v="#1774B9"/>
  </r>
  <r>
    <s v="0576"/>
    <n v="300"/>
    <s v="Violencia contra la mujer"/>
    <s v="Mujeres"/>
    <n v="82"/>
    <x v="9"/>
    <x v="2"/>
    <x v="2"/>
    <x v="84"/>
    <x v="2"/>
    <x v="9"/>
    <s v="Periodo 2013-2019"/>
    <s v="Número de sentencias"/>
    <s v="Poder Judicial"/>
    <s v="Sentencias Dictadas por Delitos Vinculados a la Mujer por Delito en el Juzgado de Garantía de Yungay para el Periodo 2013-2019"/>
    <s v="Gráfico que muestra la evolución anual de la frecuencia de Sentencias Dictadas por Delitos Vinculados a la Mujer por Delito en el Juzgado de Garantía de Yungay para el Periodo 2013-2019 de acuerdo a datos provenientes del Poder Judicial de Chile."/>
    <s v="Gráfico de Evolución"/>
    <s v="sociedad delincuencia delitos frecuencia garantía sentencias juzgado secuestro homicidio femicidio abuso tortura maltrato intrafamiliar violación aborto consentimiento consentido mujer violencia"/>
    <s v="https://analytics.zoho.com/open-view/2395394000007158201?ZOHO_CRITERIA=%22Trasposicion_27.16%22.%22Id_Juzgado_Garant%C3%ADa%22%3D82"/>
    <x v="16"/>
    <s v="#1774B9"/>
  </r>
  <r>
    <s v="0577"/>
    <n v="300"/>
    <s v="Violencia contra la mujer"/>
    <s v="Mujeres"/>
    <n v="270103002"/>
    <x v="6"/>
    <x v="2"/>
    <x v="0"/>
    <x v="0"/>
    <x v="2"/>
    <x v="9"/>
    <s v="Periodo 2013-2019"/>
    <s v="Número de sentencias"/>
    <s v="Poder Judicial"/>
    <s v="Sentencias Dictadas por Delitos Vinculados a la Mujer por región para el delito de Femicidio Intimo, durante el Periodo 2013-2019"/>
    <s v="El gráfico muestra la evolución anual de la frecuencia de Sentencias Dictadas por Delitos Vinculados a la Mujer por región para el delito de Femicidio Intimo, durante el Periodo 2013-2019 de acuerdo a datos provenientes del Poder Judicial de Chile."/>
    <s v="Gráfico de Evolución"/>
    <s v="sociedad delincuencia delitos frecuencia sentencias femicidio íntimo mujer violencia regional"/>
    <s v="https://analytics.zoho.com/open-view/2395394000007158239?ZOHO_CRITERIA=%22Trasposicion_27.16%22.%22Id_Categor%C3%ADa%22%3D270103002"/>
    <x v="0"/>
    <s v="#1774B9"/>
  </r>
  <r>
    <s v="0578"/>
    <n v="300"/>
    <s v="Violencia contra la mujer"/>
    <s v="Mujeres"/>
    <n v="270103003"/>
    <x v="6"/>
    <x v="2"/>
    <x v="0"/>
    <x v="0"/>
    <x v="2"/>
    <x v="9"/>
    <s v="Periodo 2013-2019"/>
    <s v="Número de sentencias"/>
    <s v="Poder Judicial"/>
    <s v="Sentencias Dictadas por Delitos Vinculados a la Mujer por región para el delito de Secuestro Con Violación, durante el Periodo 2013-2019"/>
    <s v="El gráfico muestra la evolución anual de la frecuencia de Sentencias Dictadas por Delitos Vinculados a la Mujer por región para el delito de Secuestro Con Violación, durante el Periodo 2013-2019 de acuerdo a datos provenientes del Poder Judicial de Chile."/>
    <s v="Gráfico de Evolución"/>
    <s v="sociedad delincuencia delitos frecuencia sentencias secuestro violación mujer violencia regional"/>
    <s v="https://analytics.zoho.com/open-view/2395394000007158239?ZOHO_CRITERIA=%22Trasposicion_27.16%22.%22Id_Categor%C3%ADa%22%3D270103003"/>
    <x v="0"/>
    <s v="#1774B9"/>
  </r>
  <r>
    <s v="0579"/>
    <n v="300"/>
    <s v="Violencia contra la mujer"/>
    <s v="Mujeres"/>
    <n v="270103004"/>
    <x v="8"/>
    <x v="2"/>
    <x v="0"/>
    <x v="0"/>
    <x v="2"/>
    <x v="9"/>
    <s v="Periodo 2013-2019"/>
    <s v="Número de sentencias"/>
    <s v="Poder Judicial"/>
    <s v="Sentencias Dictadas por Delitos Vinculados a la Mujer por región para el delito de Secuestro Con Homicidio, Violación O Lesiones, durante el Periodo 2013-2019"/>
    <s v="El gráfico muestra la evolución anual de la frecuencia de Sentencias Dictadas por Delitos Vinculados a la Mujer por región para el delito de Secuestro Con Homicidio, Violación O Lesiones, durante el Periodo 2013-2019 de acuerdo a datos provenientes del Poder Judicial de Chile."/>
    <s v="Gráfico de Evolución"/>
    <s v="sociedad delincuencia delitos frecuencia sentencias secuestro homicidio violación lesiones mujer violencia regional"/>
    <s v="https://analytics.zoho.com/open-view/2395394000007158239?ZOHO_CRITERIA=%22Trasposicion_27.16%22.%22Id_Categor%C3%ADa%22%3D270103004"/>
    <x v="0"/>
    <s v="#1774B9"/>
  </r>
  <r>
    <s v="0580"/>
    <n v="300"/>
    <s v="Violencia contra la mujer"/>
    <s v="Mujeres"/>
    <n v="270103005"/>
    <x v="6"/>
    <x v="2"/>
    <x v="0"/>
    <x v="0"/>
    <x v="2"/>
    <x v="9"/>
    <s v="Periodo 2013-2019"/>
    <s v="Número de sentencias"/>
    <s v="Poder Judicial"/>
    <s v="Sentencias Dictadas por Delitos Vinculados a la Mujer por región para el delito de Tortura Con Violación, Abuso Sexual Agravado/Otros, durante el Periodo 2013-2019"/>
    <s v="El gráfico muestra la evolución anual de la frecuencia de Sentencias Dictadas por Delitos Vinculados a la Mujer por región para el delito de Tortura Con Violación, Abuso Sexual Agravado/Otros, durante el Periodo 2013-2019 de acuerdo a datos provenientes del Poder Judicial de Chile."/>
    <s v="Gráfico de Evolución"/>
    <s v="sociedad delincuencia delitos frecuencia sentencias tortura violación abuso sexual mujer violencia regional"/>
    <s v="https://analytics.zoho.com/open-view/2395394000007158239?ZOHO_CRITERIA=%22Trasposicion_27.16%22.%22Id_Categor%C3%ADa%22%3D270103005"/>
    <x v="0"/>
    <s v="#1774B9"/>
  </r>
  <r>
    <s v="0581"/>
    <n v="300"/>
    <s v="Violencia contra la mujer"/>
    <s v="Mujeres"/>
    <n v="270104001"/>
    <x v="7"/>
    <x v="2"/>
    <x v="0"/>
    <x v="0"/>
    <x v="2"/>
    <x v="9"/>
    <s v="Periodo 2013-2019"/>
    <s v="Número de sentencias"/>
    <s v="Poder Judicial"/>
    <s v="Sentencias Dictadas por Delitos Vinculados a la Mujer por región para el delito de Maltrato Habitual (Violencia Intrafamiliar), durante el Periodo 2013-2019"/>
    <s v="El gráfico muestra la evolución anual de la frecuencia de Sentencias Dictadas por Delitos Vinculados a la Mujer por región para el delito de Maltrato Habitual (Violencia Intrafamiliar), durante el Periodo 2013-2019 de acuerdo a datos provenientes del Poder Judicial de Chile."/>
    <s v="Gráfico de Evolución"/>
    <s v="sociedad delincuencia delitos frecuencia sentencias maltrato intrafamiliar mujer violencia regional"/>
    <s v="https://analytics.zoho.com/open-view/2395394000007158239?ZOHO_CRITERIA=%22Trasposicion_27.16%22.%22Id_Categor%C3%ADa%22%3D270104001"/>
    <x v="0"/>
    <s v="#1774B9"/>
  </r>
  <r>
    <s v="0582"/>
    <n v="300"/>
    <s v="Violencia contra la mujer"/>
    <s v="Mujeres"/>
    <n v="270105001"/>
    <x v="8"/>
    <x v="2"/>
    <x v="0"/>
    <x v="0"/>
    <x v="2"/>
    <x v="9"/>
    <s v="Periodo 2013-2019"/>
    <s v="Número de sentencias"/>
    <s v="Poder Judicial"/>
    <s v="Sentencias Dictadas por Delitos Vinculados a la Mujer por región para el delito de Aborto Cometido Por Facultativo Por Causales No Reguladas, durante el Periodo 2013-2019"/>
    <s v="El gráfico muestra la evolución anual de la frecuencia de Sentencias Dictadas por Delitos Vinculados a la Mujer por región para el delito de Aborto Cometido Por Facultativo Por Causales No Reguladas, durante el Periodo 2013-2019 de acuerdo a datos provenientes del Poder Judicial de Chile."/>
    <s v="Gráfico de Evolución"/>
    <s v="sociedad delincuencia delitos frecuencia sentencias aborto causales reguladas mujer violencia regional"/>
    <s v="https://analytics.zoho.com/open-view/2395394000007158239?ZOHO_CRITERIA=%22Trasposicion_27.16%22.%22Id_Categor%C3%ADa%22%3D270105001"/>
    <x v="0"/>
    <s v="#1774B9"/>
  </r>
  <r>
    <s v="0583"/>
    <n v="300"/>
    <s v="Violencia contra la mujer"/>
    <s v="Mujeres"/>
    <n v="270105002"/>
    <x v="8"/>
    <x v="2"/>
    <x v="0"/>
    <x v="0"/>
    <x v="2"/>
    <x v="9"/>
    <s v="Periodo 2013-2019"/>
    <s v="Número de sentencias"/>
    <s v="Poder Judicial"/>
    <s v="Sentencias Dictadas por Delitos Vinculados a la Mujer por región para el delito de Aborto Consentido Causales No Reguladas, durante el Periodo 2013-2019"/>
    <s v="El gráfico muestra la evolución anual de la frecuencia de Sentencias Dictadas por Delitos Vinculados a la Mujer por región para el delito de Aborto Consentido Causales No Reguladas, durante el Periodo 2013-2019 de acuerdo a datos provenientes del Poder Judicial de Chile."/>
    <s v="Gráfico de Evolución"/>
    <s v="sociedad delincuencia delitos frecuencia sentencias aborto causales consentimiento consentido reguladas mujer violencia regional"/>
    <s v="https://analytics.zoho.com/open-view/2395394000007158239?ZOHO_CRITERIA=%22Trasposicion_27.16%22.%22Id_Categor%C3%ADa%22%3D270105002"/>
    <x v="0"/>
    <s v="#1774B9"/>
  </r>
  <r>
    <s v="0584"/>
    <n v="300"/>
    <s v="Violencia contra la mujer"/>
    <s v="Mujeres"/>
    <n v="270105003"/>
    <x v="8"/>
    <x v="2"/>
    <x v="0"/>
    <x v="0"/>
    <x v="2"/>
    <x v="9"/>
    <s v="Periodo 2013-2019"/>
    <s v="Número de sentencias"/>
    <s v="Poder Judicial"/>
    <s v="Sentencias Dictadas por Delitos Vinculados a la Mujer por región para el delito de Aborto Sin Consentimiento, durante el Periodo 2013-2019"/>
    <s v="El gráfico muestra la evolución anual de la frecuencia de Sentencias Dictadas por Delitos Vinculados a la Mujer por región para el delito de Aborto Sin Consentimiento, durante el Periodo 2013-2019 de acuerdo a datos provenientes del Poder Judicial de Chile."/>
    <s v="Gráfico de Evolución"/>
    <s v="sociedad delincuencia delitos frecuencia sentencias aborto consentimiento mujer violencia regional"/>
    <s v="https://analytics.zoho.com/open-view/2395394000007158239?ZOHO_CRITERIA=%22Trasposicion_27.16%22.%22Id_Categor%C3%ADa%22%3D270105003"/>
    <x v="0"/>
    <s v="#1774B9"/>
  </r>
  <r>
    <s v="0585"/>
    <n v="300"/>
    <s v="Violencia contra la mujer"/>
    <s v="Mujeres"/>
    <n v="270103002"/>
    <x v="8"/>
    <x v="2"/>
    <x v="0"/>
    <x v="0"/>
    <x v="2"/>
    <x v="9"/>
    <s v="Periodo 2013-2019"/>
    <s v="Número de sentencias"/>
    <s v="Poder Judicial"/>
    <s v="Sentencias Dictadas por Delitos Vinculados a la Mujer por Juzgado de Garantía para el delito de Femicidio Intimo, durante el Periodo 2013-2019"/>
    <s v="El gráfico muestra la evolución anual de la frecuencia de Sentencias Dictadas por Delitos Vinculados a la Mujer por Juzgado de Garantía para el delito de Femicidio Intimo, durante el Periodo 2013-2019 de acuerdo a datos provenientes del Poder Judicial de Chile."/>
    <s v="Gráfico de Evolución"/>
    <s v="sociedad delincuencia delitos frecuencia sentencias femicidio íntimo mujer violencia regional"/>
    <s v="https://analytics.zoho.com/open-view/2395394000007158281?ZOHO_CRITERIA=%22Trasposicion_27.16%22.%22Id_Categor%C3%ADa%22%3D270103002"/>
    <x v="34"/>
    <s v="#1774B9"/>
  </r>
  <r>
    <s v="0586"/>
    <n v="300"/>
    <s v="Violencia contra la mujer"/>
    <s v="Mujeres"/>
    <n v="270103003"/>
    <x v="6"/>
    <x v="2"/>
    <x v="0"/>
    <x v="0"/>
    <x v="2"/>
    <x v="9"/>
    <s v="Periodo 2013-2019"/>
    <s v="Número de sentencias"/>
    <s v="Poder Judicial"/>
    <s v="Sentencias Dictadas por Delitos Vinculados a la Mujer por Juzgado de Garantía para el delito de Secuestro Con Violación, durante el Periodo 2013-2019"/>
    <s v="El gráfico muestra la evolución anual de la frecuencia de Sentencias Dictadas por Delitos Vinculados a la Mujer por Juzgado de Garantía para el delito de Secuestro Con Violación, durante el Periodo 2013-2019 de acuerdo a datos provenientes del Poder Judicial de Chile."/>
    <s v="Gráfico de Evolución"/>
    <s v="sociedad delincuencia delitos frecuencia sentencias secuestro violación mujer violencia juzgado garantía"/>
    <s v="https://analytics.zoho.com/open-view/2395394000007158281?ZOHO_CRITERIA=%22Trasposicion_27.16%22.%22Id_Categor%C3%ADa%22%3D270103003"/>
    <x v="34"/>
    <s v="#1774B9"/>
  </r>
  <r>
    <s v="0587"/>
    <n v="300"/>
    <s v="Violencia contra la mujer"/>
    <s v="Mujeres"/>
    <n v="270103004"/>
    <x v="6"/>
    <x v="2"/>
    <x v="0"/>
    <x v="0"/>
    <x v="2"/>
    <x v="9"/>
    <s v="Periodo 2013-2019"/>
    <s v="Número de sentencias"/>
    <s v="Poder Judicial"/>
    <s v="Sentencias Dictadas por Delitos Vinculados a la Mujer por Juzgado de Garantía para el delito de Secuestro Con Homicidio, Violación O Lesiones, durante el Periodo 2013-2019"/>
    <s v="El gráfico muestra la evolución anual de la frecuencia de Sentencias Dictadas por Delitos Vinculados a la Mujer por Juzgado de Garantía para el delito de Secuestro Con Homicidio, Violación O Lesiones, durante el Periodo 2013-2019 de acuerdo a datos provenientes del Poder Judicial de Chile."/>
    <s v="Gráfico de Evolución"/>
    <s v="sociedad delincuencia delitos frecuencia sentencias secuestro homicidio violación lesiones mujer violencia juzgado garantía"/>
    <s v="https://analytics.zoho.com/open-view/2395394000007158281?ZOHO_CRITERIA=%22Trasposicion_27.16%22.%22Id_Categor%C3%ADa%22%3D270103004"/>
    <x v="34"/>
    <s v="#1774B9"/>
  </r>
  <r>
    <s v="0588"/>
    <n v="300"/>
    <s v="Violencia contra la mujer"/>
    <s v="Mujeres"/>
    <n v="270103005"/>
    <x v="6"/>
    <x v="2"/>
    <x v="0"/>
    <x v="0"/>
    <x v="2"/>
    <x v="9"/>
    <s v="Periodo 2013-2019"/>
    <s v="Número de sentencias"/>
    <s v="Poder Judicial"/>
    <s v="Sentencias Dictadas por Delitos Vinculados a la Mujer por Juzgado de Garantía para el delito de Tortura Con Violación, Abuso Sexual Agravado/Otros, durante el Periodo 2013-2019"/>
    <s v="El gráfico muestra la evolución anual de la frecuencia de Sentencias Dictadas por Delitos Vinculados a la Mujer por Juzgado de Garantía para el delito de Tortura Con Violación, Abuso Sexual Agravado/Otros, durante el Periodo 2013-2019 de acuerdo a datos provenientes del Poder Judicial de Chile."/>
    <s v="Gráfico de Evolución"/>
    <s v="sociedad delincuencia delitos frecuencia sentencias tortura violación abuso sexual mujer violencia juzgado garantía"/>
    <s v="https://analytics.zoho.com/open-view/2395394000007158281?ZOHO_CRITERIA=%22Trasposicion_27.16%22.%22Id_Categor%C3%ADa%22%3D270103005"/>
    <x v="34"/>
    <s v="#1774B9"/>
  </r>
  <r>
    <s v="0589"/>
    <n v="300"/>
    <s v="Violencia contra la mujer"/>
    <s v="Mujeres"/>
    <n v="270104001"/>
    <x v="7"/>
    <x v="2"/>
    <x v="0"/>
    <x v="0"/>
    <x v="2"/>
    <x v="9"/>
    <s v="Periodo 2013-2019"/>
    <s v="Número de sentencias"/>
    <s v="Poder Judicial"/>
    <s v="Sentencias Dictadas por Delitos Vinculados a la Mujer por Juzgado de Garantía para el delito de Maltrato Habitual (Violencia Intrafamiliar), durante el Periodo 2013-2019"/>
    <s v="El gráfico muestra la evolución anual de la frecuencia de Sentencias Dictadas por Delitos Vinculados a la Mujer por Juzgado de Garantía para el delito de Maltrato Habitual (Violencia Intrafamiliar), durante el Periodo 2013-2019 de acuerdo a datos provenientes del Poder Judicial de Chile."/>
    <s v="Gráfico de Evolución"/>
    <s v="sociedad delincuencia delitos frecuencia sentencias maltrato intrafamiliar mujer violencia juzgado garantía"/>
    <s v="https://analytics.zoho.com/open-view/2395394000007158281?ZOHO_CRITERIA=%22Trasposicion_27.16%22.%22Id_Categor%C3%ADa%22%3D270104001"/>
    <x v="34"/>
    <s v="#1774B9"/>
  </r>
  <r>
    <s v="0590"/>
    <n v="300"/>
    <s v="Violencia contra la mujer"/>
    <s v="Mujeres"/>
    <n v="270105001"/>
    <x v="8"/>
    <x v="2"/>
    <x v="0"/>
    <x v="0"/>
    <x v="2"/>
    <x v="9"/>
    <s v="Periodo 2013-2019"/>
    <s v="Número de sentencias"/>
    <s v="Poder Judicial"/>
    <s v="Sentencias Dictadas por Delitos Vinculados a la Mujer por Juzgado de Garantía para el delito de Aborto Cometido Por Facultativo Por Causales No Reguladas, durante el Periodo 2013-2019"/>
    <s v="El gráfico muestra la evolución anual de la frecuencia de Sentencias Dictadas por Delitos Vinculados a la Mujer por Juzgado de Garantía para el delito de Aborto Cometido Por Facultativo Por Causales No Reguladas, durante el Periodo 2013-2019 de acuerdo a datos provenientes del Poder Judicial de Chile."/>
    <s v="Gráfico de Evolución"/>
    <s v="sociedad delincuencia delitos frecuencia sentencias aborto causales reguladas mujer violencia juzgado garantía"/>
    <s v="https://analytics.zoho.com/open-view/2395394000007158281?ZOHO_CRITERIA=%22Trasposicion_27.16%22.%22Id_Categor%C3%ADa%22%3D270105001"/>
    <x v="34"/>
    <s v="#1774B9"/>
  </r>
  <r>
    <s v="0591"/>
    <n v="300"/>
    <s v="Violencia contra la mujer"/>
    <s v="Mujeres"/>
    <n v="270105002"/>
    <x v="8"/>
    <x v="2"/>
    <x v="0"/>
    <x v="0"/>
    <x v="2"/>
    <x v="9"/>
    <s v="Periodo 2013-2019"/>
    <s v="Número de sentencias"/>
    <s v="Poder Judicial"/>
    <s v="Sentencias Dictadas por Delitos Vinculados a la Mujer por Juzgado de Garantía para el delito de Aborto Consentido Causales No Reguladas, durante el Periodo 2013-2019"/>
    <s v="El gráfico muestra la evolución anual de la frecuencia de Sentencias Dictadas por Delitos Vinculados a la Mujer por Juzgado de Garantía para el delito de Aborto Consentido Causales No Reguladas, durante el Periodo 2013-2019 de acuerdo a datos provenientes del Poder Judicial de Chile."/>
    <s v="Gráfico de Evolución"/>
    <s v="sociedad delincuencia delitos frecuencia sentencias aborto causales consentimiento consentido reguladas mujer violencia juzgado garantía"/>
    <s v="https://analytics.zoho.com/open-view/2395394000007158281?ZOHO_CRITERIA=%22Trasposicion_27.16%22.%22Id_Categor%C3%ADa%22%3D270105002"/>
    <x v="34"/>
    <s v="#1774B9"/>
  </r>
  <r>
    <s v="0592"/>
    <n v="300"/>
    <s v="Violencia contra la mujer"/>
    <s v="Mujeres"/>
    <n v="270105003"/>
    <x v="8"/>
    <x v="2"/>
    <x v="0"/>
    <x v="0"/>
    <x v="2"/>
    <x v="9"/>
    <s v="Periodo 2013-2019"/>
    <s v="Número de sentencias"/>
    <s v="Poder Judicial"/>
    <s v="Sentencias Dictadas por Delitos Vinculados a la Mujer por Juzgado de Garantía para el delito de Aborto Sin Consentimiento, durante el Periodo 2013-2019"/>
    <s v="El gráfico muestra la evolución anual de la frecuencia de Sentencias Dictadas por Delitos Vinculados a la Mujer por Juzgado de Garantía para el delito de Aborto Sin Consentimiento, durante el Periodo 2013-2019 de acuerdo a datos provenientes del Poder Judicial de Chile."/>
    <s v="Gráfico de Evolución"/>
    <s v="sociedad delincuencia delitos frecuencia sentencias aborto consentimiento mujer violencia juzgado garantía"/>
    <s v="https://analytics.zoho.com/open-view/2395394000007158281?ZOHO_CRITERIA=%22Trasposicion_27.16%22.%22Id_Categor%C3%ADa%22%3D270105003"/>
    <x v="34"/>
    <s v="#1774B9"/>
  </r>
  <r>
    <s v="0593"/>
    <n v="300"/>
    <s v="Violencia contra la mujer"/>
    <s v="Mujeres"/>
    <n v="1"/>
    <x v="9"/>
    <x v="2"/>
    <x v="1"/>
    <x v="1"/>
    <x v="2"/>
    <x v="10"/>
    <s v="Periodo 2013-2019"/>
    <s v="Porcentaje"/>
    <s v="Poder Judicial"/>
    <s v="Variación Trimestral de Sentencias Dictadas (%) en la Región de Tarapacá por Tipo de Delito, durante el Periodo 2013-2019"/>
    <s v="El gráfico muestra la tendencia de la Variación Trimestral de Sentencias Dictadas (%) en la Región de Tarapacá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tarapacá"/>
    <s v="https://analytics.zoho.com/open-view/2395394000007158319?ZOHO_CRITERIA=%22Localiza%20CL%22.%22Codreg%22%3D1"/>
    <x v="17"/>
    <s v="#1774B9"/>
  </r>
  <r>
    <s v="0594"/>
    <n v="300"/>
    <s v="Violencia contra la mujer"/>
    <s v="Mujeres"/>
    <n v="2"/>
    <x v="9"/>
    <x v="2"/>
    <x v="1"/>
    <x v="2"/>
    <x v="2"/>
    <x v="10"/>
    <s v="Periodo 2013-2019"/>
    <s v="Porcentaje"/>
    <s v="Poder Judicial"/>
    <s v="Variación Trimestral de Sentencias Dictadas (%) en la Región de Antofagasta por Tipo de Delito, durante el Periodo 2013-2019"/>
    <s v="El gráfico muestra la tendencia de la Variación Trimestral de Sentencias Dictadas (%) en la Región de Antofagast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ntofagasta"/>
    <s v="https://analytics.zoho.com/open-view/2395394000007158319?ZOHO_CRITERIA=%22Localiza%20CL%22.%22Codreg%22%3D2"/>
    <x v="18"/>
    <s v="#1774B9"/>
  </r>
  <r>
    <s v="0595"/>
    <n v="300"/>
    <s v="Violencia contra la mujer"/>
    <s v="Mujeres"/>
    <n v="3"/>
    <x v="9"/>
    <x v="2"/>
    <x v="1"/>
    <x v="3"/>
    <x v="2"/>
    <x v="10"/>
    <s v="Periodo 2013-2019"/>
    <s v="Porcentaje"/>
    <s v="Poder Judicial"/>
    <s v="Variación Trimestral de Sentencias Dictadas (%) en la Región de Atacama por Tipo de Delito, durante el Periodo 2013-2019"/>
    <s v="El gráfico muestra la tendencia de la Variación Trimestral de Sentencias Dictadas (%) en la Región de Atacam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tacama"/>
    <s v="https://analytics.zoho.com/open-view/2395394000007158319?ZOHO_CRITERIA=%22Localiza%20CL%22.%22Codreg%22%3D3"/>
    <x v="19"/>
    <s v="#1774B9"/>
  </r>
  <r>
    <s v="0596"/>
    <n v="300"/>
    <s v="Violencia contra la mujer"/>
    <s v="Mujeres"/>
    <n v="4"/>
    <x v="9"/>
    <x v="2"/>
    <x v="1"/>
    <x v="4"/>
    <x v="2"/>
    <x v="10"/>
    <s v="Periodo 2013-2019"/>
    <s v="Porcentaje"/>
    <s v="Poder Judicial"/>
    <s v="Variación Trimestral de Sentencias Dictadas (%) en la Región de Coquimbo por Tipo de Delito, durante el Periodo 2013-2019"/>
    <s v="El gráfico muestra la tendencia de la Variación Trimestral de Sentencias Dictadas (%) en la Región de Coquimb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coquimbo"/>
    <s v="https://analytics.zoho.com/open-view/2395394000007158319?ZOHO_CRITERIA=%22Localiza%20CL%22.%22Codreg%22%3D4"/>
    <x v="20"/>
    <s v="#1774B9"/>
  </r>
  <r>
    <s v="0597"/>
    <n v="300"/>
    <s v="Violencia contra la mujer"/>
    <s v="Mujeres"/>
    <n v="5"/>
    <x v="9"/>
    <x v="2"/>
    <x v="1"/>
    <x v="5"/>
    <x v="2"/>
    <x v="10"/>
    <s v="Periodo 2013-2019"/>
    <s v="Porcentaje"/>
    <s v="Poder Judicial"/>
    <s v="Variación Trimestral de Sentencias Dictadas (%) en la Región de Valparaíso por Tipo de Delito, durante el Periodo 2013-2019"/>
    <s v="El gráfico muestra la tendencia de la Variación Trimestral de Sentencias Dictadas (%) en la Región de Valparaís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valparaíso"/>
    <s v="https://analytics.zoho.com/open-view/2395394000007158319?ZOHO_CRITERIA=%22Localiza%20CL%22.%22Codreg%22%3D5"/>
    <x v="21"/>
    <s v="#1774B9"/>
  </r>
  <r>
    <s v="0598"/>
    <n v="300"/>
    <s v="Violencia contra la mujer"/>
    <s v="Mujeres"/>
    <n v="6"/>
    <x v="9"/>
    <x v="2"/>
    <x v="1"/>
    <x v="6"/>
    <x v="2"/>
    <x v="10"/>
    <s v="Periodo 2013-2019"/>
    <s v="Porcentaje"/>
    <s v="Poder Judicial"/>
    <s v="Variación Trimestral de Sentencias Dictadas (%) en la Región de O'Higgins por Tipo de Delito, durante el Periodo 2013-2019"/>
    <s v="El gráfico muestra la tendencia de la Variación Trimestral de Sentencias Dictadas (%) en la Región de O'Higgin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ohiggins"/>
    <s v="https://analytics.zoho.com/open-view/2395394000007158319?ZOHO_CRITERIA=%22Localiza%20CL%22.%22Codreg%22%3D6"/>
    <x v="22"/>
    <s v="#1774B9"/>
  </r>
  <r>
    <s v="0599"/>
    <n v="300"/>
    <s v="Violencia contra la mujer"/>
    <s v="Mujeres"/>
    <n v="7"/>
    <x v="9"/>
    <x v="2"/>
    <x v="1"/>
    <x v="7"/>
    <x v="2"/>
    <x v="10"/>
    <s v="Periodo 2013-2019"/>
    <s v="Porcentaje"/>
    <s v="Poder Judicial"/>
    <s v="Variación Trimestral de Sentencias Dictadas (%) en la Región de Maule por Tipo de Delito, durante el Periodo 2013-2019"/>
    <s v="El gráfico muestra la tendencia de la Variación Trimestral de Sentencias Dictadas (%) en la Región de Maule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ule"/>
    <s v="https://analytics.zoho.com/open-view/2395394000007158319?ZOHO_CRITERIA=%22Localiza%20CL%22.%22Codreg%22%3D7"/>
    <x v="23"/>
    <s v="#1774B9"/>
  </r>
  <r>
    <s v="0600"/>
    <n v="300"/>
    <s v="Violencia contra la mujer"/>
    <s v="Mujeres"/>
    <n v="8"/>
    <x v="9"/>
    <x v="2"/>
    <x v="1"/>
    <x v="8"/>
    <x v="2"/>
    <x v="10"/>
    <s v="Periodo 2013-2019"/>
    <s v="Porcentaje"/>
    <s v="Poder Judicial"/>
    <s v="Variación Trimestral de Sentencias Dictadas (%) en la Región del Biobío por Tipo de Delito, durante el Periodo 2013-2019"/>
    <s v="El gráfico muestra la tendencia de la Variación Trimestral de Sentencias Dictadas (%) en la Región del Biobío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biobío"/>
    <s v="https://analytics.zoho.com/open-view/2395394000007158319?ZOHO_CRITERIA=%22Localiza%20CL%22.%22Codreg%22%3D8"/>
    <x v="24"/>
    <s v="#1774B9"/>
  </r>
  <r>
    <s v="0601"/>
    <n v="300"/>
    <s v="Violencia contra la mujer"/>
    <s v="Mujeres"/>
    <n v="9"/>
    <x v="9"/>
    <x v="2"/>
    <x v="1"/>
    <x v="9"/>
    <x v="2"/>
    <x v="10"/>
    <s v="Periodo 2013-2019"/>
    <s v="Porcentaje"/>
    <s v="Poder Judicial"/>
    <s v="Variación Trimestral de Sentencias Dictadas (%) en la Región de La Araucanía por Tipo de Delito, durante el Periodo 2013-2019"/>
    <s v="El gráfico muestra la tendencia de la Variación Trimestral de Sentencias Dictadas (%) en la Región de La Araucaní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aucanía"/>
    <s v="https://analytics.zoho.com/open-view/2395394000007158319?ZOHO_CRITERIA=%22Localiza%20CL%22.%22Codreg%22%3D9"/>
    <x v="25"/>
    <s v="#1774B9"/>
  </r>
  <r>
    <s v="0602"/>
    <n v="300"/>
    <s v="Violencia contra la mujer"/>
    <s v="Mujeres"/>
    <n v="10"/>
    <x v="9"/>
    <x v="2"/>
    <x v="1"/>
    <x v="10"/>
    <x v="2"/>
    <x v="10"/>
    <s v="Periodo 2013-2019"/>
    <s v="Porcentaje"/>
    <s v="Poder Judicial"/>
    <s v="Variación Trimestral de Sentencias Dictadas (%) en la Región de Los Lagos por Tipo de Delito, durante el Periodo 2013-2019"/>
    <s v="El gráfico muestra la tendencia de la Variación Trimestral de Sentencias Dictadas (%) en la Región de Los Lago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lagos"/>
    <s v="https://analytics.zoho.com/open-view/2395394000007158319?ZOHO_CRITERIA=%22Localiza%20CL%22.%22Codreg%22%3D10"/>
    <x v="26"/>
    <s v="#1774B9"/>
  </r>
  <r>
    <s v="0603"/>
    <n v="300"/>
    <s v="Violencia contra la mujer"/>
    <s v="Mujeres"/>
    <n v="11"/>
    <x v="9"/>
    <x v="2"/>
    <x v="1"/>
    <x v="11"/>
    <x v="2"/>
    <x v="10"/>
    <s v="Periodo 2013-2019"/>
    <s v="Porcentaje"/>
    <s v="Poder Judicial"/>
    <s v="Variación Trimestral de Sentencias Dictadas (%) en la Región de Aysén por Tipo de Delito, durante el Periodo 2013-2019"/>
    <s v="El gráfico muestra la tendencia de la Variación Trimestral de Sentencias Dictadas (%) en la Región de Aysén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ysén"/>
    <s v="https://analytics.zoho.com/open-view/2395394000007158319?ZOHO_CRITERIA=%22Localiza%20CL%22.%22Codreg%22%3D11"/>
    <x v="27"/>
    <s v="#1774B9"/>
  </r>
  <r>
    <s v="0604"/>
    <n v="300"/>
    <s v="Violencia contra la mujer"/>
    <s v="Mujeres"/>
    <n v="12"/>
    <x v="9"/>
    <x v="2"/>
    <x v="1"/>
    <x v="12"/>
    <x v="2"/>
    <x v="10"/>
    <s v="Periodo 2013-2019"/>
    <s v="Porcentaje"/>
    <s v="Poder Judicial"/>
    <s v="Variación Trimestral de Sentencias Dictadas (%) en la Región de Magallanes por Tipo de Delito, durante el Periodo 2013-2019"/>
    <s v="El gráfico muestra la tendencia de la Variación Trimestral de Sentencias Dictadas (%) en la Región de Magallane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agallanes"/>
    <s v="https://analytics.zoho.com/open-view/2395394000007158319?ZOHO_CRITERIA=%22Localiza%20CL%22.%22Codreg%22%3D12"/>
    <x v="28"/>
    <s v="#1774B9"/>
  </r>
  <r>
    <s v="0605"/>
    <n v="300"/>
    <s v="Violencia contra la mujer"/>
    <s v="Mujeres"/>
    <n v="13"/>
    <x v="9"/>
    <x v="2"/>
    <x v="1"/>
    <x v="13"/>
    <x v="2"/>
    <x v="10"/>
    <s v="Periodo 2013-2019"/>
    <s v="Porcentaje"/>
    <s v="Poder Judicial"/>
    <s v="Variación Trimestral de Sentencias Dictadas (%) en la Región Metropolitana por Tipo de Delito, durante el Periodo 2013-2019"/>
    <s v="El gráfico muestra la tendencia de la Variación Trimestral de Sentencias Dictadas (%) en la Región Metropolitan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metropolitana"/>
    <s v="https://analytics.zoho.com/open-view/2395394000007158319?ZOHO_CRITERIA=%22Localiza%20CL%22.%22Codreg%22%3D13"/>
    <x v="29"/>
    <s v="#1774B9"/>
  </r>
  <r>
    <s v="0606"/>
    <n v="300"/>
    <s v="Violencia contra la mujer"/>
    <s v="Mujeres"/>
    <n v="14"/>
    <x v="9"/>
    <x v="2"/>
    <x v="1"/>
    <x v="14"/>
    <x v="2"/>
    <x v="10"/>
    <s v="Periodo 2013-2019"/>
    <s v="Porcentaje"/>
    <s v="Poder Judicial"/>
    <s v="Variación Trimestral de Sentencias Dictadas (%) en la Región de Los Ríos por Tipo de Delito, durante el Periodo 2013-2019"/>
    <s v="El gráfico muestra la tendencia de la Variación Trimestral de Sentencias Dictadas (%) en la Región de Los Ríos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los ríos"/>
    <s v="https://analytics.zoho.com/open-view/2395394000007158319?ZOHO_CRITERIA=%22Localiza%20CL%22.%22Codreg%22%3D14"/>
    <x v="30"/>
    <s v="#1774B9"/>
  </r>
  <r>
    <s v="0607"/>
    <n v="300"/>
    <s v="Violencia contra la mujer"/>
    <s v="Mujeres"/>
    <n v="15"/>
    <x v="9"/>
    <x v="2"/>
    <x v="1"/>
    <x v="15"/>
    <x v="2"/>
    <x v="10"/>
    <s v="Periodo 2013-2019"/>
    <s v="Porcentaje"/>
    <s v="Poder Judicial"/>
    <s v="Variación Trimestral de Sentencias Dictadas (%) en la Región de Arica y Parinacota por Tipo de Delito, durante el Periodo 2013-2019"/>
    <s v="El gráfico muestra la tendencia de la Variación Trimestral de Sentencias Dictadas (%) en la Región de Arica y Parinacota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arica parinacota"/>
    <s v="https://analytics.zoho.com/open-view/2395394000007158319?ZOHO_CRITERIA=%22Localiza%20CL%22.%22Codreg%22%3D15"/>
    <x v="31"/>
    <s v="#1774B9"/>
  </r>
  <r>
    <s v="0608"/>
    <n v="300"/>
    <s v="Violencia contra la mujer"/>
    <s v="Mujeres"/>
    <n v="16"/>
    <x v="9"/>
    <x v="2"/>
    <x v="1"/>
    <x v="16"/>
    <x v="2"/>
    <x v="10"/>
    <s v="Periodo 2013-2019"/>
    <s v="Porcentaje"/>
    <s v="Poder Judicial"/>
    <s v="Variación Trimestral de Sentencias Dictadas (%) en la Región de Ñuble por Tipo de Delito, durante el Periodo 2013-2019"/>
    <s v="El gráfico muestra la tendencia de la Variación Trimestral de Sentencias Dictadas (%) en la Región de Ñuble por Tipo de Delito, durante el Periodo 2013-2019 de acuerdo a datos provenientes del Poder Judicial de Chile. Se distinguen 3 tipos de delitos, que son: Delitos Violentos (femicidio, secuestro y tortura), Delitos Contra el Estado Civil y la Familia (violencia intrafamiliar) y Delitos Contra la Vida, Integridad o Dignidad Personal (aborto)."/>
    <s v="Gráfico de Evolución"/>
    <s v="sociedad delincuencia delitos frecuencia sentencias contra vida dignidad integridad violentos familia estado civil mujer violencia ñuble"/>
    <s v="https://analytics.zoho.com/open-view/2395394000007158319?ZOHO_CRITERIA=%22Localiza%20CL%22.%22Codreg%22%3D16"/>
    <x v="32"/>
    <s v="#1774B9"/>
  </r>
  <r>
    <s v="0609"/>
    <n v="300"/>
    <s v="Violencia contra la mujer"/>
    <s v="Mujeres"/>
    <n v="1"/>
    <x v="9"/>
    <x v="2"/>
    <x v="1"/>
    <x v="1"/>
    <x v="2"/>
    <x v="10"/>
    <s v="Periodo 2013-2019"/>
    <s v="Porcentaje"/>
    <s v="Poder Judicial"/>
    <s v="Variación Trimestral de Sentencias Dictadas (%) en la Región de Tarapacá por Delito, durante el Periodo 2013-2019"/>
    <s v="El gráfico muestra la tendencia de la Variación Trimestral de Sentencias Dictadas (%) en la Región de Tarapacá por Delito, durante el Periodo 2013-2019 de acuerdo a datos provenientes del Poder Judicial de Chile."/>
    <s v="Gráfico de Evolución"/>
    <s v="sociedad delincuencia delitos frecuencia sentencias juzgado garantía mujer violencia tarapacá"/>
    <s v="https://analytics.zoho.com/open-view/2395394000007158366?ZOHO_CRITERIA=%22Localiza%20CL%22.%22Codreg%22%3D1"/>
    <x v="17"/>
    <s v="#1774B9"/>
  </r>
  <r>
    <s v="0610"/>
    <n v="300"/>
    <s v="Violencia contra la mujer"/>
    <s v="Mujeres"/>
    <n v="2"/>
    <x v="9"/>
    <x v="2"/>
    <x v="1"/>
    <x v="2"/>
    <x v="2"/>
    <x v="10"/>
    <s v="Periodo 2013-2019"/>
    <s v="Porcentaje"/>
    <s v="Poder Judicial"/>
    <s v="Variación Trimestral de Sentencias Dictadas (%) en la Región de Antofagasta por Delito, durante el Periodo 2013-2019"/>
    <s v="El gráfico muestra la tendencia de la Variación Trimestral de Sentencias Dictadas (%) en la Región de Antofagasta por Delito, durante el Periodo 2013-2019 de acuerdo a datos provenientes del Poder Judicial de Chile."/>
    <s v="Gráfico de Evolución"/>
    <s v="sociedad delincuencia delitos frecuencia sentencias juzgado garantía mujer violencia antofagasta"/>
    <s v="https://analytics.zoho.com/open-view/2395394000007158366?ZOHO_CRITERIA=%22Localiza%20CL%22.%22Codreg%22%3D2"/>
    <x v="18"/>
    <s v="#1774B9"/>
  </r>
  <r>
    <s v="0611"/>
    <n v="300"/>
    <s v="Violencia contra la mujer"/>
    <s v="Mujeres"/>
    <n v="3"/>
    <x v="9"/>
    <x v="2"/>
    <x v="1"/>
    <x v="3"/>
    <x v="2"/>
    <x v="10"/>
    <s v="Periodo 2013-2019"/>
    <s v="Porcentaje"/>
    <s v="Poder Judicial"/>
    <s v="Variación Trimestral de Sentencias Dictadas (%) en la Región de Atacama por Delito, durante el Periodo 2013-2019"/>
    <s v="El gráfico muestra la tendencia de la Variación Trimestral de Sentencias Dictadas (%) en la Región de Atacama por Delito, durante el Periodo 2013-2019 de acuerdo a datos provenientes del Poder Judicial de Chile."/>
    <s v="Gráfico de Evolución"/>
    <s v="sociedad delincuencia delitos frecuencia sentencias juzgado garantía mujer violencia atacama"/>
    <s v="https://analytics.zoho.com/open-view/2395394000007158366?ZOHO_CRITERIA=%22Localiza%20CL%22.%22Codreg%22%3D3"/>
    <x v="19"/>
    <s v="#1774B9"/>
  </r>
  <r>
    <s v="0612"/>
    <n v="300"/>
    <s v="Violencia contra la mujer"/>
    <s v="Mujeres"/>
    <n v="4"/>
    <x v="9"/>
    <x v="2"/>
    <x v="1"/>
    <x v="4"/>
    <x v="2"/>
    <x v="10"/>
    <s v="Periodo 2013-2019"/>
    <s v="Porcentaje"/>
    <s v="Poder Judicial"/>
    <s v="Variación Trimestral de Sentencias Dictadas (%) en la Región de Coquimbo por Delito, durante el Periodo 2013-2019"/>
    <s v="El gráfico muestra la tendencia de la Variación Trimestral de Sentencias Dictadas (%) en la Región de Coquimbo por Delito, durante el Periodo 2013-2019 de acuerdo a datos provenientes del Poder Judicial de Chile."/>
    <s v="Gráfico de Evolución"/>
    <s v="sociedad delincuencia delitos frecuencia sentencias juzgado garantía mujer violencia coquimbo"/>
    <s v="https://analytics.zoho.com/open-view/2395394000007158366?ZOHO_CRITERIA=%22Localiza%20CL%22.%22Codreg%22%3D4"/>
    <x v="20"/>
    <s v="#1774B9"/>
  </r>
  <r>
    <s v="0613"/>
    <n v="300"/>
    <s v="Violencia contra la mujer"/>
    <s v="Mujeres"/>
    <n v="5"/>
    <x v="9"/>
    <x v="2"/>
    <x v="1"/>
    <x v="5"/>
    <x v="2"/>
    <x v="10"/>
    <s v="Periodo 2013-2019"/>
    <s v="Porcentaje"/>
    <s v="Poder Judicial"/>
    <s v="Variación Trimestral de Sentencias Dictadas (%) en la Región de Valparaíso por Delito, durante el Periodo 2013-2019"/>
    <s v="El gráfico muestra la tendencia de la Variación Trimestral de Sentencias Dictadas (%) en la Región de Valparaíso por Delito, durante el Periodo 2013-2019 de acuerdo a datos provenientes del Poder Judicial de Chile."/>
    <s v="Gráfico de Evolución"/>
    <s v="sociedad delincuencia delitos frecuencia sentencias juzgado garantía mujer violencia valparaíso"/>
    <s v="https://analytics.zoho.com/open-view/2395394000007158366?ZOHO_CRITERIA=%22Localiza%20CL%22.%22Codreg%22%3D5"/>
    <x v="21"/>
    <s v="#1774B9"/>
  </r>
  <r>
    <s v="0614"/>
    <n v="300"/>
    <s v="Violencia contra la mujer"/>
    <s v="Mujeres"/>
    <n v="6"/>
    <x v="9"/>
    <x v="2"/>
    <x v="1"/>
    <x v="6"/>
    <x v="2"/>
    <x v="10"/>
    <s v="Periodo 2013-2019"/>
    <s v="Porcentaje"/>
    <s v="Poder Judicial"/>
    <s v="Variación Trimestral de Sentencias Dictadas (%) en la Región de O'Higgins por Delito, durante el Periodo 2013-2019"/>
    <s v="El gráfico muestra la tendencia de la Variación Trimestral de Sentencias Dictadas (%) en la Región de O'Higgins por Delito, durante el Periodo 2013-2019 de acuerdo a datos provenientes del Poder Judicial de Chile."/>
    <s v="Gráfico de Evolución"/>
    <s v="sociedad delincuencia delitos frecuencia sentencias juzgado garantía mujer violencia ohiggins"/>
    <s v="https://analytics.zoho.com/open-view/2395394000007158366?ZOHO_CRITERIA=%22Localiza%20CL%22.%22Codreg%22%3D6"/>
    <x v="22"/>
    <s v="#1774B9"/>
  </r>
  <r>
    <s v="0615"/>
    <n v="300"/>
    <s v="Violencia contra la mujer"/>
    <s v="Mujeres"/>
    <n v="7"/>
    <x v="9"/>
    <x v="2"/>
    <x v="1"/>
    <x v="7"/>
    <x v="2"/>
    <x v="10"/>
    <s v="Periodo 2013-2019"/>
    <s v="Porcentaje"/>
    <s v="Poder Judicial"/>
    <s v="Variación Trimestral de Sentencias Dictadas (%) en la Región de Maule por Delito, durante el Periodo 2013-2019"/>
    <s v="El gráfico muestra la tendencia de la Variación Trimestral de Sentencias Dictadas (%) en la Región de Maule por Delito, durante el Periodo 2013-2019 de acuerdo a datos provenientes del Poder Judicial de Chile."/>
    <s v="Gráfico de Evolución"/>
    <s v="sociedad delincuencia delitos frecuencia sentencias juzgado garantía mujer violencia maule"/>
    <s v="https://analytics.zoho.com/open-view/2395394000007158366?ZOHO_CRITERIA=%22Localiza%20CL%22.%22Codreg%22%3D7"/>
    <x v="23"/>
    <s v="#1774B9"/>
  </r>
  <r>
    <s v="0616"/>
    <n v="300"/>
    <s v="Violencia contra la mujer"/>
    <s v="Mujeres"/>
    <n v="8"/>
    <x v="9"/>
    <x v="2"/>
    <x v="1"/>
    <x v="8"/>
    <x v="2"/>
    <x v="10"/>
    <s v="Periodo 2013-2019"/>
    <s v="Porcentaje"/>
    <s v="Poder Judicial"/>
    <s v="Variación Trimestral de Sentencias Dictadas (%) en la Región del Biobío por Delito, durante el Periodo 2013-2019"/>
    <s v="El gráfico muestra la tendencia de la Variación Trimestral de Sentencias Dictadas (%) en la Región del Biobío por Delito, durante el Periodo 2013-2019 de acuerdo a datos provenientes del Poder Judicial de Chile."/>
    <s v="Gráfico de Evolución"/>
    <s v="sociedad delincuencia delitos frecuencia sentencias juzgado garantía mujer violencia biobío"/>
    <s v="https://analytics.zoho.com/open-view/2395394000007158366?ZOHO_CRITERIA=%22Localiza%20CL%22.%22Codreg%22%3D8"/>
    <x v="24"/>
    <s v="#1774B9"/>
  </r>
  <r>
    <s v="0617"/>
    <n v="300"/>
    <s v="Violencia contra la mujer"/>
    <s v="Mujeres"/>
    <n v="9"/>
    <x v="9"/>
    <x v="2"/>
    <x v="1"/>
    <x v="9"/>
    <x v="2"/>
    <x v="10"/>
    <s v="Periodo 2013-2019"/>
    <s v="Porcentaje"/>
    <s v="Poder Judicial"/>
    <s v="Variación Trimestral de Sentencias Dictadas (%) en la Región de La Araucanía por Delito, durante el Periodo 2013-2019"/>
    <s v="El gráfico muestra la tendencia de la Variación Trimestral de Sentencias Dictadas (%) en la Región de La Araucanía por Delito, durante el Periodo 2013-2019 de acuerdo a datos provenientes del Poder Judicial de Chile."/>
    <s v="Gráfico de Evolución"/>
    <s v="sociedad delincuencia delitos frecuencia sentencias juzgado garantía mujer violencia araucanía"/>
    <s v="https://analytics.zoho.com/open-view/2395394000007158366?ZOHO_CRITERIA=%22Localiza%20CL%22.%22Codreg%22%3D9"/>
    <x v="25"/>
    <s v="#1774B9"/>
  </r>
  <r>
    <s v="0618"/>
    <n v="300"/>
    <s v="Violencia contra la mujer"/>
    <s v="Mujeres"/>
    <n v="10"/>
    <x v="9"/>
    <x v="2"/>
    <x v="1"/>
    <x v="10"/>
    <x v="2"/>
    <x v="10"/>
    <s v="Periodo 2013-2019"/>
    <s v="Porcentaje"/>
    <s v="Poder Judicial"/>
    <s v="Variación Trimestral de Sentencias Dictadas (%) en la Región de Los Lagos por Delito, durante el Periodo 2013-2019"/>
    <s v="El gráfico muestra la tendencia de la Variación Trimestral de Sentencias Dictadas (%) en la Región de Los Lagos por Delito, durante el Periodo 2013-2019 de acuerdo a datos provenientes del Poder Judicial de Chile."/>
    <s v="Gráfico de Evolución"/>
    <s v="sociedad delincuencia delitos frecuencia sentencias juzgado garantía mujer violencia los lagos"/>
    <s v="https://analytics.zoho.com/open-view/2395394000007158366?ZOHO_CRITERIA=%22Localiza%20CL%22.%22Codreg%22%3D10"/>
    <x v="26"/>
    <s v="#1774B9"/>
  </r>
  <r>
    <s v="0619"/>
    <n v="300"/>
    <s v="Violencia contra la mujer"/>
    <s v="Mujeres"/>
    <n v="11"/>
    <x v="9"/>
    <x v="2"/>
    <x v="1"/>
    <x v="11"/>
    <x v="2"/>
    <x v="10"/>
    <s v="Periodo 2013-2019"/>
    <s v="Porcentaje"/>
    <s v="Poder Judicial"/>
    <s v="Variación Trimestral de Sentencias Dictadas (%) en la Región de Aysén por Delito, durante el Periodo 2013-2019"/>
    <s v="El gráfico muestra la tendencia de la Variación Trimestral de Sentencias Dictadas (%) en la Región de Aysén por Delito, durante el Periodo 2013-2019 de acuerdo a datos provenientes del Poder Judicial de Chile."/>
    <s v="Gráfico de Evolución"/>
    <s v="sociedad delincuencia delitos frecuencia sentencias juzgado garantía mujer violencia aysén"/>
    <s v="https://analytics.zoho.com/open-view/2395394000007158366?ZOHO_CRITERIA=%22Localiza%20CL%22.%22Codreg%22%3D11"/>
    <x v="27"/>
    <s v="#1774B9"/>
  </r>
  <r>
    <s v="0620"/>
    <n v="300"/>
    <s v="Violencia contra la mujer"/>
    <s v="Mujeres"/>
    <n v="12"/>
    <x v="9"/>
    <x v="2"/>
    <x v="1"/>
    <x v="12"/>
    <x v="2"/>
    <x v="10"/>
    <s v="Periodo 2013-2019"/>
    <s v="Porcentaje"/>
    <s v="Poder Judicial"/>
    <s v="Variación Trimestral de Sentencias Dictadas (%) en la Región de Magallanes por Delito, durante el Periodo 2013-2019"/>
    <s v="El gráfico muestra la tendencia de la Variación Trimestral de Sentencias Dictadas (%) en la Región de Magallanes por Delito, durante el Periodo 2013-2019 de acuerdo a datos provenientes del Poder Judicial de Chile."/>
    <s v="Gráfico de Evolución"/>
    <s v="sociedad delincuencia delitos frecuencia sentencias juzgado garantía mujer violencia magallanes"/>
    <s v="https://analytics.zoho.com/open-view/2395394000007158366?ZOHO_CRITERIA=%22Localiza%20CL%22.%22Codreg%22%3D12"/>
    <x v="28"/>
    <s v="#1774B9"/>
  </r>
  <r>
    <s v="0621"/>
    <n v="300"/>
    <s v="Violencia contra la mujer"/>
    <s v="Mujeres"/>
    <n v="13"/>
    <x v="9"/>
    <x v="2"/>
    <x v="1"/>
    <x v="13"/>
    <x v="2"/>
    <x v="10"/>
    <s v="Periodo 2013-2019"/>
    <s v="Porcentaje"/>
    <s v="Poder Judicial"/>
    <s v="Variación Trimestral de Sentencias Dictadas (%) en la Región Metropolitana por Delito, durante el Periodo 2013-2019"/>
    <s v="El gráfico muestra la tendencia de la Variación Trimestral de Sentencias Dictadas (%) en la Región Metropolitana por Delito, durante el Periodo 2013-2019 de acuerdo a datos provenientes del Poder Judicial de Chile."/>
    <s v="Gráfico de Evolución"/>
    <s v="sociedad delincuencia delitos frecuencia sentencias juzgado garantía mujer violencia metropolitana"/>
    <s v="https://analytics.zoho.com/open-view/2395394000007158366?ZOHO_CRITERIA=%22Localiza%20CL%22.%22Codreg%22%3D13"/>
    <x v="29"/>
    <s v="#1774B9"/>
  </r>
  <r>
    <s v="0622"/>
    <n v="300"/>
    <s v="Violencia contra la mujer"/>
    <s v="Mujeres"/>
    <n v="14"/>
    <x v="9"/>
    <x v="2"/>
    <x v="1"/>
    <x v="14"/>
    <x v="2"/>
    <x v="10"/>
    <s v="Periodo 2013-2019"/>
    <s v="Porcentaje"/>
    <s v="Poder Judicial"/>
    <s v="Variación Trimestral de Sentencias Dictadas (%) en la Región de Los Ríos por Delito, durante el Periodo 2013-2019"/>
    <s v="El gráfico muestra la tendencia de la Variación Trimestral de Sentencias Dictadas (%) en la Región de Los Ríos por Delito, durante el Periodo 2013-2019 de acuerdo a datos provenientes del Poder Judicial de Chile."/>
    <s v="Gráfico de Evolución"/>
    <s v="sociedad delincuencia delitos frecuencia sentencias juzgado garantía mujer violencia los ríos"/>
    <s v="https://analytics.zoho.com/open-view/2395394000007158366?ZOHO_CRITERIA=%22Localiza%20CL%22.%22Codreg%22%3D14"/>
    <x v="30"/>
    <s v="#1774B9"/>
  </r>
  <r>
    <s v="0623"/>
    <n v="300"/>
    <s v="Violencia contra la mujer"/>
    <s v="Mujeres"/>
    <n v="15"/>
    <x v="9"/>
    <x v="2"/>
    <x v="1"/>
    <x v="15"/>
    <x v="2"/>
    <x v="10"/>
    <s v="Periodo 2013-2019"/>
    <s v="Porcentaje"/>
    <s v="Poder Judicial"/>
    <s v="Variación Trimestral de Sentencias Dictadas (%) en la Región de Arica y Parinacota por Delito, durante el Periodo 2013-2019"/>
    <s v="El gráfico muestra la tendencia de la Variación Trimestral de Sentencias Dictadas (%) en la Región de Arica y Parinacota por Delito, durante el Periodo 2013-2019 de acuerdo a datos provenientes del Poder Judicial de Chile."/>
    <s v="Gráfico de Evolución"/>
    <s v="sociedad delincuencia delitos frecuencia sentencias juzgado garantía mujer violencia arica parinacota"/>
    <s v="https://analytics.zoho.com/open-view/2395394000007158366?ZOHO_CRITERIA=%22Localiza%20CL%22.%22Codreg%22%3D15"/>
    <x v="31"/>
    <s v="#1774B9"/>
  </r>
  <r>
    <s v="0624"/>
    <n v="300"/>
    <s v="Violencia contra la mujer"/>
    <s v="Mujeres"/>
    <n v="16"/>
    <x v="9"/>
    <x v="2"/>
    <x v="1"/>
    <x v="16"/>
    <x v="2"/>
    <x v="10"/>
    <s v="Periodo 2013-2019"/>
    <s v="Porcentaje"/>
    <s v="Poder Judicial"/>
    <s v="Variación Trimestral de Sentencias Dictadas (%) en la Región de Ñuble por Delito, durante el Periodo 2013-2019"/>
    <s v="El gráfico muestra la tendencia de la Variación Trimestral de Sentencias Dictadas (%) en la Región de Ñuble por Delito, durante el Periodo 2013-2019 de acuerdo a datos provenientes del Poder Judicial de Chile."/>
    <s v="Gráfico de Evolución"/>
    <s v="sociedad delincuencia delitos frecuencia sentencias juzgado garantía mujer violencia ñuble"/>
    <s v="https://analytics.zoho.com/open-view/2395394000007158366?ZOHO_CRITERIA=%22Localiza%20CL%22.%22Codreg%22%3D16"/>
    <x v="32"/>
    <s v="#1774B9"/>
  </r>
  <r>
    <s v="0625"/>
    <n v="300"/>
    <s v="Violencia contra la mujer"/>
    <s v="Mujeres"/>
    <n v="1"/>
    <x v="10"/>
    <x v="2"/>
    <x v="1"/>
    <x v="1"/>
    <x v="2"/>
    <x v="10"/>
    <s v="Periodo 2013-2019"/>
    <s v="Porcentaje"/>
    <s v="Poder Judicial"/>
    <s v="Variación Trimestral de Sentencias Dictadas (%) por Delitos Vinculados a la Mujer en la Región de Tarapacá, por Juzgado de Garantía, durante el Periodo 2013-2019"/>
    <s v="El gráfico muestra la tendencia de la Variación Trimestral de Sentencias Dictadas (%) en la Región de Tarapacá por Juzgado de Garantía, durante el Periodo 2013-2019 de acuerdo a datos provenientes del Poder Judicial de Chile."/>
    <s v="Gráfico de Evolución"/>
    <s v="sociedad delincuencia delitos frecuencia sentencias secuestro homicio tortura aborto lesiones mujer violencia tarapacá"/>
    <s v="https://analytics.zoho.com/open-view/2395394000007158410?ZOHO_CRITERIA=%22Localiza%20CL%22.%22Codreg%22%3D1"/>
    <x v="1"/>
    <s v="#1774B9"/>
  </r>
  <r>
    <s v="0626"/>
    <n v="300"/>
    <s v="Violencia contra la mujer"/>
    <s v="Mujeres"/>
    <n v="2"/>
    <x v="10"/>
    <x v="2"/>
    <x v="1"/>
    <x v="2"/>
    <x v="2"/>
    <x v="10"/>
    <s v="Periodo 2013-2019"/>
    <s v="Porcentaje"/>
    <s v="Poder Judicial"/>
    <s v="Variación Trimestral de Sentencias Dictadas (%) por Delitos Vinculados a la Mujer en la Región de Antofagasta, por Juzgado de Garantía, durante el Periodo 2013-2019"/>
    <s v="El gráfico muestra la tendencia de la Variación Trimestral de Sentencias Dictadas (%) en la Región de Antofagasta por Juzgado de Garantía, durante el Periodo 2013-2019 de acuerdo a datos provenientes del Poder Judicial de Chile."/>
    <s v="Gráfico de Evolución"/>
    <s v="sociedad delincuencia delitos frecuencia sentencias secuestro homicidio tortura aborto lesiones mujer violencia femicidio antofagasta"/>
    <s v="https://analytics.zoho.com/open-view/2395394000007158410?ZOHO_CRITERIA=%22Localiza%20CL%22.%22Codreg%22%3D2"/>
    <x v="2"/>
    <s v="#1774B9"/>
  </r>
  <r>
    <s v="0627"/>
    <n v="300"/>
    <s v="Violencia contra la mujer"/>
    <s v="Mujeres"/>
    <n v="3"/>
    <x v="10"/>
    <x v="2"/>
    <x v="1"/>
    <x v="3"/>
    <x v="2"/>
    <x v="10"/>
    <s v="Periodo 2013-2019"/>
    <s v="Porcentaje"/>
    <s v="Poder Judicial"/>
    <s v="Variación Trimestral de Sentencias Dictadas (%) por Delitos Vinculados a la Mujer en la Región de Atacama, por Juzgado de Garantía, durante el Periodo 2013-2019"/>
    <s v="El gráfico muestra la tendencia de la Variación Trimestral de Sentencias Dictadas (%) en la Región de Atacama por Juzgado de Garantía, durante el Periodo 2013-2019 de acuerdo a datos provenientes del Poder Judicial de Chile."/>
    <s v="Gráfico de Evolución"/>
    <s v="sociedad delincuencia delitos frecuencia sentencias secuestro homicidio tortura aborto lesiones mujer violencia femicidio atacama"/>
    <s v="https://analytics.zoho.com/open-view/2395394000007158410?ZOHO_CRITERIA=%22Localiza%20CL%22.%22Codreg%22%3D3"/>
    <x v="3"/>
    <s v="#1774B9"/>
  </r>
  <r>
    <s v="0628"/>
    <n v="300"/>
    <s v="Violencia contra la mujer"/>
    <s v="Mujeres"/>
    <n v="4"/>
    <x v="10"/>
    <x v="2"/>
    <x v="1"/>
    <x v="4"/>
    <x v="2"/>
    <x v="10"/>
    <s v="Periodo 2013-2019"/>
    <s v="Porcentaje"/>
    <s v="Poder Judicial"/>
    <s v="Variación Trimestral de Sentencias Dictadas (%) por Delitos Vinculados a la Mujer en la Región de Coquimbo, por Juzgado de Garantía, durante el Periodo 2013-2019"/>
    <s v="El gráfico muestra la tendencia de la Variación Trimestral de Sentencias Dictadas (%) en la Región de Coquimbo por Juzgado de Garantía, durante el Periodo 2013-2019 de acuerdo a datos provenientes del Poder Judicial de Chile."/>
    <s v="Gráfico de Evolución"/>
    <s v="sociedad delincuencia delitos frecuencia sentencias secuestro homicidio tortura aborto lesiones mujer violencia femicidio coquimbo"/>
    <s v="https://analytics.zoho.com/open-view/2395394000007158410?ZOHO_CRITERIA=%22Localiza%20CL%22.%22Codreg%22%3D4"/>
    <x v="4"/>
    <s v="#1774B9"/>
  </r>
  <r>
    <s v="0629"/>
    <n v="300"/>
    <s v="Violencia contra la mujer"/>
    <s v="Mujeres"/>
    <n v="5"/>
    <x v="10"/>
    <x v="2"/>
    <x v="1"/>
    <x v="5"/>
    <x v="2"/>
    <x v="10"/>
    <s v="Periodo 2013-2019"/>
    <s v="Porcentaje"/>
    <s v="Poder Judicial"/>
    <s v="Variación Trimestral de Sentencias Dictadas (%) por Delitos Vinculados a la Mujer en la Región de Valparaíso, por Juzgado de Garantía, durante el Periodo 2013-2019"/>
    <s v="El gráfico muestra la tendencia de la Variación Trimestral de Sentencias Dictadas (%) en la Región de Valparaíso por Juzgado de Garantía, durante el Periodo 2013-2019 de acuerdo a datos provenientes del Poder Judicial de Chile."/>
    <s v="Gráfico de Evolución"/>
    <s v="sociedad delincuencia delitos frecuencia sentencias secuestro homicidio tortura aborto lesiones mujer violencia femicidio valparaíso"/>
    <s v="https://analytics.zoho.com/open-view/2395394000007158410?ZOHO_CRITERIA=%22Localiza%20CL%22.%22Codreg%22%3D5"/>
    <x v="5"/>
    <s v="#1774B9"/>
  </r>
  <r>
    <s v="0630"/>
    <n v="300"/>
    <s v="Violencia contra la mujer"/>
    <s v="Mujeres"/>
    <n v="6"/>
    <x v="10"/>
    <x v="2"/>
    <x v="1"/>
    <x v="6"/>
    <x v="2"/>
    <x v="10"/>
    <s v="Periodo 2013-2019"/>
    <s v="Porcentaje"/>
    <s v="Poder Judicial"/>
    <s v="Variación Trimestral de Sentencias Dictadas (%) por Delitos Vinculados a la Mujer en la Región de O'Higgins, por Juzgado de Garantía, durante el Periodo 2013-2019"/>
    <s v="El gráfico muestra la tendencia de la Variación Trimestral de Sentencias Dictadas (%) en la Región de O'Higgins por Juzgado de Garantía, durante el Periodo 2013-2019 de acuerdo a datos provenientes del Poder Judicial de Chile."/>
    <s v="Gráfico de Evolución"/>
    <s v="sociedad delincuencia delitos frecuencia sentencias secuestro homicidio tortura aborto lesiones mujer violencia femicidio ohiggins"/>
    <s v="https://analytics.zoho.com/open-view/2395394000007158410?ZOHO_CRITERIA=%22Localiza%20CL%22.%22Codreg%22%3D6"/>
    <x v="6"/>
    <s v="#1774B9"/>
  </r>
  <r>
    <s v="0631"/>
    <n v="300"/>
    <s v="Violencia contra la mujer"/>
    <s v="Mujeres"/>
    <n v="7"/>
    <x v="10"/>
    <x v="2"/>
    <x v="1"/>
    <x v="7"/>
    <x v="2"/>
    <x v="10"/>
    <s v="Periodo 2013-2019"/>
    <s v="Porcentaje"/>
    <s v="Poder Judicial"/>
    <s v="Variación Trimestral de Sentencias Dictadas (%) por Delitos Vinculados a la Mujer en la Región de Maule, por Juzgado de Garantía, durante el Periodo 2013-2019"/>
    <s v="El gráfico muestra la tendencia de la Variación Trimestral de Sentencias Dictadas (%) en la Región de Maule por Juzgado de Garantía, durante el Periodo 2013-2019 de acuerdo a datos provenientes del Poder Judicial de Chile."/>
    <s v="Gráfico de Evolución"/>
    <s v="sociedad delincuencia delitos frecuencia sentencias secuestro homicidio tortura aborto lesiones mujer violencia femicidio maule"/>
    <s v="https://analytics.zoho.com/open-view/2395394000007158410?ZOHO_CRITERIA=%22Localiza%20CL%22.%22Codreg%22%3D7"/>
    <x v="7"/>
    <s v="#1774B9"/>
  </r>
  <r>
    <s v="0632"/>
    <n v="300"/>
    <s v="Violencia contra la mujer"/>
    <s v="Mujeres"/>
    <n v="8"/>
    <x v="10"/>
    <x v="2"/>
    <x v="1"/>
    <x v="8"/>
    <x v="2"/>
    <x v="10"/>
    <s v="Periodo 2013-2019"/>
    <s v="Porcentaje"/>
    <s v="Poder Judicial"/>
    <s v="Variación Trimestral de Sentencias Dictadas (%) por Delitos Vinculados a la Mujer en la Región del Biobío, por Juzgado de Garantía, durante el Periodo 2013-2019"/>
    <s v="El gráfico muestra la tendencia de la Variación Trimestral de Sentencias Dictadas (%) en la Región del Biobío por Juzgado de Garantía, durante el Periodo 2013-2019 de acuerdo a datos provenientes del Poder Judicial de Chile."/>
    <s v="Gráfico de Evolución"/>
    <s v="sociedad delincuencia delitos frecuencia sentencias secuestro homicidio tortura aborto lesiones mujer violencia femicidio biobío"/>
    <s v="https://analytics.zoho.com/open-view/2395394000007158410?ZOHO_CRITERIA=%22Localiza%20CL%22.%22Codreg%22%3D8"/>
    <x v="8"/>
    <s v="#1774B9"/>
  </r>
  <r>
    <s v="0633"/>
    <n v="300"/>
    <s v="Violencia contra la mujer"/>
    <s v="Mujeres"/>
    <n v="9"/>
    <x v="10"/>
    <x v="2"/>
    <x v="1"/>
    <x v="9"/>
    <x v="2"/>
    <x v="10"/>
    <s v="Periodo 2013-2019"/>
    <s v="Porcentaje"/>
    <s v="Poder Judicial"/>
    <s v="Variación Trimestral de Sentencias Dictadas (%) por Delitos Vinculados a la Mujer en la Región de La Araucanía, por Juzgado de Garantía, durante el Periodo 2013-2019"/>
    <s v="El gráfico muestra la tendencia de la Variación Trimestral de Sentencias Dictadas (%) en la Región de La Araucanía por Juzgado de Garantía, durante el Periodo 2013-2019 de acuerdo a datos provenientes del Poder Judicial de Chile."/>
    <s v="Gráfico de Evolución"/>
    <s v="sociedad delincuencia delitos frecuencia sentencias secuestro homicidio tortura aborto lesiones mujer violencia femicidio araucanía"/>
    <s v="https://analytics.zoho.com/open-view/2395394000007158410?ZOHO_CRITERIA=%22Localiza%20CL%22.%22Codreg%22%3D9"/>
    <x v="9"/>
    <s v="#1774B9"/>
  </r>
  <r>
    <s v="0634"/>
    <n v="300"/>
    <s v="Violencia contra la mujer"/>
    <s v="Mujeres"/>
    <n v="10"/>
    <x v="10"/>
    <x v="2"/>
    <x v="1"/>
    <x v="10"/>
    <x v="2"/>
    <x v="10"/>
    <s v="Periodo 2013-2019"/>
    <s v="Porcentaje"/>
    <s v="Poder Judicial"/>
    <s v="Variación Trimestral de Sentencias Dictadas (%) por Delitos Vinculados a la Mujer en la Región de Los Lagos, por Juzgado de Garantía, durante el Periodo 2013-2019"/>
    <s v="El gráfico muestra la tendencia de la Variación Trimestral de Sentencias Dictadas (%) en la Región de Los Lagos por Juzgado de Garantía, durante el Periodo 2013-2019 de acuerdo a datos provenientes del Poder Judicial de Chile."/>
    <s v="Gráfico de Evolución"/>
    <s v="sociedad delincuencia delitos frecuencia sentencias secuestro homicidio tortura aborto lesiones mujer violencia femicidio los lagos"/>
    <s v="https://analytics.zoho.com/open-view/2395394000007158410?ZOHO_CRITERIA=%22Localiza%20CL%22.%22Codreg%22%3D10"/>
    <x v="10"/>
    <s v="#1774B9"/>
  </r>
  <r>
    <s v="0635"/>
    <n v="300"/>
    <s v="Violencia contra la mujer"/>
    <s v="Mujeres"/>
    <n v="11"/>
    <x v="10"/>
    <x v="2"/>
    <x v="1"/>
    <x v="11"/>
    <x v="2"/>
    <x v="10"/>
    <s v="Periodo 2013-2019"/>
    <s v="Porcentaje"/>
    <s v="Poder Judicial"/>
    <s v="Variación Trimestral de Sentencias Dictadas (%) por Delitos Vinculados a la Mujer en la Región de Aysén, por Juzgado de Garantía, durante el Periodo 2013-2019"/>
    <s v="El gráfico muestra la tendencia de la Variación Trimestral de Sentencias Dictadas (%) en la Región de Aysén por Juzgado de Garantía, durante el Periodo 2013-2019 de acuerdo a datos provenientes del Poder Judicial de Chile."/>
    <s v="Gráfico de Evolución"/>
    <s v="sociedad delincuencia delitos frecuencia sentencias secuestro homicidio tortura aborto lesiones mujer violencia femicidio aysén"/>
    <s v="https://analytics.zoho.com/open-view/2395394000007158410?ZOHO_CRITERIA=%22Localiza%20CL%22.%22Codreg%22%3D11"/>
    <x v="11"/>
    <s v="#1774B9"/>
  </r>
  <r>
    <s v="0636"/>
    <n v="300"/>
    <s v="Violencia contra la mujer"/>
    <s v="Mujeres"/>
    <n v="12"/>
    <x v="10"/>
    <x v="2"/>
    <x v="1"/>
    <x v="12"/>
    <x v="2"/>
    <x v="10"/>
    <s v="Periodo 2013-2019"/>
    <s v="Porcentaje"/>
    <s v="Poder Judicial"/>
    <s v="Variación Trimestral de Sentencias Dictadas (%) por Delitos Vinculados a la Mujer en la Región de Magallanes, por Juzgado de Garantía, durante el Periodo 2013-2019"/>
    <s v="El gráfico muestra la tendencia de la Variación Trimestral de Sentencias Dictadas (%) en la Región de Magallanes por Juzgado de Garantía, durante el Periodo 2013-2019 de acuerdo a datos provenientes del Poder Judicial de Chile."/>
    <s v="Gráfico de Evolución"/>
    <s v="sociedad delincuencia delitos frecuencia sentencias secuestro homicidio tortura aborto lesiones mujer violencia femicidio magallanes"/>
    <s v="https://analytics.zoho.com/open-view/2395394000007158410?ZOHO_CRITERIA=%22Localiza%20CL%22.%22Codreg%22%3D12"/>
    <x v="12"/>
    <s v="#1774B9"/>
  </r>
  <r>
    <s v="0637"/>
    <n v="300"/>
    <s v="Violencia contra la mujer"/>
    <s v="Mujeres"/>
    <n v="13"/>
    <x v="10"/>
    <x v="2"/>
    <x v="1"/>
    <x v="13"/>
    <x v="2"/>
    <x v="10"/>
    <s v="Periodo 2013-2019"/>
    <s v="Porcentaje"/>
    <s v="Poder Judicial"/>
    <s v="Variación Trimestral de Sentencias Dictadas (%) por Delitos Vinculados a la Mujer en la Región Metropolitana, por Juzgado de Garantía, durante el Periodo 2013-2019"/>
    <s v="El gráfico muestra la tendencia de la Variación Trimestral de Sentencias Dictadas (%) en la Región Metropolitana por Juzgado de Garantía, durante el Periodo 2013-2019 de acuerdo a datos provenientes del Poder Judicial de Chile."/>
    <s v="Gráfico de Evolución"/>
    <s v="sociedad delincuencia delitos frecuencia sentencias secuestro homicidio tortura aborto lesiones mujer violencia femicidio metropolitana"/>
    <s v="https://analytics.zoho.com/open-view/2395394000007158410?ZOHO_CRITERIA=%22Localiza%20CL%22.%22Codreg%22%3D13"/>
    <x v="13"/>
    <s v="#1774B9"/>
  </r>
  <r>
    <s v="0638"/>
    <n v="300"/>
    <s v="Violencia contra la mujer"/>
    <s v="Mujeres"/>
    <n v="14"/>
    <x v="10"/>
    <x v="2"/>
    <x v="1"/>
    <x v="14"/>
    <x v="2"/>
    <x v="10"/>
    <s v="Periodo 2013-2019"/>
    <s v="Porcentaje"/>
    <s v="Poder Judicial"/>
    <s v="Variación Trimestral de Sentencias Dictadas (%) por Delitos Vinculados a la Mujer en la Región de Los Ríos, por Juzgado de Garantía, durante el Periodo 2013-2019"/>
    <s v="El gráfico muestra la tendencia de la Variación Trimestral de Sentencias Dictadas (%) en la Región de Los Ríos por Juzgado de Garantía, durante el Periodo 2013-2019 de acuerdo a datos provenientes del Poder Judicial de Chile."/>
    <s v="Gráfico de Evolución"/>
    <s v="sociedad delincuencia delitos frecuencia sentencias secuestro homicidio tortura aborto lesiones mujer violencia femicidio los ríos"/>
    <s v="https://analytics.zoho.com/open-view/2395394000007158410?ZOHO_CRITERIA=%22Localiza%20CL%22.%22Codreg%22%3D14"/>
    <x v="14"/>
    <s v="#1774B9"/>
  </r>
  <r>
    <s v="0639"/>
    <n v="300"/>
    <s v="Violencia contra la mujer"/>
    <s v="Mujeres"/>
    <n v="15"/>
    <x v="10"/>
    <x v="2"/>
    <x v="1"/>
    <x v="15"/>
    <x v="2"/>
    <x v="10"/>
    <s v="Periodo 2013-2019"/>
    <s v="Porcentaje"/>
    <s v="Poder Judicial"/>
    <s v="Variación Trimestral de Sentencias Dictadas (%) por Delitos Vinculados a la Mujer en la Región de Arica y Parinacota, por Juzgado de Garantía, durante el Periodo 2013-2019"/>
    <s v="El gráfico muestra la tendencia de la Variación Trimestral de Sentencias Dictadas (%) en la Región de Arica y Parinacota por Juzgado de Garantía, durante el Periodo 2013-2019 de acuerdo a datos provenientes del Poder Judicial de Chile."/>
    <s v="Gráfico de Evolución"/>
    <s v="sociedad delincuencia delitos frecuencia sentencias secuestro homicidio tortura aborto lesiones mujer violencia femicidio arica parinacota"/>
    <s v="https://analytics.zoho.com/open-view/2395394000007158410?ZOHO_CRITERIA=%22Localiza%20CL%22.%22Codreg%22%3D15"/>
    <x v="15"/>
    <s v="#1774B9"/>
  </r>
  <r>
    <s v="0640"/>
    <n v="300"/>
    <s v="Violencia contra la mujer"/>
    <s v="Mujeres"/>
    <n v="16"/>
    <x v="10"/>
    <x v="2"/>
    <x v="1"/>
    <x v="16"/>
    <x v="2"/>
    <x v="10"/>
    <s v="Periodo 2013-2019"/>
    <s v="Porcentaje"/>
    <s v="Poder Judicial"/>
    <s v="Variación Trimestral de Sentencias Dictadas (%) por Delitos Vinculados a la Mujer en la Región de Ñuble, por Juzgado de Garantía, durante el Periodo 2013-2019"/>
    <s v="El gráfico muestra la tendencia de la Variación Trimestral de Sentencias Dictadas (%) en la Región de Ñuble por Juzgado de Garantía, durante el Periodo 2013-2019 de acuerdo a datos provenientes del Poder Judicial de Chile."/>
    <s v="Gráfico de Evolución"/>
    <s v="sociedad delincuencia delitos frecuencia sentencias secuestro homicidio tortura aborto lesiones mujer violencia femicidio ñuble"/>
    <s v="https://analytics.zoho.com/open-view/2395394000007158410?ZOHO_CRITERIA=%22Localiza%20CL%22.%22Codreg%22%3D16"/>
    <x v="16"/>
    <s v="#1774B9"/>
  </r>
  <r>
    <s v="0641"/>
    <n v="300"/>
    <s v="Violencia contra la mujer"/>
    <s v="Mujeres"/>
    <n v="270103002"/>
    <x v="6"/>
    <x v="2"/>
    <x v="0"/>
    <x v="0"/>
    <x v="2"/>
    <x v="10"/>
    <s v="Periodo 2013-2019"/>
    <s v="Porcentaje"/>
    <s v="Poder Judicial"/>
    <s v="Variación Trimestral de Sentencias Dictadas (%) para el Delito de Femicidio Intimo por región, durante el Periodo 2013-2019"/>
    <s v="El gráfico muestra la evolución temporal de la Variación Trimestral de Sentencias Dictadas (%) para el Delito de Femicidio Intimo por región, durante el Periodo 2013-2019 de acuerdo a datos provenientes del Poder Judicial de Chile."/>
    <s v="Gráfico de Evolución"/>
    <s v="sociedad delincuencia delitos frecuencia sentencias femicidio íntimo mujer violencia regional"/>
    <s v="https://analytics.zoho.com/open-view/2395394000007158454?ZOHO_CRITERIA=%22Trasposicion_27.16%22.%22Id_Categor%C3%ADa%22%3D270103002"/>
    <x v="0"/>
    <s v="#1774B9"/>
  </r>
  <r>
    <s v="0642"/>
    <n v="300"/>
    <s v="Violencia contra la mujer"/>
    <s v="Mujeres"/>
    <n v="270103003"/>
    <x v="6"/>
    <x v="2"/>
    <x v="0"/>
    <x v="0"/>
    <x v="2"/>
    <x v="10"/>
    <s v="Periodo 2013-2019"/>
    <s v="Porcentaje"/>
    <s v="Poder Judicial"/>
    <s v="Variación Trimestral de Sentencias Dictadas (%) para el Delito de Secuestro Con Violación por región, durante el Periodo 2013-2019"/>
    <s v="El gráfico muestra la evolución temporal de la Variación Trimestral de Sentencias Dictadas (%) para el Delito de Secuestro Con Violación por región, durante el Periodo 2013-2019 de acuerdo a datos provenientes del Poder Judicial de Chile."/>
    <s v="Gráfico de Evolución"/>
    <s v="sociedad delincuencia delitos frecuencia sentencias secuestro violación mujer violencia regional"/>
    <s v="https://analytics.zoho.com/open-view/2395394000007158454?ZOHO_CRITERIA=%22Trasposicion_27.16%22.%22Id_Categor%C3%ADa%22%3D270103003"/>
    <x v="0"/>
    <s v="#1774B9"/>
  </r>
  <r>
    <s v="0643"/>
    <n v="300"/>
    <s v="Violencia contra la mujer"/>
    <s v="Mujeres"/>
    <n v="270103004"/>
    <x v="6"/>
    <x v="2"/>
    <x v="0"/>
    <x v="0"/>
    <x v="2"/>
    <x v="10"/>
    <s v="Periodo 2013-2019"/>
    <s v="Porcentaje"/>
    <s v="Poder Judicial"/>
    <s v="Variación Trimestral de Sentencias Dictadas (%) para el Delito de Secuestro Con Homicidio, Violación O Lesiones por región, durante el Periodo 2013-2019"/>
    <s v="El gráfico muestra la evolución temporal de la Variación Trimestral de Sentencias Dictadas (%) para el Delito de Secuestro Con Homicidio por región, durante el Periodo 2013-2019 de acuerdo a datos provenientes del Poder Judicial de Chile."/>
    <s v="Gráfico de Evolución"/>
    <s v="sociedad delincuencia delitos frecuencia sentencias secuestro homicidio violación lesiones mujer violencia regional"/>
    <s v="https://analytics.zoho.com/open-view/2395394000007158454?ZOHO_CRITERIA=%22Trasposicion_27.16%22.%22Id_Categor%C3%ADa%22%3D270103004"/>
    <x v="0"/>
    <s v="#1774B9"/>
  </r>
  <r>
    <s v="0644"/>
    <n v="300"/>
    <s v="Violencia contra la mujer"/>
    <s v="Mujeres"/>
    <n v="270103005"/>
    <x v="6"/>
    <x v="2"/>
    <x v="0"/>
    <x v="0"/>
    <x v="2"/>
    <x v="10"/>
    <s v="Periodo 2013-2019"/>
    <s v="Porcentaje"/>
    <s v="Poder Judicial"/>
    <s v="Variación Trimestral de Sentencias Dictadas (%) para el Delito de Tortura Con Violación, Abuso Sexual Agravado/Otros por región, durante el Periodo 2013-2019"/>
    <s v="El gráfico muestra la evolución temporal de la Variación Trimestral de Sentencias Dictadas (%) para el Delito de Tortura Con Violación, Abuso Sexual Agravado/Otros por región, durante el Periodo 2013-2019 de acuerdo a datos provenientes del Poder Judicial de Chile."/>
    <s v="Gráfico de Evolución"/>
    <s v="sociedad delincuencia delitos frecuencia sentencias tortura violación abuso sexual mujer violencia regional"/>
    <s v="https://analytics.zoho.com/open-view/2395394000007158454?ZOHO_CRITERIA=%22Trasposicion_27.16%22.%22Id_Categor%C3%ADa%22%3D270103005"/>
    <x v="0"/>
    <s v="#1774B9"/>
  </r>
  <r>
    <s v="0645"/>
    <n v="300"/>
    <s v="Violencia contra la mujer"/>
    <s v="Mujeres"/>
    <n v="270104001"/>
    <x v="7"/>
    <x v="2"/>
    <x v="0"/>
    <x v="0"/>
    <x v="2"/>
    <x v="10"/>
    <s v="Periodo 2013-2019"/>
    <s v="Porcentaje"/>
    <s v="Poder Judicial"/>
    <s v="Variación Trimestral de Sentencias Dictadas (%) para el Delito de Maltrato Habitual (Violencia Intrafamiliar) por región, durante el Periodo 2013-2019"/>
    <s v="El gráfico muestra la evolución temporal de la Variación Trimestral de Sentencias Dictadas (%) para el Delito de Maltrato Habitual (Violencia Intrafamiliar) por región, durante el Periodo 2013-2019 de acuerdo a datos provenientes del Poder Judicial de Chile."/>
    <s v="Gráfico de Evolución"/>
    <s v="sociedad delincuencia delitos frecuencia sentencias maltrato intrafamiliar mujer violencia regional"/>
    <s v="https://analytics.zoho.com/open-view/2395394000007158454?ZOHO_CRITERIA=%22Trasposicion_27.16%22.%22Id_Categor%C3%ADa%22%3D270104001"/>
    <x v="0"/>
    <s v="#1774B9"/>
  </r>
  <r>
    <s v="0646"/>
    <n v="300"/>
    <s v="Violencia contra la mujer"/>
    <s v="Mujeres"/>
    <n v="270105001"/>
    <x v="8"/>
    <x v="2"/>
    <x v="0"/>
    <x v="0"/>
    <x v="2"/>
    <x v="10"/>
    <s v="Periodo 2013-2019"/>
    <s v="Porcentaje"/>
    <s v="Poder Judicial"/>
    <s v="Variación Trimestral de Sentencias Dictadas (%) para el Delito de Aborto Cometido Por Facultativo Por Causales No Reguladas por región, durante el Periodo 2013-2019"/>
    <s v="El gráfico muestra la evolución temporal de la Variación Trimestral de Sentencias Dictadas (%) para el Delito de Aborto Cometido Por Facultativo Por Causales No Reguladas por región, durante el Periodo 2013-2019 de acuerdo a datos provenientes del Poder Judicial de Chile."/>
    <s v="Gráfico de Evolución"/>
    <s v="sociedad delincuencia delitos frecuencia sentencias aborto causales reguladas mujer violencia regional"/>
    <s v="https://analytics.zoho.com/open-view/2395394000007158454?ZOHO_CRITERIA=%22Trasposicion_27.16%22.%22Id_Categor%C3%ADa%22%3D270105001"/>
    <x v="0"/>
    <s v="#1774B9"/>
  </r>
  <r>
    <s v="0647"/>
    <n v="300"/>
    <s v="Violencia contra la mujer"/>
    <s v="Mujeres"/>
    <n v="270105002"/>
    <x v="8"/>
    <x v="2"/>
    <x v="0"/>
    <x v="0"/>
    <x v="2"/>
    <x v="10"/>
    <s v="Periodo 2013-2019"/>
    <s v="Porcentaje"/>
    <s v="Poder Judicial"/>
    <s v="Variación Trimestral de Sentencias Dictadas (%) para el Delito de Aborto Consentido Causales No Reguladas por región, durante el Periodo 2013-2019"/>
    <s v="El gráfico muestra la evolución temporal de la Variación Trimestral de Sentencias Dictadas (%) para el Delito de Aborto Consentido Causales No Reguladas por región, durante el Periodo 2013-2019 de acuerdo a datos provenientes del Poder Judicial de Chile."/>
    <s v="Gráfico de Evolución"/>
    <s v="sociedad delincuencia delitos frecuencia sentencias aborto causales consentimiento consentido reguladas mujer violencia regional"/>
    <s v="https://analytics.zoho.com/open-view/2395394000007158454?ZOHO_CRITERIA=%22Trasposicion_27.16%22.%22Id_Categor%C3%ADa%22%3D270105002"/>
    <x v="0"/>
    <s v="#1774B9"/>
  </r>
  <r>
    <s v="0648"/>
    <n v="300"/>
    <s v="Violencia contra la mujer"/>
    <s v="Mujeres"/>
    <n v="270105003"/>
    <x v="8"/>
    <x v="2"/>
    <x v="0"/>
    <x v="0"/>
    <x v="2"/>
    <x v="10"/>
    <s v="Periodo 2013-2019"/>
    <s v="Porcentaje"/>
    <s v="Poder Judicial"/>
    <s v="Variación Trimestral de Sentencias Dictadas (%) para el Delito de Aborto Sin Consentimiento por región, durante el Periodo 2013-2019"/>
    <s v="El gráfico muestra la evolución temporal de la Variación Trimestral de Sentencias Dictadas (%) para el Delito de Aborto Sin Consentimiento por región, durante el Periodo 2013-2019 de acuerdo a datos provenientes del Poder Judicial de Chile."/>
    <s v="Gráfico de Evolución"/>
    <s v="sociedad delincuencia delitos frecuencia sentencias aborto consentimiento mujer violencia regional"/>
    <s v="https://analytics.zoho.com/open-view/2395394000007158454?ZOHO_CRITERIA=%22Trasposicion_27.16%22.%22Id_Categor%C3%ADa%22%3D270105003"/>
    <x v="0"/>
    <s v="#1774B9"/>
  </r>
  <r>
    <s v="0649"/>
    <n v="300"/>
    <s v="Violencia contra la mujer"/>
    <s v="Mujeres"/>
    <n v="270104001"/>
    <x v="7"/>
    <x v="2"/>
    <x v="0"/>
    <x v="0"/>
    <x v="2"/>
    <x v="10"/>
    <s v="Periodo 2013-2019"/>
    <s v="Porcentaje"/>
    <s v="Poder Judicial"/>
    <s v="Variación Trimestral de Sentencias Dictadas (%) para el Delito de Maltrato Habitual (Violencia Intrafamiliar) por Juzgado de Garantía, durante el Periodo 2013-2019"/>
    <s v="El gráfico muestra la evolución temporal de la Variación Trimestral de Sentencias Dictadas (%) para el Delito de Maltrato Habitual (Violencia Intrafamiliar) por Juzgado de Garantía, durante el Periodo 2013-2019 de acuerdo a datos provenientes del Poder Judicial de Chile."/>
    <s v="Gráfico de Evolución"/>
    <s v="sociedad delincuencia delitos frecuencia sentencias maltrato intrafamiliar mujer violencia juzgado garantía"/>
    <s v="https://analytics.zoho.com/open-view/2395394000007158500?ZOHO_CRITERIA=%22Trasposicion_27.16%22.%22Id_Categor%C3%ADa%22%3D270104001"/>
    <x v="34"/>
    <s v="#1774B9"/>
  </r>
  <r>
    <s v="0650"/>
    <n v="300"/>
    <s v="Violencia contra la mujer"/>
    <s v="Mujeres"/>
    <n v="270103"/>
    <x v="6"/>
    <x v="2"/>
    <x v="0"/>
    <x v="0"/>
    <x v="2"/>
    <x v="9"/>
    <s v="Periodo 2013-2019"/>
    <s v="Número de sentencias"/>
    <s v="Poder Judicial"/>
    <s v="Sentencias Dictadas por Delitos Vinculados a la Mujer por Juzgado de Garantía en la tipología de Delitos Violentos, para el Periodo 2013-2019"/>
    <s v="El gráfico muestra la evolución anual de la frecuencia de Sentencias Dictadas por Delitos Vinculados a la Mujer por Juzgado de Garantía en la tipología de Delitos Violentos, para el Periodo 2013-2019 de acuerdo a datos provenientes del Poder Judicial de Chile."/>
    <s v="Gráfico de Evolución"/>
    <s v="sociedad delincuencia delitos frecuencia sentencias violentos secuestro homicidio tortura abuso lesiones mujer violencia femicidio violación juzgado garantía"/>
    <s v="https://analytics.zoho.com/open-view/2395394000007158085?ZOHO_CRITERIA=%22Trasposicion_27.16%22.%22Id_Producto%22%3D270103"/>
    <x v="34"/>
    <s v="#1774B9"/>
  </r>
  <r>
    <s v="0651"/>
    <n v="300"/>
    <s v="Violencia contra la mujer"/>
    <s v="Mujeres"/>
    <n v="270104"/>
    <x v="7"/>
    <x v="2"/>
    <x v="0"/>
    <x v="0"/>
    <x v="2"/>
    <x v="9"/>
    <s v="Periodo 2013-2019"/>
    <s v="Número de sentencias"/>
    <s v="Poder Judicial"/>
    <s v="Sentencias Dictadas por Delitos Vinculados a la Mujer por Juzgado de Garantía en la tipología de Delitos Contra el Estado Civil y la Familia, para el Periodo 2013-2019"/>
    <s v="El gráfico muestra la evolución anual de la frecuencia de Sentencias Dictadas por Delitos Vinculados a la Mujer por Juzgado de Garantía en la tipología de Delitos Contra el Estado Civil y la Familia, para el Periodo 2013-2019 de acuerdo a datos provenientes del Poder Judicial de Chile."/>
    <s v="Gráfico de Evolución"/>
    <s v="sociedad delincuencia delitos frecuencia sentencias violentos maltrato intrafamiliar mujer violencia juzgado garantía"/>
    <s v="https://analytics.zoho.com/open-view/2395394000007158085?ZOHO_CRITERIA=%22Trasposicion_27.16%22.%22Id_Producto%22%3D270104"/>
    <x v="34"/>
    <s v="#1774B9"/>
  </r>
  <r>
    <s v="0652"/>
    <n v="300"/>
    <s v="Violencia contra la mujer"/>
    <s v="Mujeres"/>
    <n v="270105"/>
    <x v="8"/>
    <x v="2"/>
    <x v="0"/>
    <x v="0"/>
    <x v="2"/>
    <x v="9"/>
    <s v="Periodo 2013-2019"/>
    <s v="Número de sentencias"/>
    <s v="Poder Judicial"/>
    <s v="Sentencias Dictadas por Delitos Vinculados a la Mujer por Juzgado de Garantía en la tipología de Delitos Contra la Vida, Integridad o Dignidad Personal, para el Periodo 2013-2019"/>
    <s v="El gráfico muestra la evolución anual de la frecuencia de Sentencias Dictadas por Delitos Vinculados a la Mujer por Juzgado de Garantía en la tipología de Delitos Contra la Vida, Integridad o Dignidad Personal, para el Periodo 2013-2019 de acuerdo a datos provenientes del Poder Judicial de Chile."/>
    <s v="Gráfico de Evolución"/>
    <s v="sociedad delincuencia delitos frecuencia sentencias violentos aborto causales mujer violencia consentimiento consentido juzgado garantía"/>
    <s v="https://analytics.zoho.com/open-view/2395394000007158085?ZOHO_CRITERIA=%22Trasposicion_27.16%22.%22Id_Producto%22%3D270105"/>
    <x v="34"/>
    <s v="#1774B9"/>
  </r>
  <r>
    <s v="0653"/>
    <n v="300"/>
    <s v="Violencia contra la mujer"/>
    <s v="Mujeres"/>
    <n v="270103"/>
    <x v="6"/>
    <x v="2"/>
    <x v="0"/>
    <x v="0"/>
    <x v="2"/>
    <x v="9"/>
    <s v="Periodo 2013-2019"/>
    <s v="Número de sentencias"/>
    <s v="Poder Judicial"/>
    <s v="Sentencias Dictadas por Delitos Vinculados a la Mujer por Delito en la tipología de Delitos Violentos, para el Periodo 2013-2019"/>
    <s v="El gráfico muestra la evolución anual de la frecuencia de Sentencias Dictadas por Delitos Vinculados a la Mujer por Delito en la tipología de Delitos Violentos, para el Periodo 2013-2019 de acuerdo a datos provenientes del Poder Judicial de Chile."/>
    <s v="Gráfico de Evolución"/>
    <s v="sociedad delincuencia delitos frecuencia sentencias violentos secuestro homicidio tortura abuso lesiones mujer violencia femicidio violación"/>
    <s v="https://analytics.zoho.com/open-view/2395394000007158123?ZOHO_CRITERIA=%22Trasposicion_27.16%22.%22Id_Producto%22%3D270103"/>
    <x v="33"/>
    <s v="#1774B9"/>
  </r>
  <r>
    <s v="0654"/>
    <n v="300"/>
    <s v="Violencia contra la mujer"/>
    <s v="Mujeres"/>
    <n v="270104"/>
    <x v="7"/>
    <x v="2"/>
    <x v="0"/>
    <x v="0"/>
    <x v="2"/>
    <x v="9"/>
    <s v="Periodo 2013-2019"/>
    <s v="Número de sentencias"/>
    <s v="Poder Judicial"/>
    <s v="Sentencias Dictadas por Delitos Vinculados a la Mujer por Delito en la tipología de Delitos Contra el Estado Civil y la Familia, para el Periodo 2013-2019"/>
    <s v="El gráfico muestra la evolución anual de la frecuencia de Sentencias Dictadas por Delitos Vinculados a la Mujer por Delito en la tipología de Delitos Contra el Estado Civil y la Familia, para el Periodo 2013-2019 de acuerdo a datos provenientes del Poder Judicial de Chile."/>
    <s v="Gráfico de Evolución"/>
    <s v="sociedad delincuencia delitos frecuencia sentencias violentos maltrato intrafamiliar mujer violencia"/>
    <s v="https://analytics.zoho.com/open-view/2395394000007158123?ZOHO_CRITERIA=%22Trasposicion_27.16%22.%22Id_Producto%22%3D270104"/>
    <x v="33"/>
    <s v="#1774B9"/>
  </r>
  <r>
    <s v="0655"/>
    <n v="300"/>
    <s v="Violencia contra la mujer"/>
    <s v="Mujeres"/>
    <n v="270105"/>
    <x v="8"/>
    <x v="2"/>
    <x v="0"/>
    <x v="0"/>
    <x v="2"/>
    <x v="9"/>
    <s v="Periodo 2013-2019"/>
    <s v="Número de sentencias"/>
    <s v="Poder Judicial"/>
    <s v="Sentencias Dictadas por Delitos Vinculados a la Mujer por Delito en la tipología de Delitos Contra la Vida, Integridad o Dignidad Personal, para el Periodo 2013-2019"/>
    <s v="El gráfico muestra la evolución anual de la frecuencia de Sentencias Dictadas por Delitos Vinculados a la Mujer por Delito en la tipología de Delitos Contra la Vida, Integridad o Dignidad Personal, para el Periodo 2013-2019 de acuerdo a datos provenientes del Poder Judicial de Chile."/>
    <s v="Gráfico de Evolución"/>
    <s v="sociedad delincuencia delitos frecuencia sentencias violentos aborto causales mujer violencia consentimiento consentido"/>
    <s v="https://analytics.zoho.com/open-view/2395394000007158123?ZOHO_CRITERIA=%22Trasposicion_27.16%22.%22Id_Producto%22%3D270105"/>
    <x v="33"/>
    <s v="#1774B9"/>
  </r>
  <r>
    <s v="0656"/>
    <n v="300"/>
    <s v="Violencia contra la mujer"/>
    <s v="Mujeres"/>
    <n v="0"/>
    <x v="9"/>
    <x v="2"/>
    <x v="0"/>
    <x v="0"/>
    <x v="0"/>
    <x v="7"/>
    <s v="Periodo 2013-2019"/>
    <s v="Número de sentencias"/>
    <s v="Poder Judicial"/>
    <s v="Mapa de Sentencias Dictadas Acumuladas por región, durante el Periodo 2013-2019"/>
    <s v="Se presenta la distribución geográfica por región de la frecuencia de sentencias a través del Mapa de Sentencias Dictadas Acumuladas, durante el Periodo 2013-2019, de acuerdo a datos provenientes del Poder Judicial de Chile."/>
    <s v="Mapa de calor"/>
    <s v="sociedad delincuencia delitos frecuencia sentencias mujer violencia mapa acumulado"/>
    <s v="https://analytics.zoho.com/open-view/2395394000007158542"/>
    <x v="0"/>
    <s v="#1774B9"/>
  </r>
  <r>
    <s v="0657"/>
    <n v="300"/>
    <s v="Violencia contra la mujer"/>
    <s v="Mujeres"/>
    <n v="0"/>
    <x v="9"/>
    <x v="2"/>
    <x v="0"/>
    <x v="0"/>
    <x v="0"/>
    <x v="8"/>
    <s v="Año 2019"/>
    <s v="Número de sentencias"/>
    <s v="Poder Judicial"/>
    <s v="Mapa de Sentencias Dictadas por región, durante el Año 2019"/>
    <s v="Se presenta la distribución geográfica por región de la frecuencia de sentencias a través del Mapa de Sentencias Dictadas, durante el Año 2019, de acuerdo a datos provenientes del Poder Judicial de Chile."/>
    <s v="Mapa de calor"/>
    <s v="sociedad delincuencia delitos frecuencia sentencias mujer violencia mapa"/>
    <s v="https://analytics.zoho.com/open-view/2395394000007158580"/>
    <x v="0"/>
    <s v="#1774B9"/>
  </r>
  <r>
    <s v="0658"/>
    <n v="300"/>
    <s v="Violencia contra la mujer"/>
    <s v="Mujeres"/>
    <n v="0"/>
    <x v="11"/>
    <x v="3"/>
    <x v="0"/>
    <x v="0"/>
    <x v="2"/>
    <x v="11"/>
    <s v="Periodo 2010-2016"/>
    <s v="Número de atenciones"/>
    <s v="Departamento de Estadísticas e Información de la Salud (DEIS)"/>
    <s v="Atenciones médicas por Violencia de Género en el territorio nacional. Periodo 2010-2016"/>
    <s v="Gráfico que muestra las atenciones médicas por Violencia de Género según los datos recopilados del Departamento de Estadísticas e Información de la Salud. Chile Periodo 2010-2016."/>
    <s v="Gráfico de Evolución"/>
    <s v="salud urgencia violencia género vif atenciones médicas chile"/>
    <s v="https://analytics.zoho.com/open-view/2395394000007379319 "/>
    <x v="0"/>
    <s v="#1774B9"/>
  </r>
  <r>
    <s v="0659"/>
    <n v="300"/>
    <s v="Violencia contra la mujer"/>
    <s v="Mujeres"/>
    <n v="0"/>
    <x v="12"/>
    <x v="3"/>
    <x v="0"/>
    <x v="0"/>
    <x v="2"/>
    <x v="11"/>
    <s v="Periodo 2010-2016"/>
    <s v="Número de atenciones"/>
    <s v="Departamento de Estadísticas e Información de la Salud (DEIS)"/>
    <s v="Atenciones médicas por Violencia de Género en el territorio nacional por Servicio Nacional de Salud. Periodo 2010-2016"/>
    <s v="Gráfico que muestra las atenciones médicas por Violencia de Género por Servicio Nacional de Salud para el territorio nacional según los datos recopilados del Departamento de Estadísticas e Información de la Salud. Chile Periodo 2010-2016."/>
    <s v="Gráfico de Evolución"/>
    <s v="salud urgencia violencia género vif atenciones médicas servicio nacional salud chile"/>
    <s v="https://analytics.zoho.com/open-view/2395394000006987089"/>
    <x v="0"/>
    <s v="#1774B9"/>
  </r>
  <r>
    <s v="0660"/>
    <n v="300"/>
    <s v="Violencia contra la mujer"/>
    <s v="Mujeres"/>
    <n v="1"/>
    <x v="12"/>
    <x v="3"/>
    <x v="1"/>
    <x v="85"/>
    <x v="2"/>
    <x v="11"/>
    <s v="Periodo 2010-2016"/>
    <s v="Número de atenciones"/>
    <s v="Departamento de Estadísticas e Información de la Salud (DEIS)"/>
    <s v="Atenciones médicas por Violencia de Género en la Región de Tarapacá por Servicio Nacional de Salud. Periodo 2010-2016"/>
    <s v="Gráfico que muestra las atenciones médicas por Violencia de Género por Servicio Nacional de Salud para la Región de Tarapacá según los datos recopilados del Departamento de Estadísticas e Información de la Salud. Chile Periodo 2010-2016."/>
    <s v="Gráfico de Evolución"/>
    <s v="salud urgencia violencia género vif atenciones médicas servicio nacional salud tarapacá"/>
    <s v="https://analytics.zoho.com/open-view/2395394000008621591?ZOHO_CRITERIA=%2227.10%22.%22Id_Regi%C3%B3n%22%20%3D%201"/>
    <x v="1"/>
    <s v="#1774B9"/>
  </r>
  <r>
    <s v="0661"/>
    <n v="300"/>
    <s v="Violencia contra la mujer"/>
    <s v="Mujeres"/>
    <n v="2"/>
    <x v="12"/>
    <x v="3"/>
    <x v="1"/>
    <x v="18"/>
    <x v="2"/>
    <x v="11"/>
    <s v="Periodo 2010-2016"/>
    <s v="Número de atenciones"/>
    <s v="Departamento de Estadísticas e Información de la Salud (DEIS)"/>
    <s v="Atenciones médicas por Violencia de Género en la Región de Antofagasta por Servicio Nacional de Salud. Periodo 2010-2016"/>
    <s v="Gráfico que muestra las atenciones médicas por Violencia de Género por Servicio Nacional de Salud para la Región de Antofagasta según los datos recopilados del Departamento de Estadísticas e Información de la Salud. Chile Periodo 2010-2016."/>
    <s v="Gráfico de Evolución"/>
    <s v="salud urgencia violencia género vif atenciones médicas servicio nacional salud antofagasta"/>
    <s v="https://analytics.zoho.com/open-view/2395394000008621591?ZOHO_CRITERIA=%2227.10%22.%22Id_Regi%C3%B3n%22%20%3D%202"/>
    <x v="2"/>
    <s v="#1774B9"/>
  </r>
  <r>
    <s v="0662"/>
    <n v="300"/>
    <s v="Violencia contra la mujer"/>
    <s v="Mujeres"/>
    <n v="3"/>
    <x v="12"/>
    <x v="3"/>
    <x v="1"/>
    <x v="86"/>
    <x v="2"/>
    <x v="11"/>
    <s v="Periodo 2010-2016"/>
    <s v="Número de atenciones"/>
    <s v="Departamento de Estadísticas e Información de la Salud (DEIS)"/>
    <s v="Atenciones médicas por Violencia de Género en la Región de Atacama por Servicio Nacional de Salud. Periodo 2010-2016"/>
    <s v="Gráfico que muestra las atenciones médicas por Violencia de Género por Servicio Nacional de Salud para la Región de Atacama según los datos recopilados del Departamento de Estadísticas e Información de la Salud. Chile Periodo 2010-2016."/>
    <s v="Gráfico de Evolución"/>
    <s v="salud urgencia violencia género vif atenciones médicas servicio nacional salud atacama"/>
    <s v="https://analytics.zoho.com/open-view/2395394000008621591?ZOHO_CRITERIA=%2227.10%22.%22Id_Regi%C3%B3n%22%20%3D%203"/>
    <x v="3"/>
    <s v="#1774B9"/>
  </r>
  <r>
    <s v="0663"/>
    <n v="300"/>
    <s v="Violencia contra la mujer"/>
    <s v="Mujeres"/>
    <n v="4"/>
    <x v="12"/>
    <x v="3"/>
    <x v="1"/>
    <x v="24"/>
    <x v="2"/>
    <x v="11"/>
    <s v="Periodo 2010-2016"/>
    <s v="Número de atenciones"/>
    <s v="Departamento de Estadísticas e Información de la Salud (DEIS)"/>
    <s v="Atenciones médicas por Violencia de Género en la Región de Coquimbo por Servicio Nacional de Salud. Periodo 2010-2016"/>
    <s v="Gráfico que muestra las atenciones médicas por Violencia de Género por Servicio Nacional de Salud para la Región de Coquimbo según los datos recopilados del Departamento de Estadísticas e Información de la Salud. Chile Periodo 2010-2016."/>
    <s v="Gráfico de Evolución"/>
    <s v="salud urgencia violencia género vif atenciones médicas servicio nacional salud coquimbo"/>
    <s v="https://analytics.zoho.com/open-view/2395394000008621591?ZOHO_CRITERIA=%2227.10%22.%22Id_Regi%C3%B3n%22%20%3D%204"/>
    <x v="4"/>
    <s v="#1774B9"/>
  </r>
  <r>
    <s v="0664"/>
    <n v="300"/>
    <s v="Violencia contra la mujer"/>
    <s v="Mujeres"/>
    <n v="5"/>
    <x v="12"/>
    <x v="3"/>
    <x v="1"/>
    <x v="87"/>
    <x v="2"/>
    <x v="11"/>
    <s v="Periodo 2010-2016"/>
    <s v="Número de atenciones"/>
    <s v="Departamento de Estadísticas e Información de la Salud (DEIS)"/>
    <s v="Atenciones médicas por Violencia de Género en la Región de Valparaíso por Servicio Nacional de Salud. Periodo 2010-2016"/>
    <s v="Gráfico que muestra las atenciones médicas por Violencia de Género por Servicio Nacional de Salud para la Región de Valparaíso según los datos recopilados del Departamento de Estadísticas e Información de la Salud. Chile Periodo 2010-2016."/>
    <s v="Gráfico de Evolución"/>
    <s v="salud urgencia violencia género vif atenciones médicas servicio nacional salud valparaíso"/>
    <s v="https://analytics.zoho.com/open-view/2395394000008621591?ZOHO_CRITERIA=%2227.10%22.%22Id_Regi%C3%B3n%22%20%3D%205"/>
    <x v="5"/>
    <s v="#1774B9"/>
  </r>
  <r>
    <s v="0665"/>
    <n v="300"/>
    <s v="Violencia contra la mujer"/>
    <s v="Mujeres"/>
    <n v="6"/>
    <x v="12"/>
    <x v="3"/>
    <x v="1"/>
    <x v="88"/>
    <x v="2"/>
    <x v="11"/>
    <s v="Periodo 2010-2016"/>
    <s v="Número de atenciones"/>
    <s v="Departamento de Estadísticas e Información de la Salud (DEIS)"/>
    <s v="Atenciones médicas por Violencia de Género en la Región de O Higgins por Servicio Nacional de Salud. Periodo 2010-2016"/>
    <s v="Gráfico que muestra las atenciones médicas por Violencia de Género por Servicio Nacional de Salud para la Región de O Higgins según los datos recopilados del Departamento de Estadísticas e Información de la Salud. Chile Periodo 2010-2016."/>
    <s v="Gráfico de Evolución"/>
    <s v="salud urgencia violencia género vif atenciones médicas servicio nacional salud ohiggins"/>
    <s v="https://analytics.zoho.com/open-view/2395394000008621591?ZOHO_CRITERIA=%2227.10%22.%22Id_Regi%C3%B3n%22%20%3D%206"/>
    <x v="6"/>
    <s v="#1774B9"/>
  </r>
  <r>
    <s v="0666"/>
    <n v="300"/>
    <s v="Violencia contra la mujer"/>
    <s v="Mujeres"/>
    <n v="7"/>
    <x v="12"/>
    <x v="3"/>
    <x v="1"/>
    <x v="89"/>
    <x v="2"/>
    <x v="11"/>
    <s v="Periodo 2010-2016"/>
    <s v="Número de atenciones"/>
    <s v="Departamento de Estadísticas e Información de la Salud (DEIS)"/>
    <s v="Atenciones médicas por Violencia de Género en la Región del Maule por Servicio Nacional de Salud. Periodo 2010-2016"/>
    <s v="Gráfico que muestra las atenciones médicas por Violencia de Género por Servicio Nacional de Salud para la Región del Maule según los datos recopilados del Departamento de Estadísticas e Información de la Salud. Chile Periodo 2010-2016."/>
    <s v="Gráfico de Evolución"/>
    <s v="salud urgencia violencia género vif atenciones médicas servicio nacional salud maule"/>
    <s v="https://analytics.zoho.com/open-view/2395394000008621591?ZOHO_CRITERIA=%2227.10%22.%22Id_Regi%C3%B3n%22%20%3D%207"/>
    <x v="7"/>
    <s v="#1774B9"/>
  </r>
  <r>
    <s v="0667"/>
    <n v="300"/>
    <s v="Violencia contra la mujer"/>
    <s v="Mujeres"/>
    <n v="8"/>
    <x v="12"/>
    <x v="3"/>
    <x v="1"/>
    <x v="90"/>
    <x v="2"/>
    <x v="11"/>
    <s v="Periodo 2010-2016"/>
    <s v="Número de atenciones"/>
    <s v="Departamento de Estadísticas e Información de la Salud (DEIS)"/>
    <s v="Atenciones médicas por Violencia de Género en la Región del Biobío por Servicio Nacional de Salud. Periodo 2010-2016"/>
    <s v="Gráfico que muestra las atenciones médicas por Violencia de Género por Servicio Nacional de Salud para la Región del Biobío según los datos recopilados del Departamento de Estadísticas e Información de la Salud. Chile Periodo 2010-2016."/>
    <s v="Gráfico de Evolución"/>
    <s v="salud urgencia violencia género vif atenciones médicas servicio nacional salud biobío"/>
    <s v="https://analytics.zoho.com/open-view/2395394000008621591?ZOHO_CRITERIA=%2227.10%22.%22Id_Regi%C3%B3n%22%20%3D%208"/>
    <x v="8"/>
    <s v="#1774B9"/>
  </r>
  <r>
    <s v="0668"/>
    <n v="300"/>
    <s v="Violencia contra la mujer"/>
    <s v="Mujeres"/>
    <n v="9"/>
    <x v="12"/>
    <x v="3"/>
    <x v="1"/>
    <x v="91"/>
    <x v="2"/>
    <x v="11"/>
    <s v="Periodo 2010-2016"/>
    <s v="Número de atenciones"/>
    <s v="Departamento de Estadísticas e Información de la Salud (DEIS)"/>
    <s v="Atenciones médicas por Violencia de Género en la Región de La Araucanía por Servicio Nacional de Salud. Periodo 2010-2016"/>
    <s v="Gráfico que muestra las atenciones médicas por Violencia de Género por Servicio Nacional de Salud para la Región de La Araucanía según los datos recopilados del Departamento de Estadísticas e Información de la Salud. Chile Periodo 2010-2016."/>
    <s v="Gráfico de Evolución"/>
    <s v="salud urgencia violencia género vif atenciones médicas servicio nacional salud araucanía"/>
    <s v="https://analytics.zoho.com/open-view/2395394000008621591?ZOHO_CRITERIA=%2227.10%22.%22Id_Regi%C3%B3n%22%20%3D%209"/>
    <x v="9"/>
    <s v="#1774B9"/>
  </r>
  <r>
    <s v="0669"/>
    <n v="300"/>
    <s v="Violencia contra la mujer"/>
    <s v="Mujeres"/>
    <n v="10"/>
    <x v="12"/>
    <x v="3"/>
    <x v="1"/>
    <x v="78"/>
    <x v="2"/>
    <x v="11"/>
    <s v="Periodo 2010-2016"/>
    <s v="Número de atenciones"/>
    <s v="Departamento de Estadísticas e Información de la Salud (DEIS)"/>
    <s v="Atenciones médicas por Violencia de Género en la Región de Los Lagos por Servicio Nacional de Salud. Periodo 2010-2016"/>
    <s v="Gráfico que muestra las atenciones médicas por Violencia de Género por Servicio Nacional de Salud para la Región de Los Lagos según los datos recopilados del Departamento de Estadísticas e Información de la Salud. Chile Periodo 2010-2016."/>
    <s v="Gráfico de Evolución"/>
    <s v="salud urgencia violencia género vif atenciones médicas servicio nacional salud los lagos"/>
    <s v="https://analytics.zoho.com/open-view/2395394000008621591?ZOHO_CRITERIA=%2227.10%22.%22Id_Regi%C3%B3n%22%20%3D%2010"/>
    <x v="10"/>
    <s v="#1774B9"/>
  </r>
  <r>
    <s v="0670"/>
    <n v="300"/>
    <s v="Violencia contra la mujer"/>
    <s v="Mujeres"/>
    <n v="11"/>
    <x v="12"/>
    <x v="3"/>
    <x v="1"/>
    <x v="92"/>
    <x v="2"/>
    <x v="11"/>
    <s v="Periodo 2010-2016"/>
    <s v="Número de atenciones"/>
    <s v="Departamento de Estadísticas e Información de la Salud (DEIS)"/>
    <s v="Atenciones médicas por Violencia de Género en la Región de Aysén por Servicio Nacional de Salud. Periodo 2010-2016"/>
    <s v="Gráfico que muestra las atenciones médicas por Violencia de Género por Servicio Nacional de Salud para la Región de Aysén según los datos recopilados del Departamento de Estadísticas e Información de la Salud. Chile Periodo 2010-2016."/>
    <s v="Gráfico de Evolución"/>
    <s v="salud urgencia violencia género vif atenciones médicas servicio nacional salud aysén"/>
    <s v="https://analytics.zoho.com/open-view/2395394000008621591?ZOHO_CRITERIA=%2227.10%22.%22Id_Regi%C3%B3n%22%20%3D%2011"/>
    <x v="11"/>
    <s v="#1774B9"/>
  </r>
  <r>
    <s v="0671"/>
    <n v="300"/>
    <s v="Violencia contra la mujer"/>
    <s v="Mujeres"/>
    <n v="12"/>
    <x v="12"/>
    <x v="3"/>
    <x v="1"/>
    <x v="93"/>
    <x v="2"/>
    <x v="11"/>
    <s v="Periodo 2010-2016"/>
    <s v="Número de atenciones"/>
    <s v="Departamento de Estadísticas e Información de la Salud (DEIS)"/>
    <s v="Atenciones médicas por Violencia de Género en la Región de Magallanes por Servicio Nacional de Salud. Periodo 2010-2016"/>
    <s v="Gráfico que muestra las atenciones médicas por Violencia de Género por Servicio Nacional de Salud para la Región de Magallanes según los datos recopilados del Departamento de Estadísticas e Información de la Salud. Chile Periodo 2010-2016."/>
    <s v="Gráfico de Evolución"/>
    <s v="salud urgencia violencia género vif atenciones médicas servicio nacional salud magallanes"/>
    <s v="https://analytics.zoho.com/open-view/2395394000008621591?ZOHO_CRITERIA=%2227.10%22.%22Id_Regi%C3%B3n%22%20%3D%2012"/>
    <x v="12"/>
    <s v="#1774B9"/>
  </r>
  <r>
    <s v="0672"/>
    <n v="300"/>
    <s v="Violencia contra la mujer"/>
    <s v="Mujeres"/>
    <n v="13"/>
    <x v="12"/>
    <x v="3"/>
    <x v="1"/>
    <x v="94"/>
    <x v="2"/>
    <x v="11"/>
    <s v="Periodo 2010-2016"/>
    <s v="Número de atenciones"/>
    <s v="Departamento de Estadísticas e Información de la Salud (DEIS)"/>
    <s v="Atenciones médicas por Violencia de Género en la Región Metropolitana por Servicio Nacional de Salud. Periodo 2010-2016"/>
    <s v="Gráfico que muestra las atenciones médicas por Violencia de Género por Servicio Nacional de Salud para la Región Metropolitana según los datos recopilados del Departamento de Estadísticas e Información de la Salud. Chile Periodo 2010-2016."/>
    <s v="Gráfico de Evolución"/>
    <s v="salud urgencia violencia género vif atenciones médicas servicio nacional salud metropolitana"/>
    <s v="https://analytics.zoho.com/open-view/2395394000008621591?ZOHO_CRITERIA=%2227.10%22.%22Id_Regi%C3%B3n%22%20%3D%2013"/>
    <x v="13"/>
    <s v="#1774B9"/>
  </r>
  <r>
    <s v="0673"/>
    <n v="300"/>
    <s v="Violencia contra la mujer"/>
    <s v="Mujeres"/>
    <n v="14"/>
    <x v="12"/>
    <x v="3"/>
    <x v="1"/>
    <x v="95"/>
    <x v="2"/>
    <x v="11"/>
    <s v="Periodo 2010-2016"/>
    <s v="Número de atenciones"/>
    <s v="Departamento de Estadísticas e Información de la Salud (DEIS)"/>
    <s v="Atenciones médicas por Violencia de Género en la Región de Los Ríos por Servicio Nacional de Salud. Periodo 2010-2016"/>
    <s v="Gráfico que muestra las atenciones médicas por Violencia de Género por Servicio Nacional de Salud para la Región de Los Ríos según los datos recopilados del Departamento de Estadísticas e Información de la Salud. Chile Periodo 2010-2016."/>
    <s v="Gráfico de Evolución"/>
    <s v="salud urgencia violencia género vif atenciones médicas servicio nacional salud los ríos"/>
    <s v="https://analytics.zoho.com/open-view/2395394000008621591?ZOHO_CRITERIA=%2227.10%22.%22Id_Regi%C3%B3n%22%20%3D%2014"/>
    <x v="14"/>
    <s v="#1774B9"/>
  </r>
  <r>
    <s v="0674"/>
    <n v="300"/>
    <s v="Violencia contra la mujer"/>
    <s v="Mujeres"/>
    <n v="15"/>
    <x v="12"/>
    <x v="3"/>
    <x v="1"/>
    <x v="96"/>
    <x v="2"/>
    <x v="11"/>
    <s v="Periodo 2010-2016"/>
    <s v="Número de atenciones"/>
    <s v="Departamento de Estadísticas e Información de la Salud (DEIS)"/>
    <s v="Atenciones médicas por Violencia de Género en la Región de Arica y Parinacota por Servicio Nacional de Salud. Periodo 2010-2016"/>
    <s v="Gráfico que muestra las atenciones médicas por Violencia de Género por Servicio Nacional de Salud para la Región de Arica y Parinacota según los datos recopilados del Departamento de Estadísticas e Información de la Salud. Chile Periodo 2010-2016."/>
    <s v="Gráfico de Evolución"/>
    <s v="salud urgencia violencia género vif atenciones médicas servicio nacional salud arica parinacota"/>
    <s v="https://analytics.zoho.com/open-view/2395394000008621591?ZOHO_CRITERIA=%2227.10%22.%22Id_Regi%C3%B3n%22%20%3D%2015"/>
    <x v="15"/>
    <s v="#1774B9"/>
  </r>
  <r>
    <s v="0675"/>
    <n v="300"/>
    <s v="Violencia contra la mujer"/>
    <s v="Mujeres"/>
    <n v="16"/>
    <x v="12"/>
    <x v="3"/>
    <x v="1"/>
    <x v="97"/>
    <x v="2"/>
    <x v="11"/>
    <s v="Periodo 2010-2016"/>
    <s v="Número de atenciones"/>
    <s v="Departamento de Estadísticas e Información de la Salud (DEIS)"/>
    <s v="Atenciones médicas por Violencia de Género en la Región del Ñuble por Servicio Nacional de Salud. Periodo 2010-2016"/>
    <s v="Gráfico que muestra las atenciones médicas por Violencia de Género por Servicio Nacional de Salud para la Región del Ñuble según los datos recopilados del Departamento de Estadísticas e Información de la Salud. Chile Periodo 2010-2016."/>
    <s v="Gráfico de Evolución"/>
    <s v="salud urgencia violencia género vif atenciones médicas servicio nacional salud ñuble"/>
    <s v="https://analytics.zoho.com/open-view/2395394000008621591?ZOHO_CRITERIA=%2227.10%22.%22Id_Regi%C3%B3n%22%20%3D%2016"/>
    <x v="16"/>
    <s v="#1774B9"/>
  </r>
  <r>
    <s v="0676"/>
    <n v="300"/>
    <s v="Violencia contra la mujer"/>
    <s v="Mujeres"/>
    <n v="0"/>
    <x v="13"/>
    <x v="3"/>
    <x v="0"/>
    <x v="0"/>
    <x v="2"/>
    <x v="11"/>
    <s v="Periodo 2010-2016"/>
    <s v="Número de atenciones"/>
    <s v="Departamento de Estadísticas e Información de la Salud (DEIS)"/>
    <s v="Atenciones médicas por Violencia de Género en el territorio nacional por Concepto de Atención. Periodo 2010-2016"/>
    <s v="Gráfico que muestra las atenciones médicas por Violencia de Género por Concepto de Atención para el territorio nacional según los datos recopilados del Departamento de Estadísticas e Información de la Salud. Chile Periodo 2010-2016."/>
    <s v="Gráfico de Evolución"/>
    <s v="salud urgencia violencia género vif atenciones médicas chile"/>
    <s v="https://analytics.zoho.com/open-view/2395394000007034178"/>
    <x v="33"/>
    <s v="#1774B9"/>
  </r>
  <r>
    <s v="0677"/>
    <n v="300"/>
    <s v="Violencia contra la mujer"/>
    <s v="Mujeres"/>
    <n v="1"/>
    <x v="13"/>
    <x v="3"/>
    <x v="1"/>
    <x v="85"/>
    <x v="2"/>
    <x v="11"/>
    <s v="Periodo 2010-2016"/>
    <s v="Número de atenciones"/>
    <s v="Departamento de Estadísticas e Información de la Salud (DEIS)"/>
    <s v="Atenciones médicas por Violencia de Género en la Región de Tarapacá por Concepto de Atención. Periodo 2010-2016"/>
    <s v="Gráfico que muestra las atenciones médicas por Violencia de Género por Concepto de Atención para la Región de Tarapacá según los datos recopilados del Departamento de Estadísticas e Información de la Salud. Chile Periodo 2010-2016."/>
    <s v="Gráfico de Evolución"/>
    <s v="salud urgencia violencia género vif atenciones médicas concepto urgencia tarapacá"/>
    <s v="https://analytics.zoho.com/open-view/2395394000008621663?ZOHO_CRITERIA=%2227.10%22.%22Id_Regi%C3%B3n%22%20%3D%201"/>
    <x v="17"/>
    <s v="#1774B9"/>
  </r>
  <r>
    <s v="0678"/>
    <n v="300"/>
    <s v="Violencia contra la mujer"/>
    <s v="Mujeres"/>
    <n v="2"/>
    <x v="13"/>
    <x v="3"/>
    <x v="1"/>
    <x v="18"/>
    <x v="2"/>
    <x v="11"/>
    <s v="Periodo 2010-2016"/>
    <s v="Número de atenciones"/>
    <s v="Departamento de Estadísticas e Información de la Salud (DEIS)"/>
    <s v="Atenciones médicas por Violencia de Género en la Región de Antofagasta por Concepto de Atención. Periodo 2010-2016"/>
    <s v="Gráfico que muestra las atenciones médicas por Violencia de Género por Concepto de Atención para la Región de Antofagasta según los datos recopilados del Departamento de Estadísticas e Información de la Salud. Chile Periodo 2010-2016."/>
    <s v="Gráfico de Evolución"/>
    <s v="salud urgencia violencia género vif atenciones médicas concepto urgencia antofagasta"/>
    <s v="https://analytics.zoho.com/open-view/2395394000008621663?ZOHO_CRITERIA=%2227.10%22.%22Id_Regi%C3%B3n%22%20%3D%202"/>
    <x v="18"/>
    <s v="#1774B9"/>
  </r>
  <r>
    <s v="0679"/>
    <n v="300"/>
    <s v="Violencia contra la mujer"/>
    <s v="Mujeres"/>
    <n v="3"/>
    <x v="13"/>
    <x v="3"/>
    <x v="1"/>
    <x v="86"/>
    <x v="2"/>
    <x v="11"/>
    <s v="Periodo 2010-2016"/>
    <s v="Número de atenciones"/>
    <s v="Departamento de Estadísticas e Información de la Salud (DEIS)"/>
    <s v="Atenciones médicas por Violencia de Género en la Región de Atacama por Concepto de Atención. Periodo 2010-2016"/>
    <s v="Gráfico que muestra las atenciones médicas por Violencia de Género por Concepto de Atención para la Región de Atacama según los datos recopilados del Departamento de Estadísticas e Información de la Salud. Chile Periodo 2010-2016."/>
    <s v="Gráfico de Evolución"/>
    <s v="salud urgencia violencia género vif atenciones médicas concepto urgencia atacama"/>
    <s v="https://analytics.zoho.com/open-view/2395394000008621663?ZOHO_CRITERIA=%2227.10%22.%22Id_Regi%C3%B3n%22%20%3D%203"/>
    <x v="19"/>
    <s v="#1774B9"/>
  </r>
  <r>
    <s v="0680"/>
    <n v="300"/>
    <s v="Violencia contra la mujer"/>
    <s v="Mujeres"/>
    <n v="4"/>
    <x v="13"/>
    <x v="3"/>
    <x v="1"/>
    <x v="24"/>
    <x v="2"/>
    <x v="11"/>
    <s v="Periodo 2010-2016"/>
    <s v="Número de atenciones"/>
    <s v="Departamento de Estadísticas e Información de la Salud (DEIS)"/>
    <s v="Atenciones médicas por Violencia de Género en la Región de Coquimbo por Concepto de Atención. Periodo 2010-2016"/>
    <s v="Gráfico que muestra las atenciones médicas por Violencia de Género por Concepto de Atención para la Región de Coquimbo según los datos recopilados del Departamento de Estadísticas e Información de la Salud. Chile Periodo 2010-2016."/>
    <s v="Gráfico de Evolución"/>
    <s v="salud urgencia violencia género vif atenciones médicas concepto urgencia coquimbo"/>
    <s v="https://analytics.zoho.com/open-view/2395394000008621663?ZOHO_CRITERIA=%2227.10%22.%22Id_Regi%C3%B3n%22%20%3D%204"/>
    <x v="20"/>
    <s v="#1774B9"/>
  </r>
  <r>
    <s v="0681"/>
    <n v="300"/>
    <s v="Violencia contra la mujer"/>
    <s v="Mujeres"/>
    <n v="5"/>
    <x v="13"/>
    <x v="3"/>
    <x v="1"/>
    <x v="87"/>
    <x v="2"/>
    <x v="11"/>
    <s v="Periodo 2010-2016"/>
    <s v="Número de atenciones"/>
    <s v="Departamento de Estadísticas e Información de la Salud (DEIS)"/>
    <s v="Atenciones médicas por Violencia de Género en la Región de Valparaíso por Concepto de Atención. Periodo 2010-2016"/>
    <s v="Gráfico que muestra las atenciones médicas por Violencia de Género por Concepto de Atención para la Región de Valparaíso según los datos recopilados del Departamento de Estadísticas e Información de la Salud. Chile Periodo 2010-2016."/>
    <s v="Gráfico de Evolución"/>
    <s v="salud urgencia violencia género vif atenciones médicas concepto urgencia valparaíso"/>
    <s v="https://analytics.zoho.com/open-view/2395394000008621663?ZOHO_CRITERIA=%2227.10%22.%22Id_Regi%C3%B3n%22%20%3D%205"/>
    <x v="21"/>
    <s v="#1774B9"/>
  </r>
  <r>
    <s v="0682"/>
    <n v="300"/>
    <s v="Violencia contra la mujer"/>
    <s v="Mujeres"/>
    <n v="6"/>
    <x v="13"/>
    <x v="3"/>
    <x v="1"/>
    <x v="88"/>
    <x v="2"/>
    <x v="11"/>
    <s v="Periodo 2010-2016"/>
    <s v="Número de atenciones"/>
    <s v="Departamento de Estadísticas e Información de la Salud (DEIS)"/>
    <s v="Atenciones médicas por Violencia de Género en la Región de O Higgins por Concepto de Atención. Periodo 2010-2016"/>
    <s v="Gráfico que muestra las atenciones médicas por Violencia de Género por Concepto de Atención para la Región de O Higgins según los datos recopilados del Departamento de Estadísticas e Información de la Salud. Chile Periodo 2010-2016."/>
    <s v="Gráfico de Evolución"/>
    <s v="salud urgencia violencia género vif atenciones médicas concepto urgencia ohiggins"/>
    <s v="https://analytics.zoho.com/open-view/2395394000008621663?ZOHO_CRITERIA=%2227.10%22.%22Id_Regi%C3%B3n%22%20%3D%206"/>
    <x v="22"/>
    <s v="#1774B9"/>
  </r>
  <r>
    <s v="0683"/>
    <n v="300"/>
    <s v="Violencia contra la mujer"/>
    <s v="Mujeres"/>
    <n v="7"/>
    <x v="13"/>
    <x v="3"/>
    <x v="1"/>
    <x v="89"/>
    <x v="2"/>
    <x v="11"/>
    <s v="Periodo 2010-2016"/>
    <s v="Número de atenciones"/>
    <s v="Departamento de Estadísticas e Información de la Salud (DEIS)"/>
    <s v="Atenciones médicas por Violencia de Género en la Región del Maule por Concepto de Atención.Periodo 2010-2016"/>
    <s v="Gráfico que muestra las atenciones médicas por Violencia de Género por Concepto de Atención para la Región del Maule según los datos recopilados del Departamento de Estadísticas e Información de la Salud. Chile Periodo 2010-2016."/>
    <s v="Gráfico de Evolución"/>
    <s v="salud urgencia violencia género vif atenciones médicas concepto urgencia maule"/>
    <s v="https://analytics.zoho.com/open-view/2395394000008621663?ZOHO_CRITERIA=%2227.10%22.%22Id_Regi%C3%B3n%22%20%3D%207"/>
    <x v="23"/>
    <s v="#1774B9"/>
  </r>
  <r>
    <s v="0684"/>
    <n v="300"/>
    <s v="Violencia contra la mujer"/>
    <s v="Mujeres"/>
    <n v="8"/>
    <x v="13"/>
    <x v="3"/>
    <x v="1"/>
    <x v="90"/>
    <x v="2"/>
    <x v="11"/>
    <s v="Periodo 2010-2016"/>
    <s v="Número de atenciones"/>
    <s v="Departamento de Estadísticas e Información de la Salud (DEIS)"/>
    <s v="Atenciones médicas por Violencia de Género en la Región del Biobío por Concepto de Atención.Periodo 2010-2016"/>
    <s v="Gráfico que muestra las atenciones médicas por Violencia de Género por Concepto de Atención para la Región del Biobío según los datos recopilados del Departamento de Estadísticas e Información de la Salud. Chile Periodo 2010-2016."/>
    <s v="Gráfico de Evolución"/>
    <s v="salud urgencia violencia género vif atenciones médicas concepto urgencia biobío"/>
    <s v="https://analytics.zoho.com/open-view/2395394000008621663?ZOHO_CRITERIA=%2227.10%22.%22Id_Regi%C3%B3n%22%20%3D%208"/>
    <x v="24"/>
    <s v="#1774B9"/>
  </r>
  <r>
    <s v="0685"/>
    <n v="300"/>
    <s v="Violencia contra la mujer"/>
    <s v="Mujeres"/>
    <n v="9"/>
    <x v="13"/>
    <x v="3"/>
    <x v="1"/>
    <x v="91"/>
    <x v="2"/>
    <x v="11"/>
    <s v="Periodo 2010-2016"/>
    <s v="Número de atenciones"/>
    <s v="Departamento de Estadísticas e Información de la Salud (DEIS)"/>
    <s v="Atenciones médicas por Violencia de Género en la Región de La Araucanía por Concepto de Atención.Periodo 2010-2016"/>
    <s v="Gráfico que muestra las atenciones médicas por Violencia de Género por Concepto de Atención para la Región de La Araucanía según los datos recopilados del Departamento de Estadísticas e Información de la Salud. Chile Periodo 2010-2016."/>
    <s v="Gráfico de Evolución"/>
    <s v="salud urgencia violencia género vif atenciones médicas concepto urgencia araucanía"/>
    <s v="https://analytics.zoho.com/open-view/2395394000008621663?ZOHO_CRITERIA=%2227.10%22.%22Id_Regi%C3%B3n%22%20%3D%209"/>
    <x v="25"/>
    <s v="#1774B9"/>
  </r>
  <r>
    <s v="0686"/>
    <n v="300"/>
    <s v="Violencia contra la mujer"/>
    <s v="Mujeres"/>
    <n v="10"/>
    <x v="13"/>
    <x v="3"/>
    <x v="1"/>
    <x v="78"/>
    <x v="2"/>
    <x v="11"/>
    <s v="Periodo 2010-2016"/>
    <s v="Número de atenciones"/>
    <s v="Departamento de Estadísticas e Información de la Salud (DEIS)"/>
    <s v="Atenciones médicas por Violencia de Género en la Región de Los Lagos por Concepto de Atención.Periodo 2010-2016"/>
    <s v="Gráfico que muestra las atenciones médicas por Violencia de Género por Concepto de Atención para la Región de Los Lagos según los datos recopilados del Departamento de Estadísticas e Información de la Salud. Chile Periodo 2010-2016."/>
    <s v="Gráfico de Evolución"/>
    <s v="salud urgencia violencia género vif atenciones médicas concepto urgencia los lagos"/>
    <s v="https://analytics.zoho.com/open-view/2395394000008621663?ZOHO_CRITERIA=%2227.10%22.%22Id_Regi%C3%B3n%22%20%3D%2010"/>
    <x v="26"/>
    <s v="#1774B9"/>
  </r>
  <r>
    <s v="0687"/>
    <n v="300"/>
    <s v="Violencia contra la mujer"/>
    <s v="Mujeres"/>
    <n v="11"/>
    <x v="13"/>
    <x v="3"/>
    <x v="1"/>
    <x v="92"/>
    <x v="2"/>
    <x v="11"/>
    <s v="Periodo 2010-2016"/>
    <s v="Número de atenciones"/>
    <s v="Departamento de Estadísticas e Información de la Salud (DEIS)"/>
    <s v="Atenciones médicas por Violencia de Género en la Región de Aysén por Concepto de Atención.Periodo 2010-2016"/>
    <s v="Gráfico que muestra las atenciones médicas por Violencia de Género por Concepto de Atención para la Región de Aysén según los datos recopilados del Departamento de Estadísticas e Información de la Salud. Chile Periodo 2010-2016."/>
    <s v="Gráfico de Evolución"/>
    <s v="salud urgencia violencia género vif atenciones médicas concepto urgencia aysén"/>
    <s v="https://analytics.zoho.com/open-view/2395394000008621663?ZOHO_CRITERIA=%2227.10%22.%22Id_Regi%C3%B3n%22%20%3D%2011"/>
    <x v="27"/>
    <s v="#1774B9"/>
  </r>
  <r>
    <s v="0688"/>
    <n v="300"/>
    <s v="Violencia contra la mujer"/>
    <s v="Mujeres"/>
    <n v="12"/>
    <x v="13"/>
    <x v="3"/>
    <x v="1"/>
    <x v="93"/>
    <x v="2"/>
    <x v="11"/>
    <s v="Periodo 2010-2016"/>
    <s v="Número de atenciones"/>
    <s v="Departamento de Estadísticas e Información de la Salud (DEIS)"/>
    <s v="Atenciones médicas por Violencia de Género en la Región de Magallanes por Concepto de Atención.Periodo 2010-2016"/>
    <s v="Gráfico que muestra las atenciones médicas por Violencia de Género por Concepto de Atención para la Región de Magallanes según los datos recopilados del Departamento de Estadísticas e Información de la Salud. Chile Periodo 2010-2016."/>
    <s v="Gráfico de Evolución"/>
    <s v="salud urgencia violencia género vif atenciones médicas concepto urgencia magallanes"/>
    <s v="https://analytics.zoho.com/open-view/2395394000008621663?ZOHO_CRITERIA=%2227.10%22.%22Id_Regi%C3%B3n%22%20%3D%2012"/>
    <x v="28"/>
    <s v="#1774B9"/>
  </r>
  <r>
    <s v="0689"/>
    <n v="300"/>
    <s v="Violencia contra la mujer"/>
    <s v="Mujeres"/>
    <n v="13"/>
    <x v="13"/>
    <x v="3"/>
    <x v="1"/>
    <x v="94"/>
    <x v="2"/>
    <x v="11"/>
    <s v="Periodo 2010-2016"/>
    <s v="Número de atenciones"/>
    <s v="Departamento de Estadísticas e Información de la Salud (DEIS)"/>
    <s v="Atenciones médicas por Violencia de Género en la Región Metropolitana por Concepto de Atención.Periodo 2010-2016"/>
    <s v="Gráfico que muestra las atenciones médicas por Violencia de Género por Concepto de Atención para la Región Metropolitana según los datos recopilados del Departamento de Estadísticas e Información de la Salud. Chile Periodo 2010-2016."/>
    <s v="Gráfico de Evolución"/>
    <s v="salud urgencia violencia género vif atenciones médicas concepto urgencia metropolitana"/>
    <s v="https://analytics.zoho.com/open-view/2395394000008621663?ZOHO_CRITERIA=%2227.10%22.%22Id_Regi%C3%B3n%22%20%3D%2013"/>
    <x v="29"/>
    <s v="#1774B9"/>
  </r>
  <r>
    <s v="0690"/>
    <n v="300"/>
    <s v="Violencia contra la mujer"/>
    <s v="Mujeres"/>
    <n v="14"/>
    <x v="13"/>
    <x v="3"/>
    <x v="1"/>
    <x v="95"/>
    <x v="2"/>
    <x v="11"/>
    <s v="Periodo 2010-2016"/>
    <s v="Número de atenciones"/>
    <s v="Departamento de Estadísticas e Información de la Salud (DEIS)"/>
    <s v="Atenciones médicas por Violencia de Género en la Región de Los Ríos por Concepto de Atención.Periodo 2010-2016"/>
    <s v="Gráfico que muestra las atenciones médicas por Violencia de Género por Concepto de Atención para la Región de Los Ríos según los datos recopilados del Departamento de Estadísticas e Información de la Salud. Chile Periodo 2010-2016."/>
    <s v="Gráfico de Evolución"/>
    <s v="salud urgencia violencia género vif atenciones médicas concepto urgencia los ríos"/>
    <s v="https://analytics.zoho.com/open-view/2395394000008621663?ZOHO_CRITERIA=%2227.10%22.%22Id_Regi%C3%B3n%22%20%3D%2014"/>
    <x v="30"/>
    <s v="#1774B9"/>
  </r>
  <r>
    <s v="0691"/>
    <n v="300"/>
    <s v="Violencia contra la mujer"/>
    <s v="Mujeres"/>
    <n v="15"/>
    <x v="13"/>
    <x v="3"/>
    <x v="1"/>
    <x v="96"/>
    <x v="2"/>
    <x v="11"/>
    <s v="Periodo 2010-2016"/>
    <s v="Número de atenciones"/>
    <s v="Departamento de Estadísticas e Información de la Salud (DEIS)"/>
    <s v="Atenciones médicas por Violencia de Género en la Región de Arica y Parinacota por Concepto de Atención.Periodo 2010-2016"/>
    <s v="Gráfico que muestra las atenciones médicas por Violencia de Género por Concepto de Atención para la Región de Arica y Parinacota según los datos recopilados del Departamento de Estadísticas e Información de la Salud. Chile Periodo 2010-2016."/>
    <s v="Gráfico de Evolución"/>
    <s v="salud urgencia violencia género vif atenciones médicas concepto urgencia arica parinacota"/>
    <s v="https://analytics.zoho.com/open-view/2395394000008621663?ZOHO_CRITERIA=%2227.10%22.%22Id_Regi%C3%B3n%22%20%3D%2015"/>
    <x v="31"/>
    <s v="#1774B9"/>
  </r>
  <r>
    <s v="0692"/>
    <n v="300"/>
    <s v="Violencia contra la mujer"/>
    <s v="Mujeres"/>
    <n v="16"/>
    <x v="13"/>
    <x v="3"/>
    <x v="1"/>
    <x v="97"/>
    <x v="2"/>
    <x v="11"/>
    <s v="Periodo 2010-2016"/>
    <s v="Número de atenciones"/>
    <s v="Departamento de Estadísticas e Información de la Salud (DEIS)"/>
    <s v="Atenciones médicas por Violencia de Género en la Región del Ñuble por Concepto de Atención.Periodo 2010-2016"/>
    <s v="Gráfico que muestra las atenciones médicas por Violencia de Género por Concepto de Atención para la Región del Ñuble según los datos recopilados del Departamento de Estadísticas e Información de la Salud. Chile Periodo 2010-2016."/>
    <s v="Gráfico de Evolución"/>
    <s v="salud urgencia violencia género vif atenciones médicas concepto urgencia ñuble"/>
    <s v="https://analytics.zoho.com/open-view/2395394000008621663?ZOHO_CRITERIA=%2227.10%22.%22Id_Regi%C3%B3n%22%20%3D%2016"/>
    <x v="32"/>
    <s v="#1774B9"/>
  </r>
  <r>
    <s v="0693"/>
    <n v="300"/>
    <s v="Violencia contra la mujer"/>
    <s v="Mujeres"/>
    <n v="1"/>
    <x v="11"/>
    <x v="3"/>
    <x v="1"/>
    <x v="85"/>
    <x v="2"/>
    <x v="11"/>
    <s v="Periodo 2010-2016"/>
    <s v="Número de atenciones"/>
    <s v="Departamento de Estadísticas e Información de la Salud (DEIS)"/>
    <s v="Atenciones médicas por Violencia de Género en la región de Tarapacá. Periodo 2010-2016"/>
    <s v="Gráfico que muestra las atenciones médicas por Violencia de Género en la región de Tarapacá, según los datos recopilados del Departamento de Estadísticas e Información de la Salud. Periodo 2010-2016."/>
    <s v="Gráfico de Evolución"/>
    <s v="salud urgencia violencia género vif atenciones médicas tarapacá"/>
    <s v="https://analytics.zoho.com/open-view/2395394000007379319?ZOHO_CRITERIA=%2227.10%22.%22Id_Regi%C3%B3n%22%20%3D%201"/>
    <x v="17"/>
    <s v="#1774B9"/>
  </r>
  <r>
    <s v="0694"/>
    <n v="300"/>
    <s v="Violencia contra la mujer"/>
    <s v="Mujeres"/>
    <n v="2"/>
    <x v="11"/>
    <x v="3"/>
    <x v="1"/>
    <x v="18"/>
    <x v="2"/>
    <x v="11"/>
    <s v="Periodo 2010-2016"/>
    <s v="Número de atenciones"/>
    <s v="Departamento de Estadísticas e Información de la Salud (DEIS)"/>
    <s v="Atenciones médicas por Violencia de Género en la región de Antofagasta. Periodo 2010-2016"/>
    <s v="Gráfico que muestra las atenciones médicas por Violencia de Género en la región de Antofagasta, según los datos recopilados del Departamento de Estadísticas e Información de la Salud. Periodo 2010-2016."/>
    <s v="Gráfico de Evolución"/>
    <s v="salud urgencia violencia género vif atenciones médicas antofagasta"/>
    <s v="https://analytics.zoho.com/open-view/2395394000007379319?ZOHO_CRITERIA=%2227.10%22.%22Id_Regi%C3%B3n%22%20%3D%202"/>
    <x v="18"/>
    <s v="#1774B9"/>
  </r>
  <r>
    <s v="0695"/>
    <n v="300"/>
    <s v="Violencia contra la mujer"/>
    <s v="Mujeres"/>
    <n v="3"/>
    <x v="11"/>
    <x v="3"/>
    <x v="1"/>
    <x v="86"/>
    <x v="2"/>
    <x v="11"/>
    <s v="Periodo 2010-2016"/>
    <s v="Número de atenciones"/>
    <s v="Departamento de Estadísticas e Información de la Salud (DEIS)"/>
    <s v="Atenciones médicas por Violencia de Género en la región de Atacama. Periodo 2010-2016"/>
    <s v="Gráfico que muestra las atenciones médicas por Violencia de Género en la región de Atacama, según los datos recopilados del Departamento de Estadísticas e Información de la Salud. Periodo 2010-2016."/>
    <s v="Gráfico de Evolución"/>
    <s v="salud urgencia violencia género vif atenciones médicas atacama"/>
    <s v="https://analytics.zoho.com/open-view/2395394000007379319?ZOHO_CRITERIA=%2227.10%22.%22Id_Regi%C3%B3n%22%20%3D%203"/>
    <x v="19"/>
    <s v="#1774B9"/>
  </r>
  <r>
    <s v="0696"/>
    <n v="300"/>
    <s v="Violencia contra la mujer"/>
    <s v="Mujeres"/>
    <n v="4"/>
    <x v="11"/>
    <x v="3"/>
    <x v="1"/>
    <x v="24"/>
    <x v="2"/>
    <x v="11"/>
    <s v="Periodo 2010-2016"/>
    <s v="Número de atenciones"/>
    <s v="Departamento de Estadísticas e Información de la Salud (DEIS)"/>
    <s v="Atenciones médicas por Violencia de Género en la región de Coquimbo. Periodo 2010-2016"/>
    <s v="Gráfico que muestra las atenciones médicas por Violencia de Género en la región de Coquimbo, según los datos recopilados del Departamento de Estadísticas e Información de la Salud. Periodo 2010-2016."/>
    <s v="Gráfico de Evolución"/>
    <s v="salud urgencia violencia género vif atenciones médicas coquimbo"/>
    <s v="https://analytics.zoho.com/open-view/2395394000007379319?ZOHO_CRITERIA=%2227.10%22.%22Id_Regi%C3%B3n%22%20%3D%204"/>
    <x v="20"/>
    <s v="#1774B9"/>
  </r>
  <r>
    <s v="0697"/>
    <n v="300"/>
    <s v="Violencia contra la mujer"/>
    <s v="Mujeres"/>
    <n v="5"/>
    <x v="11"/>
    <x v="3"/>
    <x v="1"/>
    <x v="87"/>
    <x v="2"/>
    <x v="11"/>
    <s v="Periodo 2010-2016"/>
    <s v="Número de atenciones"/>
    <s v="Departamento de Estadísticas e Información de la Salud (DEIS)"/>
    <s v="Atenciones médicas por Violencia de Género en la región de Valparaíso. Periodo 2010-2016"/>
    <s v="Gráfico que muestra las atenciones médicas por Violencia de Género en la región de Valparaíso, según los datos recopilados del Departamento de Estadísticas e Información de la Salud. Periodo 2010-2016."/>
    <s v="Gráfico de Evolución"/>
    <s v="salud urgencia violencia género vif atenciones médicas valparaíso"/>
    <s v="https://analytics.zoho.com/open-view/2395394000007379319?ZOHO_CRITERIA=%2227.10%22.%22Id_Regi%C3%B3n%22%20%3D%205"/>
    <x v="21"/>
    <s v="#1774B9"/>
  </r>
  <r>
    <s v="0698"/>
    <n v="300"/>
    <s v="Violencia contra la mujer"/>
    <s v="Mujeres"/>
    <n v="6"/>
    <x v="11"/>
    <x v="3"/>
    <x v="1"/>
    <x v="88"/>
    <x v="2"/>
    <x v="11"/>
    <s v="Periodo 2010-2016"/>
    <s v="Número de atenciones"/>
    <s v="Departamento de Estadísticas e Información de la Salud (DEIS)"/>
    <s v="Atenciones médicas por Violencia de Género en la región de O Higgins. Periodo 2010-2016"/>
    <s v="Gráfico que muestra las atenciones médicas por Violencia de Género en la región de O Higgins, según los datos recopilados del Departamento de Estadísticas e Información de la Salud. Periodo 2010-2016."/>
    <s v="Gráfico de Evolución"/>
    <s v="salud urgencia violencia género vif atenciones médicas ohiggins"/>
    <s v="https://analytics.zoho.com/open-view/2395394000007379319?ZOHO_CRITERIA=%2227.10%22.%22Id_Regi%C3%B3n%22%20%3D%206"/>
    <x v="22"/>
    <s v="#1774B9"/>
  </r>
  <r>
    <s v="0699"/>
    <n v="300"/>
    <s v="Violencia contra la mujer"/>
    <s v="Mujeres"/>
    <n v="7"/>
    <x v="11"/>
    <x v="3"/>
    <x v="1"/>
    <x v="89"/>
    <x v="2"/>
    <x v="11"/>
    <s v="Periodo 2010-2016"/>
    <s v="Número de atenciones"/>
    <s v="Departamento de Estadísticas e Información de la Salud (DEIS)"/>
    <s v="Atenciones médicas por Violencia de Género en la región de Maule. Periodo 2010-2016"/>
    <s v="Gráfico que muestra las atenciones médicas por Violencia de Género en la región de Maule, según los datos recopilados del Departamento de Estadísticas e Información de la Salud. Periodo 2010-2016."/>
    <s v="Gráfico de Evolución"/>
    <s v="salud urgencia violencia género vif atenciones médicas maule"/>
    <s v="https://analytics.zoho.com/open-view/2395394000007379319?ZOHO_CRITERIA=%2227.10%22.%22Id_Regi%C3%B3n%22%20%3D%207"/>
    <x v="23"/>
    <s v="#1774B9"/>
  </r>
  <r>
    <s v="0700"/>
    <n v="300"/>
    <s v="Violencia contra la mujer"/>
    <s v="Mujeres"/>
    <n v="8"/>
    <x v="11"/>
    <x v="3"/>
    <x v="1"/>
    <x v="90"/>
    <x v="2"/>
    <x v="11"/>
    <s v="Periodo 2010-2016"/>
    <s v="Número de atenciones"/>
    <s v="Departamento de Estadísticas e Información de la Salud (DEIS)"/>
    <s v="Atenciones médicas por Violencia de Género en la región de Biobío. Periodo 2010-2016"/>
    <s v="Gráfico que muestra las atenciones médicas por Violencia de Género en la región de Biobío, según los datos recopilados del Departamento de Estadísticas e Información de la Salud. Periodo 2010-2016."/>
    <s v="Gráfico de Evolución"/>
    <s v="salud urgencia violencia género vif atenciones médicas biobío"/>
    <s v="https://analytics.zoho.com/open-view/2395394000007379319?ZOHO_CRITERIA=%2227.10%22.%22Id_Regi%C3%B3n%22%20%3D%208"/>
    <x v="24"/>
    <s v="#1774B9"/>
  </r>
  <r>
    <s v="0701"/>
    <n v="300"/>
    <s v="Violencia contra la mujer"/>
    <s v="Mujeres"/>
    <n v="9"/>
    <x v="11"/>
    <x v="3"/>
    <x v="1"/>
    <x v="91"/>
    <x v="2"/>
    <x v="11"/>
    <s v="Periodo 2010-2016"/>
    <s v="Número de atenciones"/>
    <s v="Departamento de Estadísticas e Información de la Salud (DEIS)"/>
    <s v="Atenciones médicas por Violencia de Género en la región de Araucanía. Periodo 2010-2016"/>
    <s v="Gráfico que muestra las atenciones médicas por Violencia de Género en la región de Araucanía, según los datos recopilados del Departamento de Estadísticas e Información de la Salud. Periodo 2010-2016."/>
    <s v="Gráfico de Evolución"/>
    <s v="salud urgencia violencia género vif atenciones médicas araucanía"/>
    <s v="https://analytics.zoho.com/open-view/2395394000007379319?ZOHO_CRITERIA=%2227.10%22.%22Id_Regi%C3%B3n%22%20%3D%209"/>
    <x v="25"/>
    <s v="#1774B9"/>
  </r>
  <r>
    <s v="0702"/>
    <n v="300"/>
    <s v="Violencia contra la mujer"/>
    <s v="Mujeres"/>
    <n v="10"/>
    <x v="11"/>
    <x v="3"/>
    <x v="1"/>
    <x v="78"/>
    <x v="2"/>
    <x v="11"/>
    <s v="Periodo 2010-2016"/>
    <s v="Número de atenciones"/>
    <s v="Departamento de Estadísticas e Información de la Salud (DEIS)"/>
    <s v="Atenciones médicas por Violencia de Género en la región de Los Lagos. Periodo 2010-2016"/>
    <s v="Gráfico que muestra las atenciones médicas por Violencia de Género en la región de Los Lagos, según los datos recopilados del Departamento de Estadísticas e Información de la Salud. Periodo 2010-2016."/>
    <s v="Gráfico de Evolución"/>
    <s v="salud urgencia violencia género vif atenciones médicas los lagos"/>
    <s v="https://analytics.zoho.com/open-view/2395394000007379319?ZOHO_CRITERIA=%2227.10%22.%22Id_Regi%C3%B3n%22%20%3D%2010"/>
    <x v="26"/>
    <s v="#1774B9"/>
  </r>
  <r>
    <s v="0703"/>
    <n v="300"/>
    <s v="Violencia contra la mujer"/>
    <s v="Mujeres"/>
    <n v="11"/>
    <x v="11"/>
    <x v="3"/>
    <x v="1"/>
    <x v="92"/>
    <x v="2"/>
    <x v="11"/>
    <s v="Periodo 2010-2016"/>
    <s v="Número de atenciones"/>
    <s v="Departamento de Estadísticas e Información de la Salud (DEIS)"/>
    <s v="Atenciones médicas por Violencia de Género en la región de Aysén. Periodo 2010-2016"/>
    <s v="Gráfico que muestra las atenciones médicas por Violencia de Género en la región de Aysén, según los datos recopilados del Departamento de Estadísticas e Información de la Salud. Periodo 2010-2016."/>
    <s v="Gráfico de Evolución"/>
    <s v="salud urgencia violencia género vif atenciones médicas aysén"/>
    <s v="https://analytics.zoho.com/open-view/2395394000007379319?ZOHO_CRITERIA=%2227.10%22.%22Id_Regi%C3%B3n%22%20%3D%2011"/>
    <x v="27"/>
    <s v="#1774B9"/>
  </r>
  <r>
    <s v="0704"/>
    <n v="300"/>
    <s v="Violencia contra la mujer"/>
    <s v="Mujeres"/>
    <n v="12"/>
    <x v="11"/>
    <x v="3"/>
    <x v="1"/>
    <x v="93"/>
    <x v="2"/>
    <x v="11"/>
    <s v="Periodo 2010-2016"/>
    <s v="Número de atenciones"/>
    <s v="Departamento de Estadísticas e Información de la Salud (DEIS)"/>
    <s v="Atenciones médicas por Violencia de Género en la región de Magallanes. Periodo 2010-2016"/>
    <s v="Gráfico que muestra las atenciones médicas por Violencia de Género en la región de Magallanes, según los datos recopilados del Departamento de Estadísticas e Información de la Salud. Periodo 2010-2016."/>
    <s v="Gráfico de Evolución"/>
    <s v="salud urgencia violencia género vif atenciones médicas magallanes"/>
    <s v="https://analytics.zoho.com/open-view/2395394000007379319?ZOHO_CRITERIA=%2227.10%22.%22Id_Regi%C3%B3n%22%20%3D%2012"/>
    <x v="28"/>
    <s v="#1774B9"/>
  </r>
  <r>
    <s v="0705"/>
    <n v="300"/>
    <s v="Violencia contra la mujer"/>
    <s v="Mujeres"/>
    <n v="13"/>
    <x v="11"/>
    <x v="3"/>
    <x v="1"/>
    <x v="94"/>
    <x v="2"/>
    <x v="11"/>
    <s v="Periodo 2010-2016"/>
    <s v="Número de atenciones"/>
    <s v="Departamento de Estadísticas e Información de la Salud (DEIS)"/>
    <s v="Atenciones médicas por Violencia de Género en la región Metropolitana. Periodo 2010-2016"/>
    <s v="Gráfico que muestra las atenciones médicas por Violencia de Género en la región Metropolitana, según los datos recopilados del Departamento de Estadísticas e Información de la Salud. Periodo 2010-2016."/>
    <s v="Gráfico de Evolución"/>
    <s v="salud urgencia violencia género vif atenciones médicas metropolitana"/>
    <s v="https://analytics.zoho.com/open-view/2395394000007379319?ZOHO_CRITERIA=%2227.10%22.%22Id_Regi%C3%B3n%22%20%3D%2013"/>
    <x v="29"/>
    <s v="#1774B9"/>
  </r>
  <r>
    <s v="0706"/>
    <n v="300"/>
    <s v="Violencia contra la mujer"/>
    <s v="Mujeres"/>
    <n v="14"/>
    <x v="11"/>
    <x v="3"/>
    <x v="1"/>
    <x v="95"/>
    <x v="2"/>
    <x v="11"/>
    <s v="Periodo 2010-2016"/>
    <s v="Número de atenciones"/>
    <s v="Departamento de Estadísticas e Información de la Salud (DEIS)"/>
    <s v="Atenciones médicas por Violencia de Género en la región de Los Ríos. Periodo 2010-2016"/>
    <s v="Gráfico que muestra las atenciones médicas por Violencia de Género en la región de Los Ríos, según los datos recopilados del Departamento de Estadísticas e Información de la Salud. Periodo 2010-2016."/>
    <s v="Gráfico de Evolución"/>
    <s v="salud urgencia violencia género vif atenciones médicas los ríos"/>
    <s v="https://analytics.zoho.com/open-view/2395394000007379319?ZOHO_CRITERIA=%2227.10%22.%22Id_Regi%C3%B3n%22%20%3D%2014"/>
    <x v="30"/>
    <s v="#1774B9"/>
  </r>
  <r>
    <s v="0707"/>
    <n v="300"/>
    <s v="Violencia contra la mujer"/>
    <s v="Mujeres"/>
    <n v="15"/>
    <x v="11"/>
    <x v="3"/>
    <x v="1"/>
    <x v="96"/>
    <x v="2"/>
    <x v="11"/>
    <s v="Periodo 2010-2016"/>
    <s v="Número de atenciones"/>
    <s v="Departamento de Estadísticas e Información de la Salud (DEIS)"/>
    <s v="Atenciones médicas por Violencia de Género en la región de Arica y Parinacota. Periodo 2010-2016"/>
    <s v="Gráfico que muestra las atenciones médicas por Violencia de Género en la región de Arica y Parinacota, según los datos recopilados del Departamento de Estadísticas e Información de la Salud. Periodo 2010-2016."/>
    <s v="Gráfico de Evolución"/>
    <s v="salud urgencia violencia género vif atenciones médicas arica parinacota"/>
    <s v="https://analytics.zoho.com/open-view/2395394000007379319?ZOHO_CRITERIA=%2227.10%22.%22Id_Regi%C3%B3n%22%20%3D%2015"/>
    <x v="31"/>
    <s v="#1774B9"/>
  </r>
  <r>
    <s v="0708"/>
    <n v="300"/>
    <s v="Violencia contra la mujer"/>
    <s v="Mujeres"/>
    <n v="16"/>
    <x v="11"/>
    <x v="3"/>
    <x v="1"/>
    <x v="97"/>
    <x v="2"/>
    <x v="11"/>
    <s v="Periodo 2010-2016"/>
    <s v="Número de atenciones"/>
    <s v="Departamento de Estadísticas e Información de la Salud (DEIS)"/>
    <s v="Atenciones médicas por Violencia de Género en la región de Ñuble. Periodo 2010-2016"/>
    <s v="Gráfico que muestra las atenciones médicas por Violencia de Género en la región de Ñuble, según los datos recopilados del Departamento de Estadísticas e Información de la Salud. Periodo 2010-2016."/>
    <s v="Gráfico de Evolución"/>
    <s v="salud urgencia violencia género vif atenciones médicas ñuble"/>
    <s v="https://analytics.zoho.com/open-view/2395394000007379319?ZOHO_CRITERIA=%2227.10%22.%22Id_Regi%C3%B3n%22%20%3D%2016"/>
    <x v="32"/>
    <s v="#1774B9"/>
  </r>
  <r>
    <s v="0709"/>
    <n v="300"/>
    <s v="Violencia contra la mujer"/>
    <s v="Mujeres"/>
    <n v="0"/>
    <x v="14"/>
    <x v="4"/>
    <x v="0"/>
    <x v="0"/>
    <x v="2"/>
    <x v="12"/>
    <s v="Periodo 2015-2016"/>
    <s v="Porcentaje"/>
    <s v="Instituto Nacional de la Juventud"/>
    <s v="Resultados de Encuesta Nacional sobre Acoso Callejero, Periodo 2015-2016"/>
    <s v="El informe muestra los resultados de la sección &quot;Prácticas de acoso sexual callejero según segmentos&quot;, según los datos obtenidos por la encuesta &quot;Sondeo N°2: Acoso Sexual Callejero&quot; realizada por el Instituto Nacional de la Juventud de Chile, en el periodo 2015-2016."/>
    <s v="Informe"/>
    <s v="acoso callejero nacional chile juventud jóvenes"/>
    <s v="https://analytics.zoho.com/open-view/2395394000006893061"/>
    <x v="33"/>
    <s v="#1774B9"/>
  </r>
  <r>
    <s v="0710"/>
    <n v="300"/>
    <s v="Violencia contra la mujer"/>
    <s v="Mujeres"/>
    <n v="0"/>
    <x v="15"/>
    <x v="5"/>
    <x v="0"/>
    <x v="0"/>
    <x v="3"/>
    <x v="13"/>
    <s v="Período 2005-2021"/>
    <s v="Número de Aprehensiones"/>
    <s v="Centro de Estudios y Análisis del Delito (CEAD) de la Subsecretaría de Prevención del Delito"/>
    <s v="Frecuencia de Aprehensiones asociadas a VIF a nivel nacional para el Periodo 2005-2021."/>
    <s v="Gráfico que muestra la frecuencia de las Aprehensiones por Violencia Intrafamiliar a  nivel nacional, por región y por comuna, según datos recopilados desde el Centro de Estudios y Análsis del Delito durante el Periodo 2005-2021."/>
    <s v="Gráfico de Evolución"/>
    <s v="chile nacional delitos género violencia hacia mujer mujeres víctimas intrafamiliar familiar aprehensiones comuna región"/>
    <s v="https://analytics.zoho.com/open-view/2395394000008632088"/>
    <x v="34"/>
    <s v="#1774B9"/>
  </r>
  <r>
    <m/>
    <n v="300"/>
    <s v="Violencia contra la mujer"/>
    <s v="Mujeres"/>
    <n v="0"/>
    <x v="16"/>
    <x v="5"/>
    <x v="0"/>
    <x v="0"/>
    <x v="3"/>
    <x v="14"/>
    <s v="Período 2005-2021"/>
    <s v="Número de Casos Policiales"/>
    <s v="Centro de Estudios y Análisis del Delito (CEAD) de la Subsecretaría de Prevención del Delito"/>
    <s v="Frecuencia de Casos Policiales asociadas a VIF a nivel nacional para el Periodo 2005-2021."/>
    <s v="Gráfico que muestra la frecuencia de los Casos Policiales por Violencia Intrafamiliar a  nivel nacional, por región y por comuna, según datos recopilados desde el Centro de Estudios y Análsis del Delito durante el Periodo 2005-2021."/>
    <s v="Gráfico de Evolución"/>
    <s v="chile nacional delitos género violencia hacia mujer mujeres víctimas intrafamiliar familiar casos policiales comuna región"/>
    <s v="https://analytics.zoho.com/open-view/2395394000008632054"/>
    <x v="34"/>
    <s v="#1774B9"/>
  </r>
  <r>
    <m/>
    <n v="300"/>
    <s v="Violencia contra la mujer"/>
    <s v="Mujeres"/>
    <n v="0"/>
    <x v="17"/>
    <x v="5"/>
    <x v="0"/>
    <x v="0"/>
    <x v="3"/>
    <x v="15"/>
    <s v="Período 2005-2021"/>
    <s v="Número de Denuncias"/>
    <s v="Centro de Estudios y Análisis del Delito (CEAD) de la Subsecretaría de Prevención del Delito"/>
    <s v="Frecuencia de Denuncias asociadas a VIF a nivel nacional para el Periodo 2005-2021."/>
    <s v="Gráfico que muestra la frecuencia de las Denuncias por Violencia Intrafamiliar a  nivel nacional, por región y por comuna, según datos recopilados desde el Centro de Estudios y Análsis del Delito durante el Periodo 2005-2021."/>
    <s v="Gráfico de Evolución"/>
    <s v="chile nacional delitos género violencia hacia mujer mujeres víctimas intrafamiliar familiar denuncias comuna región"/>
    <s v="https://analytics.zoho.com/open-view/2395394000008632180"/>
    <x v="34"/>
    <s v="#1774B9"/>
  </r>
  <r>
    <m/>
    <n v="300"/>
    <s v="Violencia contra la mujer"/>
    <s v="Mujeres"/>
    <n v="0"/>
    <x v="18"/>
    <x v="5"/>
    <x v="0"/>
    <x v="0"/>
    <x v="3"/>
    <x v="16"/>
    <s v="Período 2005-2021"/>
    <s v="Número de Detenciones"/>
    <s v="Centro de Estudios y Análisis del Delito (CEAD) de la Subsecretaría de Prevención del Delito"/>
    <s v="Frecuencia de Detenciones asociadas a VIF a nivel nacional para el Periodo 2005-2021."/>
    <s v="Gráfico que muestra la frecuencia de las Denuncias por Violencia Intrafamiliar a  nivel nacional, por región y por comuna, según datos recopilados desde el Centro de Estudios y Análsis del Delito durante el Periodo 2005-2021."/>
    <s v="Gráfico de Evolución"/>
    <s v="chile nacional delitos género violencia hacia mujer mujeres víctimas intrafamiliar familiar detenciones comuna región"/>
    <s v="https://analytics.zoho.com/open-view/2395394000008632262"/>
    <x v="34"/>
    <s v="#1774B9"/>
  </r>
  <r>
    <m/>
    <n v="300"/>
    <s v="Violencia contra la mujer"/>
    <s v="Mujeres"/>
    <n v="0"/>
    <x v="19"/>
    <x v="5"/>
    <x v="0"/>
    <x v="0"/>
    <x v="3"/>
    <x v="17"/>
    <s v="Período 2005-2021"/>
    <s v="Número de Aprehensiones, Casos Policiales, Denuncias y Detenciones"/>
    <s v="Centro de Estudios y Análisis del Delito (CEAD) de la Subsecretaría de Prevención del Delito"/>
    <s v="Frecuencia de Aprehensiones, Casos Policiales, Denuncias, Detenciones asociadas a VIF a nivel nacional para el Periodo 2005-2021."/>
    <s v="Gráfico que muestra la frecuencia de Aprehensiones, Casos Policiales, Denuncias y Detenciones por Violencia Intrafamiliar a  nivel nacional, por región y por comuna, según datos recopilados desde el Centro de Estudios y Análsis del Delito durante el Periodo 2005-2021."/>
    <s v="Gráfico de Evolución"/>
    <s v="chile nacional delitos género violencia hacia mujer mujeres víctimas intrafamiliar familiar aprehensiones casos policiales denuncias detenciones comuna región"/>
    <s v="https://analytics.zoho.com/open-view/2395394000008632344"/>
    <x v="34"/>
    <s v="#1774B9"/>
  </r>
  <r>
    <m/>
    <n v="300"/>
    <s v="Violencia contra la mujer"/>
    <s v="Mujeres"/>
    <n v="0"/>
    <x v="15"/>
    <x v="5"/>
    <x v="0"/>
    <x v="0"/>
    <x v="3"/>
    <x v="18"/>
    <s v="Período 2005-2021"/>
    <s v="Porcentaje"/>
    <s v="Centro de Estudios y Análisis del Delito (CEAD) de la Subsecretaría de Prevención del Delito"/>
    <s v="Variación Trimestral de Aprehensiones (%) asociadas a VIF a nivel nacional para el Periodo 2005-2021."/>
    <s v="Gráfico que muestra la variación trimestral de Aprehensiones (%) por Violencia Intrafamiliar a nivel nacional y por región y comuna. según datos recopilados desde el Centro de Estudios y Análsis del Delito durante el Periodo 2005-2021."/>
    <s v="Gráfico de Evolución"/>
    <s v="chile nacional delitos género violencia hacia mujer mujeres víctimas intrafamiliar familiar aprehensiones variación trimestral comuna región"/>
    <s v="https://analytics.zoho.com/open-view/2395394000008632539"/>
    <x v="34"/>
    <s v="#1774B9"/>
  </r>
  <r>
    <m/>
    <n v="300"/>
    <s v="Violencia contra la mujer"/>
    <s v="Mujeres"/>
    <n v="0"/>
    <x v="16"/>
    <x v="5"/>
    <x v="0"/>
    <x v="0"/>
    <x v="3"/>
    <x v="19"/>
    <s v="Período 2005-2021"/>
    <s v="Porcentaje "/>
    <s v="Centro de Estudios y Análisis del Delito (CEAD) de la Subsecretaría de Prevención del Delito"/>
    <s v="Variación Trimestral de Casos Policiales (%) asociadas a VIF a nivel nacional para el Periodo 2005-2021."/>
    <s v="Gráfico que muestra la variación trimestral de Casos Policiales (%) por Violencia Intrafamiliar a nivel nacional y por región y comuna. según datos recopilados desde el Centro de Estudios y Análsis del Delito durante el Periodo 2005-2021."/>
    <s v="Gráfico de Evolución"/>
    <s v="chile nacional delitos género violencia hacia mujer mujeres víctimas intrafamiliar familiar casos policiales variación trimestral comuna región"/>
    <s v="https://analytics.zoho.com/open-view/2395394000008632571"/>
    <x v="34"/>
    <s v="#1774B9"/>
  </r>
  <r>
    <m/>
    <n v="300"/>
    <s v="Violencia contra la mujer"/>
    <s v="Mujeres"/>
    <n v="0"/>
    <x v="17"/>
    <x v="5"/>
    <x v="0"/>
    <x v="0"/>
    <x v="3"/>
    <x v="20"/>
    <s v="Período 2005-2021"/>
    <s v="Porcentaje "/>
    <s v="Centro de Estudios y Análisis del Delito (CEAD) de la Subsecretaría de Prevención del Delito"/>
    <s v="Variación Trimestral de Denuncias (%) asociadas a VIF a nivel nacional para el Periodo 2005-2021."/>
    <s v="Gráfico que muestra la variación trimestral de Denuncias (%) por Violencia Intrafamiliar a nivel nacional y por región y comuna. según datos recopilados desde el Centro de Estudios y Análsis del Delito durante el Periodo 2005-2021."/>
    <s v="Gráfico de Evolución"/>
    <s v="chile nacional delitos género violencia hacia mujer mujeres víctimas intrafamiliar familiar denuncias variación trimestral comuna región"/>
    <s v="https://analytics.zoho.com/open-view/2395394000008632603"/>
    <x v="34"/>
    <s v="#1774B9"/>
  </r>
  <r>
    <m/>
    <n v="300"/>
    <s v="Violencia contra la mujer"/>
    <s v="Mujeres"/>
    <n v="0"/>
    <x v="18"/>
    <x v="5"/>
    <x v="0"/>
    <x v="0"/>
    <x v="3"/>
    <x v="21"/>
    <s v="Período 2005-2021"/>
    <s v="Porcentaje"/>
    <s v="Centro de Estudios y Análisis del Delito (CEAD) de la Subsecretaría de Prevención del Delito"/>
    <s v="Variación Trimestral de Detenciones (%) asociadas a VIF a nivel nacional para el Periodo 2005-2021."/>
    <s v="Gráfico que muestra la variación trimestral de Detenciones (%) por Violencia Intrafamiliar a nivel nacional y por región y comuna. según datos recopilados desde el Centro de Estudios y Análsis del Delito durante el Periodo 2005-2021."/>
    <s v="Gráfico de Evolución"/>
    <s v="chile nacional delitos género violencia hacia mujer mujeres víctimas intrafamiliar familiar detenciones variación trimestral comuna región"/>
    <s v="https://analytics.zoho.com/open-view/2395394000008632635"/>
    <x v="34"/>
    <s v="#1774B9"/>
  </r>
  <r>
    <m/>
    <n v="300"/>
    <s v="Violencia contra la mujer"/>
    <s v="Mujeres"/>
    <n v="0"/>
    <x v="19"/>
    <x v="5"/>
    <x v="0"/>
    <x v="0"/>
    <x v="3"/>
    <x v="22"/>
    <s v="Período 2005-2021"/>
    <s v="Porcentaje "/>
    <s v="Centro de Estudios y Análisis del Delito (CEAD) de la Subsecretaría de Prevención del Delito"/>
    <s v="Variación Trimestral de Aprehensiones, Casos Policiales, Denuncias y Detenciones (%) asociadas a VIF a nivel nacional para el Periodo 2005-2021."/>
    <s v="Gráfico que muestra la variación trimestral de Aprehensiones, Casos Policiales, Denuncias y Detenciones (%) por Violencia Intrafamiliar a nivel nacional y por región y comuna. según datos recopilados desde el Centro de Estudios y Análsis del Delito durante el Periodo 2005-2021."/>
    <s v="Gráfico de Evolución"/>
    <s v="chile nacional delitos género violencia hacia mujer mujeres víctimas intrafamiliar familiar aprehensiones casos policiales denuncias detenciones variación trimestral comuna región"/>
    <s v="https://analytics.zoho.com/open-view/2395394000008632667"/>
    <x v="34"/>
    <s v="#1774B9"/>
  </r>
  <r>
    <m/>
    <n v="300"/>
    <s v="Violencia contra la mujer"/>
    <s v="Mujeres"/>
    <n v="0"/>
    <x v="20"/>
    <x v="6"/>
    <x v="0"/>
    <x v="0"/>
    <x v="3"/>
    <x v="23"/>
    <s v="Período 2008-2020"/>
    <s v="Número de Aprehensiones"/>
    <s v="Centro de Estudios y Análisis del Delito (CEAD) de la Subsecretaría de Prevención del Delito"/>
    <s v="Frecuencia de Aprehensiones por Violación a nivel nacional para el Periodo 2008-2020."/>
    <s v="Gráfico que muestra la frecuencia de Aprehensiones a nivel nacional por región y comuna, según datos recopilados desde el Subsecretaria de Prevención del Delito durante el Periodo 2008-2020."/>
    <s v="Gráfico de Evolución"/>
    <s v="chile nacional delitos género violación mujer mujeres víctimas aprehensiones comuna región"/>
    <s v="https://analytics.zoho.com/open-view/2395394000008635104"/>
    <x v="34"/>
    <s v="#1774B9"/>
  </r>
  <r>
    <m/>
    <n v="300"/>
    <s v="Violencia contra la mujer"/>
    <s v="Mujeres"/>
    <n v="0"/>
    <x v="21"/>
    <x v="6"/>
    <x v="0"/>
    <x v="0"/>
    <x v="3"/>
    <x v="14"/>
    <s v="Período 2008-2020"/>
    <s v="Número de Casos Policiales"/>
    <s v="Centro de Estudios y Análisis del Delito (CEAD) de la Subsecretaría de Prevención del Delito"/>
    <s v="Frecuencia de Casos Policiales por Violación a nivel nacional para el Periodo 2008-2020."/>
    <s v="Gráfico que muestra la frecuencia de Casos Policiales a nivel nacional por región y comuna, según datos recopilados desde el Subsecretaria de Prevención del Delito durante el Periodo 2008-2020."/>
    <s v="Gráfico de Evolución"/>
    <s v="chile nacional delitos género violación mujer mujeres víctimas casos policiales comuna región"/>
    <s v="https://analytics.zoho.com/open-view/2395394000008635142"/>
    <x v="34"/>
    <s v="#1774B9"/>
  </r>
  <r>
    <m/>
    <n v="300"/>
    <s v="Violencia contra la mujer"/>
    <s v="Mujeres"/>
    <n v="0"/>
    <x v="22"/>
    <x v="6"/>
    <x v="0"/>
    <x v="0"/>
    <x v="3"/>
    <x v="15"/>
    <s v="Período 2008-2020"/>
    <s v="Número de Denuncias"/>
    <s v="Centro de Estudios y Análisis del Delito (CEAD) de la Subsecretaría de Prevención del Delito"/>
    <s v="Frecuencia de Denuncias por Violación a nivel nacional para el Periodo 2008-2020."/>
    <s v="Gráfico que muestra la frecuencia de Denuncias a nivel nacional por región y comuna, según datos recopilados desde el Subsecretaria de Prevención del Delito durante el Periodo 2008-2020."/>
    <s v="Gráfico de Evolución"/>
    <s v="chile nacional delitos género violación mujer mujeres víctimas denuncias comuna región"/>
    <s v="https://analytics.zoho.com/open-view/2395394000008635176"/>
    <x v="34"/>
    <s v="#1774B9"/>
  </r>
  <r>
    <m/>
    <n v="300"/>
    <s v="Violencia contra la mujer"/>
    <s v="Mujeres"/>
    <n v="0"/>
    <x v="23"/>
    <x v="6"/>
    <x v="0"/>
    <x v="0"/>
    <x v="3"/>
    <x v="16"/>
    <s v="Período 2008-2020"/>
    <s v="Número de Detenciones"/>
    <s v="Centro de Estudios y Análisis del Delito (CEAD) de la Subsecretaría de Prevención del Delito"/>
    <s v="Frecuencia de Detenciones por Violación a nivel nacional para el Periodo 2008-2020."/>
    <s v="Gráfico que muestra la frecuencia de Detenciones a nivel nacional por región y comuna, según datos recopilados desde el Subsecretaria de Prevención del Delito durante el Periodo 2008-2020."/>
    <s v="Gráfico de Evolución"/>
    <s v="chile nacional delitos género violación mujer mujeres víctimas detenciones comuna región"/>
    <s v="https://analytics.zoho.com/open-view/2395394000008635210"/>
    <x v="34"/>
    <s v="#1774B9"/>
  </r>
  <r>
    <m/>
    <n v="300"/>
    <s v="Violencia contra la mujer"/>
    <s v="Mujeres"/>
    <n v="0"/>
    <x v="24"/>
    <x v="6"/>
    <x v="0"/>
    <x v="0"/>
    <x v="3"/>
    <x v="17"/>
    <s v="Período 2008-2020"/>
    <s v="Número de Aprehensiones, Casos Policiales, Denuncias y Detenciones"/>
    <s v="Centro de Estudios y Análisis del Delito (CEAD) de la Subsecretaría de Prevención del Delito"/>
    <s v="Frecuencia de Aprehensiones, Casos Policiales, Denuncias y Detenciones por Violación a nivel nacional para el Periodo 2008-2020."/>
    <s v="Gráfico que muestra la frecuencia de Aprehensiones, Casos Policiales, Denuncias y Detenciones nivel nacional por región y comuna, según datos recopilados desde el Subsecretaria de Prevención del Delito durante el Periodo 2008-2020."/>
    <s v="Gráfico de Evolución"/>
    <s v="chile  nacional delitos género violación mujer mujeres víctimas aprehensiones casos policiales denuncias detenciones comuna región"/>
    <s v="https://analytics.zoho.com/open-view/2395394000008635244"/>
    <x v="34"/>
    <s v="#1774B9"/>
  </r>
  <r>
    <m/>
    <n v="300"/>
    <s v="Violencia contra la mujer"/>
    <s v="Mujeres"/>
    <n v="0"/>
    <x v="20"/>
    <x v="6"/>
    <x v="0"/>
    <x v="0"/>
    <x v="3"/>
    <x v="24"/>
    <s v="Período 2008-2020"/>
    <s v="Porcentaje"/>
    <s v="Centro de Estudios y Análisis del Delito (CEAD) de la Subsecretaría de Prevención del Delito"/>
    <s v="Variación Anual Aprehensiones (%) por Violación a nivel nacional para el Periodo 2005-2021."/>
    <s v="Gráfico que muestra la variación anual de las Aprehensiones (%) por Violaciones a nivel nacional por región y comuna, según datos recopilados desde la Subsecretaria de Prevención del Delito durante el Periodo 2008-2020."/>
    <s v="Gráfico de Evolución"/>
    <s v="chile nacional delitos género violación mujer mujeres víctimas aprehensiones variación anual comuna región"/>
    <s v="https://analytics.zoho.com/open-view/2395394000008633880"/>
    <x v="34"/>
    <s v="#1774B9"/>
  </r>
  <r>
    <m/>
    <n v="300"/>
    <s v="Violencia contra la mujer"/>
    <s v="Mujeres"/>
    <n v="0"/>
    <x v="21"/>
    <x v="6"/>
    <x v="0"/>
    <x v="0"/>
    <x v="3"/>
    <x v="25"/>
    <s v="Período 2008-2020"/>
    <s v="Porcentaje"/>
    <s v="Centro de Estudios y Análisis del Delito (CEAD) de la Subsecretaría de Prevención del Delito"/>
    <s v="Variación Anual Casos Policiales (%) por Violación a nivel nacional para el Periodo 2005-2021."/>
    <s v="Gráfico que muestra la variación anual de los Casos Polciales (%) por Violaciones a nivel nacional por región y comuna, según datos recopilados desde la Subsecretaria de Prevención del Delito durante el Periodo 2008-2020."/>
    <s v="Gráfico de Evolución"/>
    <s v="chile nacional delitos género violación mujer mujeres víctimas casos policiales variación anual comuna región"/>
    <s v="https://analytics.zoho.com/open-view/2395394000008633917"/>
    <x v="34"/>
    <s v="#1774B9"/>
  </r>
  <r>
    <m/>
    <n v="300"/>
    <s v="Violencia contra la mujer"/>
    <s v="Mujeres"/>
    <n v="0"/>
    <x v="22"/>
    <x v="6"/>
    <x v="0"/>
    <x v="0"/>
    <x v="3"/>
    <x v="26"/>
    <s v="Período 2008-2020"/>
    <s v="Porcentaje"/>
    <s v="Centro de Estudios y Análisis del Delito (CEAD) de la Subsecretaría de Prevención del Delito"/>
    <s v="Variación Anual Denuncias (%) por Violación a nivel nacional para el Periodo 2005-2021."/>
    <s v="Gráfico que muestra la variación anual de las Denuncias (%) por Violaciones a nivel nacional por región y comuna, según datos recopilados desde la Subsecretaria de Prevención del Delito durante el Periodo 2008-2020."/>
    <s v="Gráfico de Evolución"/>
    <s v="chile nacional delitos género violación mujer mujeres víctimas denuncias variación anual comuna región"/>
    <s v="https://analytics.zoho.com/open-view/2395394000008633954"/>
    <x v="34"/>
    <s v="#1774B9"/>
  </r>
  <r>
    <m/>
    <n v="300"/>
    <s v="Violencia contra la mujer"/>
    <s v="Mujeres"/>
    <n v="0"/>
    <x v="23"/>
    <x v="6"/>
    <x v="0"/>
    <x v="0"/>
    <x v="3"/>
    <x v="27"/>
    <s v="Período 2008-2020"/>
    <s v="Porcentaje"/>
    <s v="Centro de Estudios y Análisis del Delito (CEAD) de la Subsecretaría de Prevención del Delito"/>
    <s v="Variación Anual Detenciones (%) por Violación a nivel nacional para el Periodo 2005-2021."/>
    <s v="Gráfico que muestra la variación anual de las Detenciones (%) por Violaciones a nivel nacional por región y comuna, según datos recopilados desde la Subsecretaria de Prevención del Delito durante el Periodo 2008-2020."/>
    <s v="Gráfico de Evolución"/>
    <s v="chile nacional delitos género violación mujer mujeres víctimas detenciones variación anual comuna región"/>
    <s v="https://analytics.zoho.com/open-view/2395394000008634002"/>
    <x v="34"/>
    <s v="#1774B9"/>
  </r>
  <r>
    <m/>
    <n v="300"/>
    <s v="Violencia contra la mujer"/>
    <s v="Mujeres"/>
    <n v="0"/>
    <x v="24"/>
    <x v="6"/>
    <x v="0"/>
    <x v="0"/>
    <x v="3"/>
    <x v="28"/>
    <s v="Período 2008-2020"/>
    <s v="Porcentaje"/>
    <s v="Centro de Estudios y Análisis del Delito (CEAD) de la Subsecretaría de Prevención del Delito"/>
    <s v="Variación Anual Aprehensiones, Casos Policiales, Denuncias y Detenciones (%) por Violación a nivel nacional para el Periodo 2005-2021."/>
    <s v="Gráfico que muestra la variación anual de las Aprehensiones, Casos Policiales, Denuncias y Detenciones (%) por Violaciones a nivel nacional por región y comuna, según datos recopilados desde la Subsecretaria de Prevención del Delito durante el Periodo 2008-2020."/>
    <s v="Gráfico de Evolución"/>
    <s v="chile nacional delitos género violación mujer mujeres víctimas aprehensiones casos policiales denuncias detenciones variación anual comuna región"/>
    <s v="https://analytics.zoho.com/open-view/2395394000008634039"/>
    <x v="34"/>
    <s v="#1774B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8020B-931A-433A-A68B-35BC050452EE}" name="TablaDinámica2" cacheId="14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8:G665" firstHeaderRow="1" firstDataRow="1" firstDataCol="7"/>
  <pivotFields count="27">
    <pivotField axis="axisRow" compact="0" outline="0" showAll="0" defaultSubtotal="0">
      <items count="39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m="1" x="2182"/>
        <item m="1" x="2346"/>
        <item m="1" x="1345"/>
        <item m="1" x="1488"/>
        <item m="1" x="1642"/>
        <item m="1" x="1746"/>
        <item m="1" x="1830"/>
        <item m="1" x="1914"/>
        <item m="1" x="1998"/>
        <item m="1" x="2082"/>
        <item m="1" x="2187"/>
        <item m="1" x="2351"/>
        <item m="1" x="1347"/>
        <item m="1" x="1493"/>
        <item m="1" x="1647"/>
        <item m="1" x="1751"/>
        <item m="1" x="1835"/>
        <item m="1" x="1919"/>
        <item m="1" x="2003"/>
        <item m="1" x="2087"/>
        <item m="1" x="2192"/>
        <item m="1" x="2356"/>
        <item m="1" x="1352"/>
        <item m="1" x="1501"/>
        <item m="1" x="1653"/>
        <item m="1" x="1756"/>
        <item m="1" x="1840"/>
        <item m="1" x="1924"/>
        <item m="1" x="2008"/>
        <item m="1" x="2092"/>
        <item m="1" x="2199"/>
        <item m="1" x="2363"/>
        <item m="1" x="1358"/>
        <item m="1" x="1510"/>
        <item m="1" x="1660"/>
        <item m="1" x="1761"/>
        <item m="1" x="1845"/>
        <item m="1" x="1929"/>
        <item m="1" x="2013"/>
        <item m="1" x="2097"/>
        <item m="1" x="2207"/>
        <item m="1" x="2372"/>
        <item m="1" x="2135"/>
        <item m="1" x="2270"/>
        <item m="1" x="2444"/>
        <item m="1" x="2577"/>
        <item m="1" x="2667"/>
        <item m="1" x="2755"/>
        <item m="1" x="2843"/>
        <item m="1" x="2931"/>
        <item m="1" x="3027"/>
        <item m="1" x="3170"/>
        <item m="1" x="2141"/>
        <item m="1" x="2279"/>
        <item m="1" x="2453"/>
        <item m="1" x="2583"/>
        <item m="1" x="2672"/>
        <item m="1" x="2760"/>
        <item m="1" x="2848"/>
        <item m="1" x="2936"/>
        <item m="1" x="3033"/>
        <item m="1" x="3179"/>
        <item m="1" x="2145"/>
        <item m="1" x="2286"/>
        <item m="1" x="2460"/>
        <item m="1" x="2589"/>
        <item m="1" x="2677"/>
        <item m="1" x="2765"/>
        <item m="1" x="2853"/>
        <item m="1" x="2941"/>
        <item m="1" x="3039"/>
        <item m="1" x="3187"/>
        <item m="1" x="2147"/>
        <item m="1" x="2291"/>
        <item m="1" x="2465"/>
        <item m="1" x="2594"/>
        <item m="1" x="2682"/>
        <item m="1" x="2770"/>
        <item m="1" x="2858"/>
        <item m="1" x="2946"/>
        <item m="1" x="3044"/>
        <item m="1" x="3192"/>
        <item m="1" x="2149"/>
        <item m="1" x="2296"/>
        <item m="1" x="2470"/>
        <item m="1" x="2599"/>
        <item m="1" x="2687"/>
        <item m="1" x="2775"/>
        <item m="1" x="2863"/>
        <item m="1" x="2951"/>
        <item m="1" x="3049"/>
        <item m="1" x="3197"/>
        <item m="1" x="2151"/>
        <item m="1" x="2301"/>
        <item m="1" x="2475"/>
        <item m="1" x="2604"/>
        <item m="1" x="2692"/>
        <item m="1" x="2780"/>
        <item m="1" x="2868"/>
        <item m="1" x="2956"/>
        <item m="1" x="3054"/>
        <item m="1" x="3202"/>
        <item m="1" x="2153"/>
        <item m="1" x="2306"/>
        <item m="1" x="2480"/>
        <item m="1" x="2609"/>
        <item m="1" x="2697"/>
        <item m="1" x="2785"/>
        <item m="1" x="2873"/>
        <item m="1" x="2961"/>
        <item m="1" x="3059"/>
        <item m="1" x="3207"/>
        <item m="1" x="2155"/>
        <item m="1" x="2311"/>
        <item m="1" x="2485"/>
        <item m="1" x="2614"/>
        <item m="1" x="2702"/>
        <item m="1" x="2790"/>
        <item m="1" x="2878"/>
        <item m="1" x="2966"/>
        <item m="1" x="3064"/>
        <item m="1" x="3212"/>
        <item m="1" x="2159"/>
        <item m="1" x="2318"/>
        <item m="1" x="2491"/>
        <item m="1" x="2619"/>
        <item m="1" x="2707"/>
        <item m="1" x="2795"/>
        <item m="1" x="2883"/>
        <item m="1" x="2971"/>
        <item m="1" x="3070"/>
        <item m="1" x="3218"/>
        <item m="1" x="2165"/>
        <item m="1" x="2327"/>
        <item m="1" x="2499"/>
        <item m="1" x="2624"/>
        <item m="1" x="2712"/>
        <item m="1" x="2800"/>
        <item m="1" x="2888"/>
        <item m="1" x="2976"/>
        <item m="1" x="3077"/>
        <item m="1" x="3227"/>
        <item m="1" x="3012"/>
        <item m="1" x="3131"/>
        <item m="1" x="3299"/>
        <item m="1" x="3422"/>
        <item m="1" x="3504"/>
        <item m="1" x="3584"/>
        <item m="1" x="3664"/>
        <item m="1" x="3744"/>
        <item m="1" x="3832"/>
        <item m="1" x="3967"/>
        <item m="1" x="3016"/>
        <item m="1" x="3138"/>
        <item m="1" x="3306"/>
        <item m="1" x="3427"/>
        <item m="1" x="3508"/>
        <item m="1" x="3588"/>
        <item m="1" x="3668"/>
        <item m="1" x="3748"/>
        <item m="1" x="3837"/>
        <item m="1" x="3975"/>
        <item m="1" x="3019"/>
        <item m="1" x="3144"/>
        <item m="1" x="3312"/>
        <item m="1" x="3432"/>
        <item m="1" x="3512"/>
        <item m="1" x="3592"/>
        <item m="1" x="3672"/>
        <item m="1" x="3752"/>
        <item m="1" x="3842"/>
        <item m="1" x="657"/>
        <item m="1" x="3020"/>
        <item m="1" x="3148"/>
        <item m="1" x="3316"/>
        <item m="1" x="3436"/>
        <item m="1" x="3516"/>
        <item m="1" x="3596"/>
        <item m="1" x="3676"/>
        <item m="1" x="3756"/>
        <item m="1" x="3846"/>
        <item m="1" x="661"/>
        <item m="1" x="3021"/>
        <item m="1" x="3152"/>
        <item m="1" x="3320"/>
        <item m="1" x="3440"/>
        <item m="1" x="3520"/>
        <item m="1" x="3600"/>
        <item m="1" x="3680"/>
        <item m="1" x="3760"/>
        <item m="1" x="3850"/>
        <item m="1" x="665"/>
        <item m="1" x="3022"/>
        <item m="1" x="3156"/>
        <item m="1" x="3324"/>
        <item m="1" x="3444"/>
        <item m="1" x="3524"/>
        <item m="1" x="3604"/>
        <item m="1" x="3684"/>
        <item m="1" x="3764"/>
        <item m="1" x="3854"/>
        <item m="1" x="669"/>
        <item m="1" x="3023"/>
        <item m="1" x="3160"/>
        <item m="1" x="3328"/>
        <item m="1" x="3448"/>
        <item m="1" x="3528"/>
        <item m="1" x="3608"/>
        <item m="1" x="3688"/>
        <item m="1" x="3768"/>
        <item m="1" x="3858"/>
        <item m="1" x="673"/>
        <item m="1" x="3024"/>
        <item m="1" x="3164"/>
        <item m="1" x="3332"/>
        <item m="1" x="3452"/>
        <item m="1" x="3532"/>
        <item m="1" x="3612"/>
        <item m="1" x="3692"/>
        <item m="1" x="3772"/>
        <item m="1" x="3862"/>
        <item m="1" x="677"/>
        <item m="1" x="3028"/>
        <item m="1" x="3171"/>
        <item m="1" x="3337"/>
        <item m="1" x="3456"/>
        <item m="1" x="3536"/>
        <item m="1" x="3616"/>
        <item m="1" x="3696"/>
        <item m="1" x="3776"/>
        <item m="1" x="3867"/>
        <item m="1" x="682"/>
        <item m="1" x="3034"/>
        <item m="1" x="3180"/>
        <item m="1" x="3344"/>
        <item m="1" x="3460"/>
        <item m="1" x="3540"/>
        <item m="1" x="3620"/>
        <item m="1" x="3700"/>
        <item m="1" x="3780"/>
        <item m="1" x="3873"/>
        <item m="1" x="690"/>
        <item m="1" x="3816"/>
        <item m="1" x="3927"/>
        <item m="1" x="762"/>
        <item m="1" x="895"/>
        <item m="1" x="979"/>
        <item m="1" x="1059"/>
        <item m="1" x="1139"/>
        <item m="1" x="1219"/>
        <item m="1" x="1299"/>
        <item m="1" x="1418"/>
        <item m="1" x="3821"/>
        <item m="1" x="3935"/>
        <item m="1" x="770"/>
        <item m="1" x="901"/>
        <item m="1" x="983"/>
        <item m="1" x="1063"/>
        <item m="1" x="1143"/>
        <item m="1" x="1223"/>
        <item m="1" x="1303"/>
        <item m="1" x="1425"/>
        <item m="1" x="3825"/>
        <item m="1" x="3942"/>
        <item m="1" x="777"/>
        <item m="1" x="907"/>
        <item m="1" x="987"/>
        <item m="1" x="1067"/>
        <item m="1" x="1147"/>
        <item m="1" x="1227"/>
        <item m="1" x="1307"/>
        <item m="1" x="1431"/>
        <item m="1" x="3826"/>
        <item m="1" x="3946"/>
        <item m="1" x="781"/>
        <item m="1" x="911"/>
        <item m="1" x="991"/>
        <item m="1" x="1071"/>
        <item m="1" x="1151"/>
        <item m="1" x="1231"/>
        <item m="1" x="1311"/>
        <item m="1" x="1435"/>
        <item m="1" x="3827"/>
        <item m="1" x="3950"/>
        <item m="1" x="785"/>
        <item m="1" x="915"/>
        <item m="1" x="995"/>
        <item m="1" x="1075"/>
        <item m="1" x="1155"/>
        <item m="1" x="1235"/>
        <item m="1" x="1315"/>
        <item m="1" x="1439"/>
        <item m="1" x="3828"/>
        <item m="1" x="3954"/>
        <item m="1" x="789"/>
        <item m="1" x="919"/>
        <item m="1" x="999"/>
        <item m="1" x="1079"/>
        <item m="1" x="1159"/>
        <item m="1" x="1239"/>
        <item m="1" x="1319"/>
        <item m="1" x="1443"/>
        <item m="1" x="3829"/>
        <item m="1" x="3958"/>
        <item m="1" x="793"/>
        <item m="1" x="923"/>
        <item m="1" x="1003"/>
        <item m="1" x="1083"/>
        <item m="1" x="1163"/>
        <item m="1" x="1243"/>
        <item m="1" x="1323"/>
        <item m="1" x="1447"/>
        <item m="1" x="3830"/>
        <item m="1" x="3962"/>
        <item m="1" x="797"/>
        <item m="1" x="927"/>
        <item m="1" x="1007"/>
        <item m="1" x="1087"/>
        <item m="1" x="1167"/>
        <item m="1" x="1247"/>
        <item m="1" x="1327"/>
        <item m="1" x="1451"/>
        <item m="1" x="3833"/>
        <item m="1" x="3968"/>
        <item m="1" x="802"/>
        <item m="1" x="931"/>
        <item m="1" x="1011"/>
        <item m="1" x="1091"/>
        <item m="1" x="1171"/>
        <item m="1" x="1251"/>
        <item m="1" x="1331"/>
        <item m="1" x="1455"/>
        <item m="1" x="3838"/>
        <item m="1" x="3976"/>
        <item m="1" x="809"/>
        <item m="1" x="935"/>
        <item m="1" x="1015"/>
        <item m="1" x="1095"/>
        <item m="1" x="1175"/>
        <item m="1" x="1255"/>
        <item m="1" x="1336"/>
        <item m="1" x="1462"/>
        <item m="1" x="1463"/>
        <item m="1" x="1617"/>
        <item m="1" x="1723"/>
        <item m="1" x="1807"/>
        <item m="1" x="1891"/>
        <item m="1" x="1975"/>
        <item m="1" x="2059"/>
        <item m="1" x="2161"/>
        <item m="1" x="2321"/>
        <item m="1" x="2494"/>
        <item m="1" x="1469"/>
        <item m="1" x="1623"/>
        <item m="1" x="1727"/>
        <item m="1" x="1811"/>
        <item m="1" x="1895"/>
        <item m="1" x="1979"/>
        <item m="1" x="2063"/>
        <item m="1" x="2167"/>
        <item m="1" x="2330"/>
        <item m="1" x="2502"/>
        <item m="1" x="1473"/>
        <item m="1" x="1627"/>
        <item m="1" x="1731"/>
        <item m="1" x="1815"/>
        <item m="1" x="1899"/>
        <item m="1" x="1983"/>
        <item m="1" x="2067"/>
        <item m="1" x="2171"/>
        <item m="1" x="2335"/>
        <item m="1" x="2506"/>
        <item m="1" x="1477"/>
        <item m="1" x="1631"/>
        <item m="1" x="1735"/>
        <item m="1" x="1819"/>
        <item m="1" x="1903"/>
        <item m="1" x="1987"/>
        <item m="1" x="2071"/>
        <item m="1" x="2175"/>
        <item m="1" x="2339"/>
        <item m="1" x="2509"/>
        <item m="1" x="1481"/>
        <item m="1" x="1635"/>
        <item m="1" x="1739"/>
        <item m="1" x="1823"/>
        <item m="1" x="1907"/>
        <item m="1" x="1991"/>
        <item m="1" x="2075"/>
        <item m="1" x="2179"/>
        <item m="1" x="2343"/>
        <item m="1" x="2512"/>
        <item m="1" x="1485"/>
        <item m="1" x="1639"/>
        <item m="1" x="1743"/>
        <item m="1" x="1827"/>
        <item m="1" x="1911"/>
        <item m="1" x="1995"/>
        <item m="1" x="2079"/>
        <item m="1" x="2184"/>
        <item m="1" x="2348"/>
        <item m="1" x="2515"/>
        <item m="1" x="1490"/>
        <item m="1" x="1644"/>
        <item m="1" x="1748"/>
        <item m="1" x="1832"/>
        <item m="1" x="1916"/>
        <item m="1" x="2000"/>
        <item m="1" x="2084"/>
        <item m="1" x="2189"/>
        <item m="1" x="2353"/>
        <item m="1" x="2518"/>
        <item m="1" x="1496"/>
        <item m="1" x="1649"/>
        <item m="1" x="1753"/>
        <item m="1" x="1837"/>
        <item m="1" x="1921"/>
        <item m="1" x="2005"/>
        <item m="1" x="2089"/>
        <item m="1" x="2195"/>
        <item m="1" x="2359"/>
        <item m="1" x="2522"/>
        <item m="1" x="1505"/>
        <item m="1" x="1656"/>
        <item m="1" x="1758"/>
        <item m="1" x="1842"/>
        <item m="1" x="1926"/>
        <item m="1" x="2010"/>
        <item m="1" x="2094"/>
        <item m="1" x="2203"/>
        <item m="1" x="2368"/>
        <item m="1" x="2529"/>
        <item m="1" x="1514"/>
        <item m="1" x="1663"/>
        <item m="1" x="1763"/>
        <item m="1" x="1847"/>
        <item m="1" x="1931"/>
        <item m="1" x="2015"/>
        <item m="1" x="2099"/>
        <item m="1" x="2211"/>
        <item m="1" x="2377"/>
        <item m="1" x="2536"/>
        <item m="1" x="2275"/>
        <item m="1" x="2449"/>
        <item m="1" x="2580"/>
        <item m="1" x="2669"/>
        <item m="1" x="2757"/>
        <item m="1" x="2845"/>
        <item m="1" x="2933"/>
        <item m="1" x="3030"/>
        <item m="1" x="3174"/>
        <item m="1" x="3340"/>
        <item m="1" x="2283"/>
        <item m="1" x="2457"/>
        <item m="1" x="2586"/>
        <item m="1" x="2674"/>
        <item m="1" x="2762"/>
        <item m="1" x="2850"/>
        <item m="1" x="2938"/>
        <item m="1" x="3036"/>
        <item m="1" x="3183"/>
        <item m="1" x="3347"/>
        <item m="1" x="2288"/>
        <item m="1" x="2462"/>
        <item m="1" x="2591"/>
        <item m="1" x="2679"/>
        <item m="1" x="2767"/>
        <item m="1" x="2855"/>
        <item m="1" x="2943"/>
        <item m="1" x="3041"/>
        <item m="1" x="3189"/>
        <item m="1" x="3351"/>
        <item m="1" x="2293"/>
        <item m="1" x="2467"/>
        <item m="1" x="2596"/>
        <item m="1" x="2684"/>
        <item m="1" x="2772"/>
        <item m="1" x="2860"/>
        <item m="1" x="2948"/>
        <item m="1" x="3046"/>
        <item m="1" x="3194"/>
        <item m="1" x="3354"/>
        <item m="1" x="2298"/>
        <item m="1" x="2472"/>
        <item m="1" x="2601"/>
        <item m="1" x="2689"/>
        <item m="1" x="2777"/>
        <item m="1" x="2865"/>
        <item m="1" x="2953"/>
        <item m="1" x="3051"/>
        <item m="1" x="3199"/>
        <item m="1" x="3357"/>
        <item m="1" x="2303"/>
        <item m="1" x="2477"/>
        <item m="1" x="2606"/>
        <item m="1" x="2694"/>
        <item m="1" x="2782"/>
        <item m="1" x="2870"/>
        <item m="1" x="2958"/>
        <item m="1" x="3056"/>
        <item m="1" x="3204"/>
        <item m="1" x="3360"/>
        <item m="1" x="2308"/>
        <item m="1" x="2482"/>
        <item m="1" x="2611"/>
        <item m="1" x="2699"/>
        <item m="1" x="2787"/>
        <item m="1" x="2875"/>
        <item m="1" x="2963"/>
        <item m="1" x="3061"/>
        <item m="1" x="3209"/>
        <item m="1" x="3363"/>
        <item m="1" x="2313"/>
        <item m="1" x="2487"/>
        <item m="1" x="2616"/>
        <item m="1" x="2704"/>
        <item m="1" x="2792"/>
        <item m="1" x="2880"/>
        <item m="1" x="2968"/>
        <item m="1" x="3066"/>
        <item m="1" x="3214"/>
        <item m="1" x="3366"/>
        <item m="1" x="2322"/>
        <item m="1" x="2495"/>
        <item m="1" x="2621"/>
        <item m="1" x="2709"/>
        <item m="1" x="2797"/>
        <item m="1" x="2885"/>
        <item m="1" x="2973"/>
        <item m="1" x="3073"/>
        <item m="1" x="3222"/>
        <item m="1" x="3372"/>
        <item m="1" x="2331"/>
        <item m="1" x="2503"/>
        <item m="1" x="2626"/>
        <item m="1" x="2714"/>
        <item m="1" x="2802"/>
        <item m="1" x="2890"/>
        <item m="1" x="2978"/>
        <item m="1" x="3080"/>
        <item m="1" x="3231"/>
        <item m="1" x="3379"/>
        <item m="1" x="3135"/>
        <item m="1" x="3303"/>
        <item m="1" x="3425"/>
        <item m="1" x="3506"/>
        <item m="1" x="3586"/>
        <item m="1" x="3666"/>
        <item m="1" x="3746"/>
        <item m="1" x="3835"/>
        <item m="1" x="3971"/>
        <item m="1" x="805"/>
        <item m="1" x="3142"/>
        <item m="1" x="3310"/>
        <item m="1" x="3430"/>
        <item m="1" x="3510"/>
        <item m="1" x="3590"/>
        <item m="1" x="3670"/>
        <item m="1" x="3750"/>
        <item m="1" x="3840"/>
        <item m="1" x="3979"/>
        <item m="1" x="812"/>
        <item m="1" x="3146"/>
        <item m="1" x="3314"/>
        <item m="1" x="3434"/>
        <item m="1" x="3514"/>
        <item m="1" x="3594"/>
        <item m="1" x="3674"/>
        <item m="1" x="3754"/>
        <item m="1" x="3844"/>
        <item m="1" x="659"/>
        <item m="1" x="816"/>
        <item m="1" x="3150"/>
        <item m="1" x="3318"/>
        <item m="1" x="3438"/>
        <item m="1" x="3518"/>
        <item m="1" x="3598"/>
        <item m="1" x="3678"/>
        <item m="1" x="3758"/>
        <item m="1" x="3848"/>
        <item m="1" x="663"/>
        <item m="1" x="819"/>
        <item m="1" x="3154"/>
        <item m="1" x="3322"/>
        <item m="1" x="3442"/>
        <item m="1" x="3522"/>
        <item m="1" x="3602"/>
        <item m="1" x="3682"/>
        <item m="1" x="3762"/>
        <item m="1" x="3852"/>
        <item m="1" x="667"/>
        <item m="1" x="822"/>
        <item m="1" x="3158"/>
        <item m="1" x="3326"/>
        <item m="1" x="3446"/>
        <item m="1" x="3526"/>
        <item m="1" x="3606"/>
        <item m="1" x="3686"/>
        <item m="1" x="3766"/>
        <item m="1" x="3856"/>
        <item m="1" x="671"/>
        <item m="1" x="825"/>
        <item m="1" x="3162"/>
        <item m="1" x="3330"/>
        <item m="1" x="3450"/>
        <item m="1" x="3530"/>
        <item m="1" x="3610"/>
        <item m="1" x="3690"/>
        <item m="1" x="3770"/>
        <item m="1" x="3860"/>
        <item m="1" x="675"/>
        <item m="1" x="828"/>
        <item m="1" x="3166"/>
        <item m="1" x="3334"/>
        <item m="1" x="3454"/>
        <item m="1" x="3534"/>
        <item m="1" x="3614"/>
        <item m="1" x="3694"/>
        <item m="1" x="3774"/>
        <item m="1" x="3864"/>
        <item m="1" x="679"/>
        <item m="1" x="831"/>
        <item m="1" x="3175"/>
        <item m="1" x="3341"/>
        <item m="1" x="3458"/>
        <item m="1" x="3538"/>
        <item m="1" x="3618"/>
        <item m="1" x="3698"/>
        <item m="1" x="3778"/>
        <item m="1" x="3870"/>
        <item m="1" x="686"/>
        <item m="1" x="837"/>
        <item m="1" x="3184"/>
        <item m="1" x="3348"/>
        <item m="1" x="3462"/>
        <item m="1" x="3542"/>
        <item m="1" x="3622"/>
        <item m="1" x="3702"/>
        <item m="1" x="3782"/>
        <item m="1" x="3876"/>
        <item m="1" x="694"/>
        <item m="1" x="844"/>
        <item m="1" x="3931"/>
        <item m="1" x="766"/>
        <item m="1" x="898"/>
        <item m="1" x="981"/>
        <item m="1" x="1061"/>
        <item m="1" x="1141"/>
        <item m="1" x="1221"/>
        <item m="1" x="1301"/>
        <item m="1" x="1421"/>
        <item m="1" x="1582"/>
        <item m="1" x="3939"/>
        <item m="1" x="774"/>
        <item m="1" x="904"/>
        <item m="1" x="985"/>
        <item m="1" x="1065"/>
        <item m="1" x="1145"/>
        <item m="1" x="1225"/>
        <item m="1" x="1305"/>
        <item m="1" x="1428"/>
        <item m="1" x="1589"/>
        <item m="1" x="3944"/>
        <item m="1" x="779"/>
        <item m="1" x="909"/>
        <item m="1" x="989"/>
        <item m="1" x="1069"/>
        <item m="1" x="1149"/>
        <item m="1" x="1229"/>
        <item m="1" x="1309"/>
        <item m="1" x="1433"/>
        <item m="1" x="1594"/>
        <item m="1" x="3948"/>
        <item m="1" x="783"/>
        <item m="1" x="913"/>
        <item m="1" x="993"/>
        <item m="1" x="1073"/>
        <item m="1" x="1153"/>
        <item m="1" x="1233"/>
        <item m="1" x="1313"/>
        <item m="1" x="1437"/>
        <item m="1" x="1597"/>
        <item m="1" x="3952"/>
        <item m="1" x="787"/>
        <item m="1" x="917"/>
        <item m="1" x="997"/>
        <item m="1" x="1077"/>
        <item m="1" x="1157"/>
        <item m="1" x="1237"/>
        <item m="1" x="1317"/>
        <item m="1" x="1441"/>
        <item m="1" x="1600"/>
        <item m="1" x="3956"/>
        <item m="1" x="791"/>
        <item m="1" x="921"/>
        <item m="1" x="1001"/>
        <item m="1" x="1081"/>
        <item m="1" x="1161"/>
        <item m="1" x="1241"/>
        <item m="1" x="1321"/>
        <item m="1" x="1445"/>
        <item m="1" x="1603"/>
        <item m="1" x="3960"/>
        <item m="1" x="795"/>
        <item m="1" x="925"/>
        <item m="1" x="1005"/>
        <item m="1" x="1085"/>
        <item m="1" x="1165"/>
        <item m="1" x="1245"/>
        <item m="1" x="1325"/>
        <item m="1" x="1449"/>
        <item m="1" x="1606"/>
        <item m="1" x="3964"/>
        <item m="1" x="799"/>
        <item m="1" x="929"/>
        <item m="1" x="1009"/>
        <item m="1" x="1089"/>
        <item m="1" x="1169"/>
        <item m="1" x="1249"/>
        <item m="1" x="1329"/>
        <item m="1" x="1453"/>
        <item m="1" x="1609"/>
        <item m="1" x="3972"/>
        <item m="1" x="806"/>
        <item m="1" x="933"/>
        <item m="1" x="1013"/>
        <item m="1" x="1093"/>
        <item m="1" x="1173"/>
        <item m="1" x="1253"/>
        <item m="1" x="1334"/>
        <item m="1" x="1459"/>
        <item m="1" x="1614"/>
        <item m="1" x="3980"/>
        <item m="1" x="813"/>
        <item m="1" x="937"/>
        <item m="1" x="1017"/>
        <item m="1" x="1097"/>
        <item m="1" x="1177"/>
        <item m="1" x="1257"/>
        <item m="1" x="1339"/>
        <item m="1" x="1467"/>
        <item m="1" x="1621"/>
        <item m="1" x="1389"/>
        <item m="1" x="1543"/>
        <item m="1" x="1679"/>
        <item m="1" x="1766"/>
        <item m="1" x="1850"/>
        <item m="1" x="1934"/>
        <item m="1" x="2018"/>
        <item m="1" x="2102"/>
        <item m="1" x="2233"/>
        <item m="1" x="2405"/>
        <item m="1" x="1396"/>
        <item m="1" x="1551"/>
        <item m="1" x="1685"/>
        <item m="1" x="1770"/>
        <item m="1" x="1854"/>
        <item m="1" x="1938"/>
        <item m="1" x="2022"/>
        <item m="1" x="2106"/>
        <item m="1" x="2239"/>
        <item m="1" x="2412"/>
        <item m="1" x="1400"/>
        <item m="1" x="1556"/>
        <item m="1" x="1690"/>
        <item m="1" x="1774"/>
        <item m="1" x="1858"/>
        <item m="1" x="1942"/>
        <item m="1" x="2026"/>
        <item m="1" x="2110"/>
        <item m="1" x="2244"/>
        <item m="1" x="2418"/>
        <item m="1" x="1403"/>
        <item m="1" x="1560"/>
        <item m="1" x="1694"/>
        <item m="1" x="1778"/>
        <item m="1" x="1862"/>
        <item m="1" x="1946"/>
        <item m="1" x="2030"/>
        <item m="1" x="2114"/>
        <item m="1" x="2248"/>
        <item m="1" x="2422"/>
        <item m="1" x="1406"/>
        <item m="1" x="1564"/>
        <item m="1" x="1698"/>
        <item m="1" x="1782"/>
        <item m="1" x="1866"/>
        <item m="1" x="1950"/>
        <item m="1" x="2034"/>
        <item m="1" x="2118"/>
        <item m="1" x="2252"/>
        <item m="1" x="2426"/>
        <item m="1" x="1409"/>
        <item m="1" x="1568"/>
        <item m="1" x="1702"/>
        <item m="1" x="1786"/>
        <item m="1" x="1870"/>
        <item m="1" x="1954"/>
        <item m="1" x="2038"/>
        <item m="1" x="2122"/>
        <item m="1" x="2256"/>
        <item m="1" x="2430"/>
        <item m="1" x="1412"/>
        <item m="1" x="1572"/>
        <item m="1" x="1706"/>
        <item m="1" x="1790"/>
        <item m="1" x="1874"/>
        <item m="1" x="1958"/>
        <item m="1" x="2042"/>
        <item m="1" x="2126"/>
        <item m="1" x="2260"/>
        <item m="1" x="2434"/>
        <item m="1" x="1415"/>
        <item m="1" x="1576"/>
        <item m="1" x="1710"/>
        <item m="1" x="1794"/>
        <item m="1" x="1878"/>
        <item m="1" x="1962"/>
        <item m="1" x="2046"/>
        <item m="1" x="2130"/>
        <item m="1" x="2264"/>
        <item m="1" x="2438"/>
        <item m="1" x="1422"/>
        <item m="1" x="1583"/>
        <item m="1" x="1714"/>
        <item m="1" x="1798"/>
        <item m="1" x="1882"/>
        <item m="1" x="1966"/>
        <item m="1" x="2050"/>
        <item m="1" x="2136"/>
        <item m="1" x="2271"/>
        <item m="1" x="2445"/>
        <item m="1" x="1429"/>
        <item m="1" x="1590"/>
        <item m="1" x="1718"/>
        <item m="1" x="1802"/>
        <item m="1" x="1886"/>
        <item m="1" x="1970"/>
        <item m="1" x="2054"/>
        <item m="1" x="2142"/>
        <item m="1" x="2280"/>
        <item m="1" x="2454"/>
        <item m="1" x="2200"/>
        <item m="1" x="2364"/>
        <item m="1" x="2525"/>
        <item m="1" x="2629"/>
        <item m="1" x="2717"/>
        <item m="1" x="2805"/>
        <item m="1" x="2893"/>
        <item m="1" x="2981"/>
        <item m="1" x="3096"/>
        <item m="1" x="3260"/>
        <item m="1" x="2208"/>
        <item m="1" x="2373"/>
        <item m="1" x="2532"/>
        <item m="1" x="2633"/>
        <item m="1" x="2721"/>
        <item m="1" x="2809"/>
        <item m="1" x="2897"/>
        <item m="1" x="2985"/>
        <item m="1" x="3102"/>
        <item m="1" x="3268"/>
        <item m="1" x="2213"/>
        <item m="1" x="2379"/>
        <item m="1" x="2538"/>
        <item m="1" x="2637"/>
        <item m="1" x="2725"/>
        <item m="1" x="2813"/>
        <item m="1" x="2901"/>
        <item m="1" x="2989"/>
        <item m="1" x="3107"/>
        <item m="1" x="3275"/>
        <item m="1" x="2216"/>
        <item m="1" x="2383"/>
        <item m="1" x="2542"/>
        <item m="1" x="2641"/>
        <item m="1" x="2729"/>
        <item m="1" x="2817"/>
        <item m="1" x="2905"/>
        <item m="1" x="2993"/>
        <item m="1" x="3111"/>
        <item m="1" x="3279"/>
        <item m="1" x="2219"/>
        <item m="1" x="2387"/>
        <item m="1" x="2546"/>
        <item m="1" x="2645"/>
        <item m="1" x="2733"/>
        <item m="1" x="2821"/>
        <item m="1" x="2909"/>
        <item m="1" x="2997"/>
        <item m="1" x="3115"/>
        <item m="1" x="3283"/>
        <item m="1" x="2222"/>
        <item m="1" x="2391"/>
        <item m="1" x="2550"/>
        <item m="1" x="2649"/>
        <item m="1" x="2737"/>
        <item m="1" x="2825"/>
        <item m="1" x="2913"/>
        <item m="1" x="3001"/>
        <item m="1" x="3119"/>
        <item m="1" x="3287"/>
        <item m="1" x="2225"/>
        <item m="1" x="2395"/>
        <item m="1" x="2554"/>
        <item m="1" x="2653"/>
        <item m="1" x="2741"/>
        <item m="1" x="2829"/>
        <item m="1" x="2917"/>
        <item m="1" x="3005"/>
        <item m="1" x="3123"/>
        <item m="1" x="3291"/>
        <item m="1" x="2228"/>
        <item m="1" x="2399"/>
        <item m="1" x="2558"/>
        <item m="1" x="2657"/>
        <item m="1" x="2745"/>
        <item m="1" x="2833"/>
        <item m="1" x="2921"/>
        <item m="1" x="3009"/>
        <item m="1" x="3127"/>
        <item m="1" x="3295"/>
        <item m="1" x="2234"/>
        <item m="1" x="2406"/>
        <item m="1" x="2562"/>
        <item m="1" x="2660"/>
        <item m="1" x="2748"/>
        <item m="1" x="2836"/>
        <item m="1" x="2924"/>
        <item m="1" x="3013"/>
        <item m="1" x="3132"/>
        <item m="1" x="3300"/>
        <item m="1" x="2240"/>
        <item m="1" x="2413"/>
        <item m="1" x="2566"/>
        <item m="1" x="2663"/>
        <item m="1" x="2751"/>
        <item m="1" x="2839"/>
        <item m="1" x="2927"/>
        <item m="1" x="3017"/>
        <item m="1" x="3139"/>
        <item m="1" x="3307"/>
        <item m="1" x="3071"/>
        <item m="1" x="3219"/>
        <item m="1" x="3369"/>
        <item m="1" x="3464"/>
        <item m="1" x="3544"/>
        <item m="1" x="3624"/>
        <item m="1" x="3704"/>
        <item m="1" x="3784"/>
        <item m="1" x="3891"/>
        <item m="1" x="722"/>
        <item m="1" x="3078"/>
        <item m="1" x="3228"/>
        <item m="1" x="3376"/>
        <item m="1" x="3468"/>
        <item m="1" x="3548"/>
        <item m="1" x="3628"/>
        <item m="1" x="3708"/>
        <item m="1" x="3788"/>
        <item m="1" x="3897"/>
        <item m="1" x="730"/>
        <item m="1" x="3082"/>
        <item m="1" x="3234"/>
        <item m="1" x="3382"/>
        <item m="1" x="3472"/>
        <item m="1" x="3552"/>
        <item m="1" x="3632"/>
        <item m="1" x="3712"/>
        <item m="1" x="3792"/>
        <item m="1" x="3902"/>
        <item m="1" x="737"/>
        <item m="1" x="3084"/>
        <item m="1" x="3238"/>
        <item m="1" x="3386"/>
        <item m="1" x="3476"/>
        <item m="1" x="3556"/>
        <item m="1" x="3636"/>
        <item m="1" x="3716"/>
        <item m="1" x="3796"/>
        <item m="1" x="3906"/>
        <item m="1" x="741"/>
        <item m="1" x="3086"/>
        <item m="1" x="3242"/>
        <item m="1" x="3390"/>
        <item m="1" x="3480"/>
        <item m="1" x="3560"/>
        <item m="1" x="3640"/>
        <item m="1" x="3720"/>
        <item m="1" x="3800"/>
        <item m="1" x="3910"/>
        <item m="1" x="745"/>
        <item m="1" x="3088"/>
        <item m="1" x="3246"/>
        <item m="1" x="3394"/>
        <item m="1" x="3484"/>
        <item m="1" x="3564"/>
        <item m="1" x="3644"/>
        <item m="1" x="3724"/>
        <item m="1" x="3804"/>
        <item m="1" x="3914"/>
        <item m="1" x="749"/>
        <item m="1" x="3090"/>
        <item m="1" x="3250"/>
        <item m="1" x="3398"/>
        <item m="1" x="3488"/>
        <item m="1" x="3568"/>
        <item m="1" x="3648"/>
        <item m="1" x="3728"/>
        <item m="1" x="3808"/>
        <item m="1" x="3918"/>
        <item m="1" x="753"/>
        <item m="1" x="3092"/>
        <item m="1" x="3254"/>
        <item m="1" x="3402"/>
        <item m="1" x="3492"/>
        <item m="1" x="3572"/>
        <item m="1" x="3652"/>
        <item m="1" x="3732"/>
        <item m="1" x="3812"/>
        <item m="1" x="3922"/>
        <item m="1" x="757"/>
        <item m="1" x="3097"/>
        <item m="1" x="3261"/>
        <item m="1" x="3406"/>
        <item m="1" x="3496"/>
        <item m="1" x="3576"/>
        <item m="1" x="3656"/>
        <item m="1" x="3736"/>
        <item m="1" x="3817"/>
        <item m="1" x="3928"/>
        <item m="1" x="763"/>
        <item m="1" x="3103"/>
        <item m="1" x="3269"/>
        <item m="1" x="3411"/>
        <item m="1" x="3500"/>
        <item m="1" x="3580"/>
        <item m="1" x="3660"/>
        <item m="1" x="3740"/>
        <item m="1" x="3822"/>
        <item m="1" x="3936"/>
        <item m="1" x="771"/>
        <item m="1" x="3868"/>
        <item m="1" x="683"/>
        <item m="1" x="834"/>
        <item m="1" x="939"/>
        <item m="1" x="1019"/>
        <item m="1" x="1099"/>
        <item m="1" x="1179"/>
        <item m="1" x="1259"/>
        <item m="1" x="1349"/>
        <item m="1" x="1497"/>
        <item m="1" x="3874"/>
        <item m="1" x="691"/>
        <item m="1" x="841"/>
        <item m="1" x="943"/>
        <item m="1" x="1023"/>
        <item m="1" x="1103"/>
        <item m="1" x="1183"/>
        <item m="1" x="1263"/>
        <item m="1" x="1355"/>
        <item m="1" x="1506"/>
        <item m="1" x="3878"/>
        <item m="1" x="697"/>
        <item m="1" x="847"/>
        <item m="1" x="947"/>
        <item m="1" x="1027"/>
        <item m="1" x="1107"/>
        <item m="1" x="1187"/>
        <item m="1" x="1267"/>
        <item m="1" x="1361"/>
        <item m="1" x="1515"/>
        <item m="1" x="3880"/>
        <item m="1" x="701"/>
        <item m="1" x="851"/>
        <item m="1" x="951"/>
        <item m="1" x="1031"/>
        <item m="1" x="1111"/>
        <item m="1" x="1191"/>
        <item m="1" x="1271"/>
        <item m="1" x="1365"/>
        <item m="1" x="1519"/>
        <item m="1" x="3882"/>
        <item m="1" x="705"/>
        <item m="1" x="855"/>
        <item m="1" x="955"/>
        <item m="1" x="1035"/>
        <item m="1" x="1115"/>
        <item m="1" x="1195"/>
        <item m="1" x="1275"/>
        <item m="1" x="1369"/>
        <item m="1" x="1523"/>
        <item m="1" x="3884"/>
        <item m="1" x="709"/>
        <item m="1" x="859"/>
        <item m="1" x="959"/>
        <item m="1" x="1039"/>
        <item m="1" x="1119"/>
        <item m="1" x="1199"/>
        <item m="1" x="1279"/>
        <item m="1" x="1373"/>
        <item m="1" x="1527"/>
        <item m="1" x="3886"/>
        <item m="1" x="713"/>
        <item m="1" x="863"/>
        <item m="1" x="963"/>
        <item m="1" x="1043"/>
        <item m="1" x="1123"/>
        <item m="1" x="1203"/>
        <item m="1" x="1283"/>
        <item m="1" x="1377"/>
        <item m="1" x="1531"/>
        <item m="1" x="3888"/>
        <item m="1" x="717"/>
        <item m="1" x="867"/>
        <item m="1" x="967"/>
        <item m="1" x="1047"/>
        <item m="1" x="1127"/>
        <item m="1" x="1207"/>
        <item m="1" x="1287"/>
        <item m="1" x="1381"/>
        <item m="1" x="1535"/>
        <item m="1" x="3892"/>
        <item m="1" x="723"/>
        <item m="1" x="871"/>
        <item m="1" x="971"/>
        <item m="1" x="1051"/>
        <item m="1" x="1131"/>
        <item m="1" x="1211"/>
        <item m="1" x="1291"/>
        <item m="1" x="1386"/>
        <item m="1" x="1540"/>
        <item m="1" x="3898"/>
        <item m="1" x="731"/>
        <item m="1" x="877"/>
        <item m="1" x="975"/>
        <item m="1" x="1055"/>
        <item m="1" x="1135"/>
        <item m="1" x="1215"/>
        <item m="1" x="1295"/>
        <item m="1" x="1393"/>
        <item m="1" x="1548"/>
        <item m="1" x="1332"/>
        <item m="1" x="1456"/>
        <item m="1" x="1611"/>
        <item m="1" x="1720"/>
        <item m="1" x="1804"/>
        <item m="1" x="1888"/>
        <item m="1" x="1972"/>
        <item m="1" x="2056"/>
        <item m="1" x="2156"/>
        <item m="1" x="2314"/>
        <item m="1" x="1337"/>
        <item m="1" x="1464"/>
        <item m="1" x="1618"/>
        <item m="1" x="1724"/>
        <item m="1" x="1808"/>
        <item m="1" x="1892"/>
        <item m="1" x="1976"/>
        <item m="1" x="2060"/>
        <item m="1" x="2162"/>
        <item m="1" x="2323"/>
        <item m="1" x="1340"/>
        <item m="1" x="1470"/>
        <item m="1" x="1624"/>
        <item m="1" x="1728"/>
        <item m="1" x="1812"/>
        <item m="1" x="1896"/>
        <item m="1" x="1980"/>
        <item m="1" x="2064"/>
        <item m="1" x="2168"/>
        <item m="1" x="2332"/>
        <item m="1" x="1341"/>
        <item m="1" x="1474"/>
        <item m="1" x="1628"/>
        <item m="1" x="1732"/>
        <item m="1" x="1816"/>
        <item m="1" x="1900"/>
        <item m="1" x="1984"/>
        <item m="1" x="2068"/>
        <item m="1" x="2172"/>
        <item m="1" x="2336"/>
        <item m="1" x="1342"/>
        <item m="1" x="1478"/>
        <item m="1" x="1632"/>
        <item m="1" x="1736"/>
        <item m="1" x="1820"/>
        <item m="1" x="1904"/>
        <item m="1" x="1988"/>
        <item m="1" x="2072"/>
        <item m="1" x="2176"/>
        <item m="1" x="2340"/>
        <item m="1" x="1343"/>
        <item m="1" x="1482"/>
        <item m="1" x="1636"/>
        <item m="1" x="1740"/>
        <item m="1" x="1824"/>
        <item m="1" x="1908"/>
        <item m="1" x="1992"/>
        <item m="1" x="2076"/>
        <item m="1" x="2180"/>
        <item m="1" x="2344"/>
        <item m="1" x="1344"/>
        <item m="1" x="1486"/>
        <item m="1" x="1640"/>
        <item m="1" x="1744"/>
        <item m="1" x="1828"/>
        <item m="1" x="1912"/>
        <item m="1" x="1996"/>
        <item m="1" x="2080"/>
        <item m="1" x="2185"/>
        <item m="1" x="2349"/>
        <item m="1" x="1346"/>
        <item m="1" x="1491"/>
        <item m="1" x="1645"/>
        <item m="1" x="1749"/>
        <item m="1" x="1833"/>
        <item m="1" x="1917"/>
        <item m="1" x="2001"/>
        <item m="1" x="2085"/>
        <item m="1" x="2190"/>
        <item m="1" x="2354"/>
        <item m="1" x="1350"/>
        <item m="1" x="1498"/>
        <item m="1" x="1650"/>
        <item m="1" x="1754"/>
        <item m="1" x="1838"/>
        <item m="1" x="1922"/>
        <item m="1" x="2006"/>
        <item m="1" x="2090"/>
        <item m="1" x="2196"/>
        <item m="1" x="2360"/>
        <item m="1" x="1356"/>
        <item m="1" x="1507"/>
        <item m="1" x="1657"/>
        <item m="1" x="1759"/>
        <item m="1" x="1843"/>
        <item m="1" x="1927"/>
        <item m="1" x="2011"/>
        <item m="1" x="2095"/>
        <item m="1" x="2204"/>
        <item m="1" x="2369"/>
        <item m="1" x="2133"/>
        <item m="1" x="2267"/>
        <item m="1" x="2441"/>
        <item m="1" x="2575"/>
        <item m="1" x="2665"/>
        <item m="1" x="2753"/>
        <item m="1" x="2841"/>
        <item m="1" x="2929"/>
        <item m="1" x="3025"/>
        <item m="1" x="3167"/>
        <item m="1" x="2139"/>
        <item m="1" x="2276"/>
        <item m="1" x="2450"/>
        <item m="1" x="2581"/>
        <item m="1" x="2670"/>
        <item m="1" x="2758"/>
        <item m="1" x="2846"/>
        <item m="1" x="2934"/>
        <item m="1" x="3031"/>
        <item m="1" x="3176"/>
        <item m="1" x="2144"/>
        <item m="1" x="2284"/>
        <item m="1" x="2458"/>
        <item m="1" x="2587"/>
        <item m="1" x="2675"/>
        <item m="1" x="2763"/>
        <item m="1" x="2851"/>
        <item m="1" x="2939"/>
        <item m="1" x="3037"/>
        <item m="1" x="3185"/>
        <item m="1" x="2146"/>
        <item m="1" x="2289"/>
        <item m="1" x="2463"/>
        <item m="1" x="2592"/>
        <item m="1" x="2680"/>
        <item m="1" x="2768"/>
        <item m="1" x="2856"/>
        <item m="1" x="2944"/>
        <item m="1" x="3042"/>
        <item m="1" x="3190"/>
        <item m="1" x="2148"/>
        <item m="1" x="2294"/>
        <item m="1" x="2468"/>
        <item m="1" x="2597"/>
        <item m="1" x="2685"/>
        <item m="1" x="2773"/>
        <item m="1" x="2861"/>
        <item m="1" x="2949"/>
        <item m="1" x="3047"/>
        <item m="1" x="3195"/>
        <item m="1" x="2150"/>
        <item m="1" x="2299"/>
        <item m="1" x="2473"/>
        <item m="1" x="2602"/>
        <item m="1" x="2690"/>
        <item m="1" x="2778"/>
        <item m="1" x="2866"/>
        <item m="1" x="2954"/>
        <item m="1" x="3052"/>
        <item m="1" x="3200"/>
        <item m="1" x="2152"/>
        <item m="1" x="2304"/>
        <item m="1" x="2478"/>
        <item m="1" x="2607"/>
        <item m="1" x="2695"/>
        <item m="1" x="2783"/>
        <item m="1" x="2871"/>
        <item m="1" x="2959"/>
        <item m="1" x="3057"/>
        <item m="1" x="3205"/>
        <item m="1" x="2154"/>
        <item m="1" x="2309"/>
        <item m="1" x="2483"/>
        <item m="1" x="2612"/>
        <item m="1" x="2700"/>
        <item m="1" x="2788"/>
        <item m="1" x="2876"/>
        <item m="1" x="2964"/>
        <item m="1" x="3062"/>
        <item m="1" x="3210"/>
        <item m="1" x="2157"/>
        <item m="1" x="2315"/>
        <item m="1" x="2488"/>
        <item m="1" x="2617"/>
        <item m="1" x="2705"/>
        <item m="1" x="2793"/>
        <item m="1" x="2881"/>
        <item m="1" x="2969"/>
        <item m="1" x="3067"/>
        <item m="1" x="3215"/>
        <item m="1" x="2163"/>
        <item m="1" x="2324"/>
        <item m="1" x="2496"/>
        <item m="1" x="2622"/>
        <item m="1" x="2710"/>
        <item m="1" x="2798"/>
        <item m="1" x="2886"/>
        <item m="1" x="2974"/>
        <item m="1" x="3074"/>
        <item m="1" x="3223"/>
        <item m="1" x="3224"/>
        <item m="1" x="3373"/>
        <item m="1" x="3466"/>
        <item m="1" x="3546"/>
        <item m="1" x="3626"/>
        <item m="1" x="3706"/>
        <item m="1" x="3786"/>
        <item m="1" x="3894"/>
        <item m="1" x="726"/>
        <item m="1" x="874"/>
        <item m="1" x="3232"/>
        <item m="1" x="3380"/>
        <item m="1" x="3470"/>
        <item m="1" x="3550"/>
        <item m="1" x="3630"/>
        <item m="1" x="3710"/>
        <item m="1" x="3790"/>
        <item m="1" x="3900"/>
        <item m="1" x="734"/>
        <item m="1" x="880"/>
        <item m="1" x="3236"/>
        <item m="1" x="3384"/>
        <item m="1" x="3474"/>
        <item m="1" x="3554"/>
        <item m="1" x="3634"/>
        <item m="1" x="3714"/>
        <item m="1" x="3794"/>
        <item m="1" x="3904"/>
        <item m="1" x="739"/>
        <item m="1" x="883"/>
        <item m="1" x="3240"/>
        <item m="1" x="3388"/>
        <item m="1" x="3478"/>
        <item m="1" x="3558"/>
        <item m="1" x="3638"/>
        <item m="1" x="3718"/>
        <item m="1" x="3798"/>
        <item m="1" x="3908"/>
        <item m="1" x="743"/>
        <item m="1" x="885"/>
        <item m="1" x="3244"/>
        <item m="1" x="3392"/>
        <item m="1" x="3482"/>
        <item m="1" x="3562"/>
        <item m="1" x="3642"/>
        <item m="1" x="3722"/>
        <item m="1" x="3802"/>
        <item m="1" x="3912"/>
        <item m="1" x="747"/>
        <item m="1" x="887"/>
        <item m="1" x="3248"/>
        <item m="1" x="3396"/>
        <item m="1" x="3486"/>
        <item m="1" x="3566"/>
        <item m="1" x="3646"/>
        <item m="1" x="3726"/>
        <item m="1" x="3806"/>
        <item m="1" x="3916"/>
        <item m="1" x="751"/>
        <item m="1" x="889"/>
        <item m="1" x="3252"/>
        <item m="1" x="3400"/>
        <item m="1" x="3490"/>
        <item m="1" x="3570"/>
        <item m="1" x="3650"/>
        <item m="1" x="3730"/>
        <item m="1" x="3810"/>
        <item m="1" x="3920"/>
        <item m="1" x="755"/>
        <item m="1" x="891"/>
        <item m="1" x="3257"/>
        <item m="1" x="3404"/>
        <item m="1" x="3494"/>
        <item m="1" x="3574"/>
        <item m="1" x="3654"/>
        <item m="1" x="3734"/>
        <item m="1" x="3814"/>
        <item m="1" x="3924"/>
        <item m="1" x="759"/>
        <item m="1" x="893"/>
        <item m="1" x="3265"/>
        <item m="1" x="3409"/>
        <item m="1" x="3498"/>
        <item m="1" x="3578"/>
        <item m="1" x="3658"/>
        <item m="1" x="3738"/>
        <item m="1" x="3819"/>
        <item m="1" x="3932"/>
        <item m="1" x="767"/>
        <item m="1" x="899"/>
        <item m="1" x="3273"/>
        <item m="1" x="3414"/>
        <item m="1" x="3502"/>
        <item m="1" x="3582"/>
        <item m="1" x="3662"/>
        <item m="1" x="3742"/>
        <item m="1" x="3824"/>
        <item m="1" x="3940"/>
        <item m="1" x="775"/>
        <item m="1" x="905"/>
        <item m="1" x="687"/>
        <item m="1" x="838"/>
        <item m="1" x="941"/>
        <item m="1" x="1021"/>
        <item m="1" x="1101"/>
        <item m="1" x="1181"/>
        <item m="1" x="1261"/>
        <item m="1" x="1353"/>
        <item m="1" x="1502"/>
        <item m="1" x="1654"/>
        <item m="1" x="695"/>
        <item m="1" x="845"/>
        <item m="1" x="945"/>
        <item m="1" x="1025"/>
        <item m="1" x="1105"/>
        <item m="1" x="1185"/>
        <item m="1" x="1265"/>
        <item m="1" x="1359"/>
        <item m="1" x="1511"/>
        <item m="1" x="1661"/>
        <item m="1" x="699"/>
        <item m="1" x="849"/>
        <item m="1" x="949"/>
        <item m="1" x="1029"/>
        <item m="1" x="1109"/>
        <item m="1" x="1189"/>
        <item m="1" x="1269"/>
        <item m="1" x="1363"/>
        <item m="1" x="1517"/>
        <item m="1" x="1665"/>
        <item m="1" x="703"/>
        <item m="1" x="853"/>
        <item m="1" x="953"/>
        <item m="1" x="1033"/>
        <item m="1" x="1113"/>
        <item m="1" x="1193"/>
        <item m="1" x="1273"/>
        <item m="1" x="1367"/>
        <item m="1" x="1521"/>
        <item m="1" x="1667"/>
        <item m="1" x="707"/>
        <item m="1" x="857"/>
        <item m="1" x="957"/>
        <item m="1" x="1037"/>
        <item m="1" x="1117"/>
        <item m="1" x="1197"/>
        <item m="1" x="1277"/>
        <item m="1" x="1371"/>
        <item m="1" x="1525"/>
        <item m="1" x="1669"/>
        <item m="1" x="711"/>
        <item m="1" x="861"/>
        <item m="1" x="961"/>
        <item m="1" x="1041"/>
        <item m="1" x="1121"/>
        <item m="1" x="1201"/>
        <item m="1" x="1281"/>
        <item m="1" x="1375"/>
        <item m="1" x="1529"/>
        <item m="1" x="1671"/>
        <item m="1" x="715"/>
        <item m="1" x="865"/>
        <item m="1" x="965"/>
        <item m="1" x="1045"/>
        <item m="1" x="1125"/>
        <item m="1" x="1205"/>
        <item m="1" x="1285"/>
        <item m="1" x="1379"/>
        <item m="1" x="1533"/>
        <item m="1" x="1673"/>
        <item m="1" x="719"/>
        <item m="1" x="869"/>
        <item m="1" x="969"/>
        <item m="1" x="1049"/>
        <item m="1" x="1129"/>
        <item m="1" x="1209"/>
        <item m="1" x="1289"/>
        <item m="1" x="1383"/>
        <item m="1" x="1537"/>
        <item m="1" x="1675"/>
        <item m="1" x="727"/>
        <item m="1" x="875"/>
        <item m="1" x="973"/>
        <item m="1" x="1053"/>
        <item m="1" x="1133"/>
        <item m="1" x="1213"/>
        <item m="1" x="1293"/>
        <item m="1" x="1390"/>
        <item m="1" x="1544"/>
        <item m="1" x="1680"/>
        <item m="1" x="735"/>
        <item m="1" x="881"/>
        <item m="1" x="977"/>
        <item m="1" x="1057"/>
        <item m="1" x="1137"/>
        <item m="1" x="1217"/>
        <item m="1" x="1297"/>
        <item m="1" x="1397"/>
        <item m="1" x="1552"/>
        <item m="1" x="1686"/>
        <item m="1" x="1460"/>
        <item m="1" x="1615"/>
        <item m="1" x="1722"/>
        <item m="1" x="1806"/>
        <item m="1" x="1890"/>
        <item m="1" x="1974"/>
        <item m="1" x="2058"/>
        <item m="1" x="2160"/>
        <item m="1" x="2319"/>
        <item m="1" x="2492"/>
        <item m="1" x="1468"/>
        <item m="1" x="1622"/>
        <item m="1" x="1726"/>
        <item m="1" x="1810"/>
        <item m="1" x="1894"/>
        <item m="1" x="1978"/>
        <item m="1" x="2062"/>
        <item m="1" x="2166"/>
        <item m="1" x="2328"/>
        <item m="1" x="2500"/>
        <item m="1" x="1472"/>
        <item m="1" x="1626"/>
        <item m="1" x="1730"/>
        <item m="1" x="1814"/>
        <item m="1" x="1898"/>
        <item m="1" x="1982"/>
        <item m="1" x="2066"/>
        <item m="1" x="2170"/>
        <item m="1" x="2334"/>
        <item m="1" x="2505"/>
        <item m="1" x="1476"/>
        <item m="1" x="1630"/>
        <item m="1" x="1734"/>
        <item m="1" x="1818"/>
        <item m="1" x="1902"/>
        <item m="1" x="1986"/>
        <item m="1" x="2070"/>
        <item m="1" x="2174"/>
        <item m="1" x="2338"/>
        <item m="1" x="2508"/>
        <item m="1" x="1480"/>
        <item m="1" x="1634"/>
        <item m="1" x="1738"/>
        <item m="1" x="1822"/>
        <item m="1" x="1906"/>
        <item m="1" x="1990"/>
        <item m="1" x="2074"/>
        <item m="1" x="2178"/>
        <item m="1" x="2342"/>
        <item m="1" x="2511"/>
        <item m="1" x="1484"/>
        <item m="1" x="1638"/>
        <item m="1" x="1742"/>
        <item m="1" x="1826"/>
        <item m="1" x="1910"/>
        <item m="1" x="1994"/>
        <item m="1" x="2078"/>
        <item m="1" x="2183"/>
        <item m="1" x="2347"/>
        <item m="1" x="2514"/>
        <item m="1" x="1489"/>
        <item m="1" x="1643"/>
        <item m="1" x="1747"/>
        <item m="1" x="1831"/>
        <item m="1" x="1915"/>
        <item m="1" x="1999"/>
        <item m="1" x="2083"/>
        <item m="1" x="2188"/>
        <item m="1" x="2352"/>
        <item m="1" x="2517"/>
        <item m="1" x="1494"/>
        <item m="1" x="1648"/>
        <item m="1" x="1752"/>
        <item m="1" x="1836"/>
        <item m="1" x="1920"/>
        <item m="1" x="2004"/>
        <item m="1" x="2088"/>
        <item m="1" x="2193"/>
        <item m="1" x="2357"/>
        <item m="1" x="2520"/>
        <item m="1" x="1503"/>
        <item m="1" x="1655"/>
        <item m="1" x="1757"/>
        <item m="1" x="1841"/>
        <item m="1" x="1925"/>
        <item m="1" x="2009"/>
        <item m="1" x="2093"/>
        <item m="1" x="2201"/>
        <item m="1" x="2365"/>
        <item m="1" x="2526"/>
        <item m="1" x="1512"/>
        <item m="1" x="1662"/>
        <item m="1" x="1762"/>
        <item m="1" x="1846"/>
        <item m="1" x="1930"/>
        <item m="1" x="2014"/>
        <item m="1" x="2098"/>
        <item m="1" x="2209"/>
        <item m="1" x="2374"/>
        <item m="1" x="2533"/>
        <item m="1" x="2272"/>
        <item m="1" x="2446"/>
        <item m="1" x="2578"/>
        <item m="1" x="2668"/>
        <item m="1" x="2756"/>
        <item m="1" x="2844"/>
        <item m="1" x="2932"/>
        <item m="1" x="3029"/>
        <item m="1" x="3172"/>
        <item m="1" x="3338"/>
        <item m="1" x="2281"/>
        <item m="1" x="2455"/>
        <item m="1" x="2584"/>
        <item m="1" x="2673"/>
        <item m="1" x="2761"/>
        <item m="1" x="2849"/>
        <item m="1" x="2937"/>
        <item m="1" x="3035"/>
        <item m="1" x="3181"/>
        <item m="1" x="3345"/>
        <item m="1" x="2287"/>
        <item m="1" x="2461"/>
        <item m="1" x="2590"/>
        <item m="1" x="2678"/>
        <item m="1" x="2766"/>
        <item m="1" x="2854"/>
        <item m="1" x="2942"/>
        <item m="1" x="3040"/>
        <item m="1" x="3188"/>
        <item m="1" x="3350"/>
        <item m="1" x="2292"/>
        <item m="1" x="2466"/>
        <item m="1" x="2595"/>
        <item m="1" x="2683"/>
        <item m="1" x="2771"/>
        <item m="1" x="2859"/>
        <item m="1" x="2947"/>
        <item m="1" x="3045"/>
        <item m="1" x="3193"/>
        <item m="1" x="3353"/>
        <item m="1" x="2297"/>
        <item m="1" x="2471"/>
        <item m="1" x="2600"/>
        <item m="1" x="2688"/>
        <item m="1" x="2776"/>
        <item m="1" x="2864"/>
        <item m="1" x="2952"/>
        <item m="1" x="3050"/>
        <item m="1" x="3198"/>
        <item m="1" x="3356"/>
        <item m="1" x="2302"/>
        <item m="1" x="2476"/>
        <item m="1" x="2605"/>
        <item m="1" x="2693"/>
        <item m="1" x="2781"/>
        <item m="1" x="2869"/>
        <item m="1" x="2957"/>
        <item m="1" x="3055"/>
        <item m="1" x="3203"/>
        <item m="1" x="3359"/>
        <item m="1" x="2307"/>
        <item m="1" x="2481"/>
        <item m="1" x="2610"/>
        <item m="1" x="2698"/>
        <item m="1" x="2786"/>
        <item m="1" x="2874"/>
        <item m="1" x="2962"/>
        <item m="1" x="3060"/>
        <item m="1" x="3208"/>
        <item m="1" x="3362"/>
        <item m="1" x="2312"/>
        <item m="1" x="2486"/>
        <item m="1" x="2615"/>
        <item m="1" x="2703"/>
        <item m="1" x="2791"/>
        <item m="1" x="2879"/>
        <item m="1" x="2967"/>
        <item m="1" x="3065"/>
        <item m="1" x="3213"/>
        <item m="1" x="3365"/>
        <item m="1" x="2320"/>
        <item m="1" x="2493"/>
        <item m="1" x="2620"/>
        <item m="1" x="2708"/>
        <item m="1" x="2796"/>
        <item m="1" x="2884"/>
        <item m="1" x="2972"/>
        <item m="1" x="3072"/>
        <item m="1" x="3220"/>
        <item m="1" x="3370"/>
        <item m="1" x="2329"/>
        <item m="1" x="2501"/>
        <item m="1" x="2625"/>
        <item m="1" x="2713"/>
        <item m="1" x="2801"/>
        <item m="1" x="2889"/>
        <item m="1" x="2977"/>
        <item m="1" x="3079"/>
        <item m="1" x="3229"/>
        <item m="1" x="3377"/>
        <item m="1" x="3133"/>
        <item m="1" x="3301"/>
        <item m="1" x="3423"/>
        <item m="1" x="3505"/>
        <item m="1" x="3585"/>
        <item m="1" x="3665"/>
        <item m="1" x="3745"/>
        <item m="1" x="3834"/>
        <item m="1" x="3969"/>
        <item m="1" x="803"/>
        <item m="1" x="3140"/>
        <item m="1" x="3308"/>
        <item m="1" x="3428"/>
        <item m="1" x="3509"/>
        <item m="1" x="3589"/>
        <item m="1" x="3669"/>
        <item m="1" x="3749"/>
        <item m="1" x="3839"/>
        <item m="1" x="3977"/>
        <item m="1" x="810"/>
        <item m="1" x="3145"/>
        <item m="1" x="3313"/>
        <item m="1" x="3433"/>
        <item m="1" x="3513"/>
        <item m="1" x="3593"/>
        <item m="1" x="3673"/>
        <item m="1" x="3753"/>
        <item m="1" x="3843"/>
        <item m="1" x="658"/>
        <item m="1" x="815"/>
        <item m="1" x="3149"/>
        <item m="1" x="3317"/>
        <item m="1" x="3437"/>
        <item m="1" x="3517"/>
        <item m="1" x="3597"/>
        <item m="1" x="3677"/>
        <item m="1" x="3757"/>
        <item m="1" x="3847"/>
        <item m="1" x="662"/>
        <item m="1" x="818"/>
        <item m="1" x="3153"/>
        <item m="1" x="3321"/>
        <item m="1" x="3441"/>
        <item m="1" x="3521"/>
        <item m="1" x="3601"/>
        <item m="1" x="3681"/>
        <item m="1" x="3761"/>
        <item m="1" x="3851"/>
        <item m="1" x="666"/>
        <item m="1" x="821"/>
        <item m="1" x="3157"/>
        <item m="1" x="3325"/>
        <item m="1" x="3445"/>
        <item m="1" x="3525"/>
        <item m="1" x="3605"/>
        <item m="1" x="3685"/>
        <item m="1" x="3765"/>
        <item m="1" x="3855"/>
        <item m="1" x="670"/>
        <item m="1" x="824"/>
        <item m="1" x="3161"/>
        <item m="1" x="3329"/>
        <item m="1" x="3449"/>
        <item m="1" x="3529"/>
        <item m="1" x="3609"/>
        <item m="1" x="3689"/>
        <item m="1" x="3769"/>
        <item m="1" x="3859"/>
        <item m="1" x="674"/>
        <item m="1" x="827"/>
        <item m="1" x="3165"/>
        <item m="1" x="3333"/>
        <item m="1" x="3453"/>
        <item m="1" x="3533"/>
        <item m="1" x="3613"/>
        <item m="1" x="3693"/>
        <item m="1" x="3773"/>
        <item m="1" x="3863"/>
        <item m="1" x="678"/>
        <item m="1" x="830"/>
        <item m="1" x="3173"/>
        <item m="1" x="3339"/>
        <item m="1" x="3457"/>
        <item m="1" x="3537"/>
        <item m="1" x="3617"/>
        <item m="1" x="3697"/>
        <item m="1" x="3777"/>
        <item m="1" x="3869"/>
        <item m="1" x="684"/>
        <item m="1" x="835"/>
        <item m="1" x="3182"/>
        <item m="1" x="3346"/>
        <item m="1" x="3461"/>
        <item m="1" x="3541"/>
        <item m="1" x="3621"/>
        <item m="1" x="3701"/>
        <item m="1" x="3781"/>
        <item m="1" x="3875"/>
        <item m="1" x="692"/>
        <item m="1" x="842"/>
        <item m="1" x="3929"/>
        <item m="1" x="764"/>
        <item m="1" x="896"/>
        <item m="1" x="980"/>
        <item m="1" x="1060"/>
        <item m="1" x="1140"/>
        <item m="1" x="1220"/>
        <item m="1" x="1300"/>
        <item m="1" x="1419"/>
        <item m="1" x="1580"/>
        <item m="1" x="3937"/>
        <item m="1" x="772"/>
        <item m="1" x="902"/>
        <item m="1" x="984"/>
        <item m="1" x="1064"/>
        <item m="1" x="1144"/>
        <item m="1" x="1224"/>
        <item m="1" x="1304"/>
        <item m="1" x="1426"/>
        <item m="1" x="1587"/>
        <item m="1" x="3943"/>
        <item m="1" x="778"/>
        <item m="1" x="908"/>
        <item m="1" x="988"/>
        <item m="1" x="1068"/>
        <item m="1" x="1148"/>
        <item m="1" x="1228"/>
        <item m="1" x="1308"/>
        <item m="1" x="1432"/>
        <item m="1" x="1593"/>
        <item m="1" x="3947"/>
        <item m="1" x="782"/>
        <item m="1" x="912"/>
        <item m="1" x="992"/>
        <item m="1" x="1072"/>
        <item m="1" x="1152"/>
        <item m="1" x="1232"/>
        <item m="1" x="1312"/>
        <item m="1" x="1436"/>
        <item m="1" x="1596"/>
        <item m="1" x="3951"/>
        <item m="1" x="786"/>
        <item m="1" x="916"/>
        <item m="1" x="996"/>
        <item m="1" x="1076"/>
        <item m="1" x="1156"/>
        <item m="1" x="1236"/>
        <item m="1" x="1316"/>
        <item m="1" x="1440"/>
        <item m="1" x="1599"/>
        <item m="1" x="3955"/>
        <item m="1" x="790"/>
        <item m="1" x="920"/>
        <item m="1" x="1000"/>
        <item m="1" x="1080"/>
        <item m="1" x="1160"/>
        <item m="1" x="1240"/>
        <item m="1" x="1320"/>
        <item m="1" x="1444"/>
        <item m="1" x="1602"/>
        <item m="1" x="3959"/>
        <item m="1" x="794"/>
        <item m="1" x="924"/>
        <item m="1" x="1004"/>
        <item m="1" x="1084"/>
        <item m="1" x="1164"/>
        <item m="1" x="1244"/>
        <item m="1" x="1324"/>
        <item m="1" x="1448"/>
        <item m="1" x="1605"/>
        <item m="1" x="3963"/>
        <item m="1" x="798"/>
        <item m="1" x="928"/>
        <item m="1" x="1008"/>
        <item m="1" x="1088"/>
        <item m="1" x="1168"/>
        <item m="1" x="1248"/>
        <item m="1" x="1328"/>
        <item m="1" x="1452"/>
        <item m="1" x="1608"/>
        <item m="1" x="3970"/>
        <item m="1" x="804"/>
        <item m="1" x="932"/>
        <item m="1" x="1012"/>
        <item m="1" x="1092"/>
        <item m="1" x="1172"/>
        <item m="1" x="1252"/>
        <item m="1" x="1333"/>
        <item m="1" x="1457"/>
        <item m="1" x="1612"/>
        <item m="1" x="3978"/>
        <item m="1" x="811"/>
        <item m="1" x="936"/>
        <item m="1" x="1016"/>
        <item m="1" x="1096"/>
        <item m="1" x="1176"/>
        <item m="1" x="1256"/>
        <item m="1" x="1338"/>
        <item m="1" x="1465"/>
        <item m="1" x="1619"/>
        <item m="1" x="1387"/>
        <item m="1" x="1541"/>
        <item m="1" x="1677"/>
        <item m="1" x="1765"/>
        <item m="1" x="1849"/>
        <item m="1" x="1933"/>
        <item m="1" x="2017"/>
        <item m="1" x="2101"/>
        <item m="1" x="2231"/>
        <item m="1" x="2403"/>
        <item m="1" x="1394"/>
        <item m="1" x="1549"/>
        <item m="1" x="1683"/>
        <item m="1" x="1769"/>
        <item m="1" x="1853"/>
        <item m="1" x="1937"/>
        <item m="1" x="2021"/>
        <item m="1" x="2105"/>
        <item m="1" x="2237"/>
        <item m="1" x="2410"/>
        <item m="1" x="1399"/>
        <item m="1" x="1555"/>
        <item m="1" x="1689"/>
        <item m="1" x="1773"/>
        <item m="1" x="1857"/>
        <item m="1" x="1941"/>
        <item m="1" x="2025"/>
        <item m="1" x="2109"/>
        <item m="1" x="2243"/>
        <item m="1" x="2417"/>
        <item m="1" x="1402"/>
        <item m="1" x="1559"/>
        <item m="1" x="1693"/>
        <item m="1" x="1777"/>
        <item m="1" x="1861"/>
        <item m="1" x="1945"/>
        <item m="1" x="2029"/>
        <item m="1" x="2113"/>
        <item m="1" x="2247"/>
        <item m="1" x="2421"/>
        <item m="1" x="1405"/>
        <item m="1" x="1563"/>
        <item m="1" x="1697"/>
        <item m="1" x="1781"/>
        <item m="1" x="1865"/>
        <item m="1" x="1949"/>
        <item m="1" x="2033"/>
        <item m="1" x="2117"/>
        <item m="1" x="2251"/>
        <item m="1" x="2425"/>
        <item m="1" x="1408"/>
        <item m="1" x="1567"/>
        <item m="1" x="1701"/>
        <item m="1" x="1785"/>
        <item m="1" x="1869"/>
        <item m="1" x="1953"/>
        <item m="1" x="2037"/>
        <item m="1" x="2121"/>
        <item m="1" x="2255"/>
        <item m="1" x="2429"/>
        <item m="1" x="1411"/>
        <item m="1" x="1571"/>
        <item m="1" x="1705"/>
        <item m="1" x="1789"/>
        <item m="1" x="1873"/>
        <item m="1" x="1957"/>
        <item m="1" x="2041"/>
        <item m="1" x="2125"/>
        <item m="1" x="2259"/>
        <item m="1" x="2433"/>
        <item m="1" x="1414"/>
        <item m="1" x="1575"/>
        <item m="1" x="1709"/>
        <item m="1" x="1793"/>
        <item m="1" x="1877"/>
        <item m="1" x="1961"/>
        <item m="1" x="2045"/>
        <item m="1" x="2129"/>
        <item m="1" x="2263"/>
        <item m="1" x="2437"/>
        <item m="1" x="1420"/>
        <item m="1" x="1581"/>
        <item m="1" x="1713"/>
        <item m="1" x="1797"/>
        <item m="1" x="1881"/>
        <item m="1" x="1965"/>
        <item m="1" x="2049"/>
        <item m="1" x="2134"/>
        <item m="1" x="2268"/>
        <item m="1" x="2442"/>
        <item m="1" x="1427"/>
        <item m="1" x="1588"/>
        <item m="1" x="1717"/>
        <item m="1" x="1801"/>
        <item m="1" x="1885"/>
        <item m="1" x="1969"/>
        <item m="1" x="2053"/>
        <item m="1" x="2140"/>
        <item m="1" x="2277"/>
        <item m="1" x="2451"/>
        <item m="1" x="2197"/>
        <item m="1" x="2361"/>
        <item m="1" x="2523"/>
        <item m="1" x="2628"/>
        <item m="1" x="2716"/>
        <item m="1" x="2804"/>
        <item m="1" x="2892"/>
        <item m="1" x="2980"/>
        <item m="1" x="3094"/>
        <item m="1" x="3258"/>
        <item m="1" x="2205"/>
        <item m="1" x="2370"/>
        <item m="1" x="2530"/>
        <item m="1" x="2632"/>
        <item m="1" x="2720"/>
        <item m="1" x="2808"/>
        <item m="1" x="2896"/>
        <item m="1" x="2984"/>
        <item m="1" x="3100"/>
        <item m="1" x="3266"/>
        <item m="1" x="2212"/>
        <item m="1" x="2378"/>
        <item m="1" x="2537"/>
        <item m="1" x="2636"/>
        <item m="1" x="2724"/>
        <item m="1" x="2812"/>
        <item m="1" x="2900"/>
        <item m="1" x="2988"/>
        <item m="1" x="3106"/>
        <item m="1" x="3274"/>
        <item m="1" x="2215"/>
        <item m="1" x="2382"/>
        <item m="1" x="2541"/>
        <item m="1" x="2640"/>
        <item m="1" x="2728"/>
        <item m="1" x="2816"/>
        <item m="1" x="2904"/>
        <item m="1" x="2992"/>
        <item m="1" x="3110"/>
        <item m="1" x="3278"/>
        <item m="1" x="2218"/>
        <item m="1" x="2386"/>
        <item m="1" x="2545"/>
        <item m="1" x="2644"/>
        <item m="1" x="2732"/>
        <item m="1" x="2820"/>
        <item m="1" x="2908"/>
        <item m="1" x="2996"/>
        <item m="1" x="3114"/>
        <item m="1" x="3282"/>
        <item m="1" x="2221"/>
        <item m="1" x="2390"/>
        <item m="1" x="2549"/>
        <item m="1" x="2648"/>
        <item m="1" x="2736"/>
        <item m="1" x="2824"/>
        <item m="1" x="2912"/>
        <item m="1" x="3000"/>
        <item m="1" x="3118"/>
        <item m="1" x="3286"/>
        <item m="1" x="2224"/>
        <item m="1" x="2394"/>
        <item m="1" x="2553"/>
        <item m="1" x="2652"/>
        <item m="1" x="2740"/>
        <item m="1" x="2828"/>
        <item m="1" x="2916"/>
        <item m="1" x="3004"/>
        <item m="1" x="3122"/>
        <item m="1" x="3290"/>
        <item m="1" x="2227"/>
        <item m="1" x="2398"/>
        <item m="1" x="2557"/>
        <item m="1" x="2656"/>
        <item m="1" x="2744"/>
        <item m="1" x="2832"/>
        <item m="1" x="2920"/>
        <item m="1" x="3008"/>
        <item m="1" x="3126"/>
        <item m="1" x="3294"/>
        <item m="1" x="2232"/>
        <item m="1" x="2404"/>
        <item m="1" x="2561"/>
        <item m="1" x="2659"/>
        <item m="1" x="2747"/>
        <item m="1" x="2835"/>
        <item m="1" x="2923"/>
        <item m="1" x="3011"/>
        <item m="1" x="3129"/>
        <item m="1" x="3297"/>
        <item m="1" x="2238"/>
        <item m="1" x="2411"/>
        <item m="1" x="2565"/>
        <item m="1" x="2662"/>
        <item m="1" x="2750"/>
        <item m="1" x="2838"/>
        <item m="1" x="2926"/>
        <item m="1" x="3015"/>
        <item m="1" x="3136"/>
        <item m="1" x="3304"/>
        <item m="1" x="3068"/>
        <item m="1" x="3216"/>
        <item m="1" x="3367"/>
        <item m="1" x="3463"/>
        <item m="1" x="3543"/>
        <item m="1" x="3623"/>
        <item m="1" x="3703"/>
        <item m="1" x="3783"/>
        <item m="1" x="3889"/>
        <item m="1" x="720"/>
        <item m="1" x="3075"/>
        <item m="1" x="3225"/>
        <item m="1" x="3374"/>
        <item m="1" x="3467"/>
        <item m="1" x="3547"/>
        <item m="1" x="3627"/>
        <item m="1" x="3707"/>
        <item m="1" x="3787"/>
        <item m="1" x="3895"/>
        <item m="1" x="728"/>
        <item m="1" x="3081"/>
        <item m="1" x="3233"/>
        <item m="1" x="3381"/>
        <item m="1" x="3471"/>
        <item m="1" x="3551"/>
        <item m="1" x="3631"/>
        <item m="1" x="3711"/>
        <item m="1" x="3791"/>
        <item m="1" x="3901"/>
        <item m="1" x="736"/>
        <item m="1" x="3083"/>
        <item m="1" x="3237"/>
        <item m="1" x="3385"/>
        <item m="1" x="3475"/>
        <item m="1" x="3555"/>
        <item m="1" x="3635"/>
        <item m="1" x="3715"/>
        <item m="1" x="3795"/>
        <item m="1" x="3905"/>
        <item m="1" x="740"/>
        <item m="1" x="3085"/>
        <item m="1" x="3241"/>
        <item m="1" x="3389"/>
        <item m="1" x="3479"/>
        <item m="1" x="3559"/>
        <item m="1" x="3639"/>
        <item m="1" x="3719"/>
        <item m="1" x="3799"/>
        <item m="1" x="3909"/>
        <item m="1" x="744"/>
        <item m="1" x="3087"/>
        <item m="1" x="3245"/>
        <item m="1" x="3393"/>
        <item m="1" x="3483"/>
        <item m="1" x="3563"/>
        <item m="1" x="3643"/>
        <item m="1" x="3723"/>
        <item m="1" x="3803"/>
        <item m="1" x="3913"/>
        <item m="1" x="748"/>
        <item m="1" x="3089"/>
        <item m="1" x="3249"/>
        <item m="1" x="3397"/>
        <item m="1" x="3487"/>
        <item m="1" x="3567"/>
        <item m="1" x="3647"/>
        <item m="1" x="3727"/>
        <item m="1" x="3807"/>
        <item m="1" x="3917"/>
        <item m="1" x="752"/>
        <item m="1" x="3091"/>
        <item m="1" x="3253"/>
        <item m="1" x="3401"/>
        <item m="1" x="3491"/>
        <item m="1" x="3571"/>
        <item m="1" x="3651"/>
        <item m="1" x="3731"/>
        <item m="1" x="3811"/>
        <item m="1" x="3921"/>
        <item m="1" x="756"/>
        <item m="1" x="3095"/>
        <item m="1" x="3259"/>
        <item m="1" x="3405"/>
        <item m="1" x="3495"/>
        <item m="1" x="3575"/>
        <item m="1" x="3655"/>
        <item m="1" x="3735"/>
        <item m="1" x="3815"/>
        <item m="1" x="3925"/>
        <item m="1" x="760"/>
        <item m="1" x="3101"/>
        <item m="1" x="3267"/>
        <item m="1" x="3410"/>
        <item m="1" x="3499"/>
        <item m="1" x="3579"/>
        <item m="1" x="3659"/>
        <item m="1" x="3739"/>
        <item m="1" x="3820"/>
        <item m="1" x="3933"/>
        <item m="1" x="768"/>
        <item m="1" x="3865"/>
        <item m="1" x="680"/>
        <item m="1" x="832"/>
        <item m="1" x="938"/>
        <item m="1" x="1018"/>
        <item m="1" x="1098"/>
        <item m="1" x="1178"/>
        <item m="1" x="1258"/>
        <item m="1" x="1348"/>
        <item m="1" x="1495"/>
        <item m="1" x="3871"/>
        <item m="1" x="688"/>
        <item m="1" x="839"/>
        <item m="1" x="942"/>
        <item m="1" x="1022"/>
        <item m="1" x="1102"/>
        <item m="1" x="1182"/>
        <item m="1" x="1262"/>
        <item m="1" x="1354"/>
        <item m="1" x="1504"/>
        <item m="1" x="3877"/>
        <item m="1" x="696"/>
        <item m="1" x="846"/>
        <item m="1" x="946"/>
        <item m="1" x="1026"/>
        <item m="1" x="1106"/>
        <item m="1" x="1186"/>
        <item m="1" x="1266"/>
        <item m="1" x="1360"/>
        <item m="1" x="1513"/>
        <item m="1" x="3879"/>
        <item m="1" x="700"/>
        <item m="1" x="850"/>
        <item m="1" x="950"/>
        <item m="1" x="1030"/>
        <item m="1" x="1110"/>
        <item m="1" x="1190"/>
        <item m="1" x="1270"/>
        <item m="1" x="1364"/>
        <item m="1" x="1518"/>
        <item m="1" x="3881"/>
        <item m="1" x="704"/>
        <item m="1" x="854"/>
        <item m="1" x="954"/>
        <item m="1" x="1034"/>
        <item m="1" x="1114"/>
        <item m="1" x="1194"/>
        <item m="1" x="1274"/>
        <item m="1" x="1368"/>
        <item m="1" x="1522"/>
        <item m="1" x="3883"/>
        <item m="1" x="708"/>
        <item m="1" x="858"/>
        <item m="1" x="958"/>
        <item m="1" x="1038"/>
        <item m="1" x="1118"/>
        <item m="1" x="1198"/>
        <item m="1" x="1278"/>
        <item m="1" x="1372"/>
        <item m="1" x="1526"/>
        <item m="1" x="3885"/>
        <item m="1" x="712"/>
        <item m="1" x="862"/>
        <item m="1" x="962"/>
        <item m="1" x="1042"/>
        <item m="1" x="1122"/>
        <item m="1" x="1202"/>
        <item m="1" x="1282"/>
        <item m="1" x="1376"/>
        <item m="1" x="1530"/>
        <item m="1" x="3887"/>
        <item m="1" x="716"/>
        <item m="1" x="866"/>
        <item m="1" x="966"/>
        <item m="1" x="1046"/>
        <item m="1" x="1126"/>
        <item m="1" x="1206"/>
        <item m="1" x="1286"/>
        <item m="1" x="1380"/>
        <item m="1" x="1534"/>
        <item m="1" x="3890"/>
        <item m="1" x="721"/>
        <item m="1" x="870"/>
        <item m="1" x="970"/>
        <item m="1" x="1050"/>
        <item m="1" x="1130"/>
        <item m="1" x="1210"/>
        <item m="1" x="1290"/>
        <item m="1" x="1384"/>
        <item m="1" x="1538"/>
        <item m="1" x="3896"/>
        <item m="1" x="729"/>
        <item m="1" x="876"/>
        <item m="1" x="974"/>
        <item m="1" x="1054"/>
        <item m="1" x="1134"/>
        <item m="1" x="1214"/>
        <item m="1" x="1294"/>
        <item m="1" x="1391"/>
        <item m="1" x="1545"/>
        <item m="1" x="1546"/>
        <item m="1" x="1681"/>
        <item m="1" x="1767"/>
        <item m="1" x="1851"/>
        <item m="1" x="1935"/>
        <item m="1" x="2019"/>
        <item m="1" x="2103"/>
        <item m="1" x="2235"/>
        <item m="1" x="2407"/>
        <item m="1" x="2563"/>
        <item m="1" x="1553"/>
        <item m="1" x="1687"/>
        <item m="1" x="1771"/>
        <item m="1" x="1855"/>
        <item m="1" x="1939"/>
        <item m="1" x="2023"/>
        <item m="1" x="2107"/>
        <item m="1" x="2241"/>
        <item m="1" x="2414"/>
        <item m="1" x="2567"/>
        <item m="1" x="1557"/>
        <item m="1" x="1691"/>
        <item m="1" x="1775"/>
        <item m="1" x="1859"/>
        <item m="1" x="1943"/>
        <item m="1" x="2027"/>
        <item m="1" x="2111"/>
        <item m="1" x="2245"/>
        <item m="1" x="2419"/>
        <item m="1" x="2569"/>
        <item m="1" x="1561"/>
        <item m="1" x="1695"/>
        <item m="1" x="1779"/>
        <item m="1" x="1863"/>
        <item m="1" x="1947"/>
        <item m="1" x="2031"/>
        <item m="1" x="2115"/>
        <item m="1" x="2249"/>
        <item m="1" x="2423"/>
        <item m="1" x="2570"/>
        <item m="1" x="1565"/>
        <item m="1" x="1699"/>
        <item m="1" x="1783"/>
        <item m="1" x="1867"/>
        <item m="1" x="1951"/>
        <item m="1" x="2035"/>
        <item m="1" x="2119"/>
        <item m="1" x="2253"/>
        <item m="1" x="2427"/>
        <item m="1" x="2571"/>
        <item m="1" x="1569"/>
        <item m="1" x="1703"/>
        <item m="1" x="1787"/>
        <item m="1" x="1871"/>
        <item m="1" x="1955"/>
        <item m="1" x="2039"/>
        <item m="1" x="2123"/>
        <item m="1" x="2257"/>
        <item m="1" x="2431"/>
        <item m="1" x="2572"/>
        <item m="1" x="1573"/>
        <item m="1" x="1707"/>
        <item m="1" x="1791"/>
        <item m="1" x="1875"/>
        <item m="1" x="1959"/>
        <item m="1" x="2043"/>
        <item m="1" x="2127"/>
        <item m="1" x="2261"/>
        <item m="1" x="2435"/>
        <item m="1" x="2573"/>
        <item m="1" x="1577"/>
        <item m="1" x="1711"/>
        <item m="1" x="1795"/>
        <item m="1" x="1879"/>
        <item m="1" x="1963"/>
        <item m="1" x="2047"/>
        <item m="1" x="2131"/>
        <item m="1" x="2265"/>
        <item m="1" x="2439"/>
        <item m="1" x="2574"/>
        <item m="1" x="1584"/>
        <item m="1" x="1715"/>
        <item m="1" x="1799"/>
        <item m="1" x="1883"/>
        <item m="1" x="1967"/>
        <item m="1" x="2051"/>
        <item m="1" x="2137"/>
        <item m="1" x="2273"/>
        <item m="1" x="2447"/>
        <item m="1" x="2579"/>
        <item m="1" x="1591"/>
        <item m="1" x="1719"/>
        <item m="1" x="1803"/>
        <item m="1" x="1887"/>
        <item m="1" x="1971"/>
        <item m="1" x="2055"/>
        <item m="1" x="2143"/>
        <item m="1" x="2282"/>
        <item m="1" x="2456"/>
        <item m="1" x="2585"/>
        <item m="1" x="2366"/>
        <item m="1" x="2527"/>
        <item m="1" x="2630"/>
        <item m="1" x="2718"/>
        <item m="1" x="2806"/>
        <item m="1" x="2894"/>
        <item m="1" x="2982"/>
        <item m="1" x="3098"/>
        <item m="1" x="3262"/>
        <item m="1" x="3407"/>
        <item m="1" x="2375"/>
        <item m="1" x="2534"/>
        <item m="1" x="2634"/>
        <item m="1" x="2722"/>
        <item m="1" x="2810"/>
        <item m="1" x="2898"/>
        <item m="1" x="2986"/>
        <item m="1" x="3104"/>
        <item m="1" x="3270"/>
        <item m="1" x="3412"/>
        <item m="1" x="2380"/>
        <item m="1" x="2539"/>
        <item m="1" x="2638"/>
        <item m="1" x="2726"/>
        <item m="1" x="2814"/>
        <item m="1" x="2902"/>
        <item m="1" x="2990"/>
        <item m="1" x="3108"/>
        <item m="1" x="3276"/>
        <item m="1" x="3415"/>
        <item m="1" x="2384"/>
        <item m="1" x="2543"/>
        <item m="1" x="2642"/>
        <item m="1" x="2730"/>
        <item m="1" x="2818"/>
        <item m="1" x="2906"/>
        <item m="1" x="2994"/>
        <item m="1" x="3112"/>
        <item m="1" x="3280"/>
        <item m="1" x="3416"/>
        <item m="1" x="2388"/>
        <item m="1" x="2547"/>
        <item m="1" x="2646"/>
        <item m="1" x="2734"/>
        <item m="1" x="2822"/>
        <item m="1" x="2910"/>
        <item m="1" x="2998"/>
        <item m="1" x="3116"/>
        <item m="1" x="3284"/>
        <item m="1" x="3417"/>
        <item m="1" x="2392"/>
        <item m="1" x="2551"/>
        <item m="1" x="2650"/>
        <item m="1" x="2738"/>
        <item m="1" x="2826"/>
        <item m="1" x="2914"/>
        <item m="1" x="3002"/>
        <item m="1" x="3120"/>
        <item m="1" x="3288"/>
        <item m="1" x="3418"/>
        <item m="1" x="2396"/>
        <item m="1" x="2555"/>
        <item m="1" x="2654"/>
        <item m="1" x="2742"/>
        <item m="1" x="2830"/>
        <item m="1" x="2918"/>
        <item m="1" x="3006"/>
        <item m="1" x="3124"/>
        <item m="1" x="3292"/>
        <item m="1" x="3419"/>
        <item m="1" x="2400"/>
        <item m="1" x="2559"/>
        <item m="1" x="2658"/>
        <item m="1" x="2746"/>
        <item m="1" x="2834"/>
        <item m="1" x="2922"/>
        <item m="1" x="3010"/>
        <item m="1" x="3128"/>
        <item m="1" x="3296"/>
        <item m="1" x="3420"/>
        <item m="1" x="2408"/>
        <item m="1" x="2564"/>
        <item m="1" x="2661"/>
        <item m="1" x="2749"/>
        <item m="1" x="2837"/>
        <item m="1" x="2925"/>
        <item m="1" x="3014"/>
        <item m="1" x="3134"/>
        <item m="1" x="3302"/>
        <item m="1" x="3424"/>
        <item m="1" x="2415"/>
        <item m="1" x="2568"/>
        <item m="1" x="2664"/>
        <item m="1" x="2752"/>
        <item m="1" x="2840"/>
        <item m="1" x="2928"/>
        <item m="1" x="3018"/>
        <item m="1" x="3141"/>
        <item m="1" x="3309"/>
        <item m="1" x="3429"/>
        <item m="1" x="3221"/>
        <item m="1" x="3371"/>
        <item m="1" x="3465"/>
        <item m="1" x="3545"/>
        <item m="1" x="3625"/>
        <item m="1" x="3705"/>
        <item m="1" x="3785"/>
        <item m="1" x="3893"/>
        <item m="1" x="724"/>
        <item m="1" x="872"/>
        <item m="1" x="3230"/>
        <item m="1" x="3378"/>
        <item m="1" x="3469"/>
        <item m="1" x="3549"/>
        <item m="1" x="3629"/>
        <item m="1" x="3709"/>
        <item m="1" x="3789"/>
        <item m="1" x="3899"/>
        <item m="1" x="732"/>
        <item m="1" x="878"/>
        <item m="1" x="3235"/>
        <item m="1" x="3383"/>
        <item m="1" x="3473"/>
        <item m="1" x="3553"/>
        <item m="1" x="3633"/>
        <item m="1" x="3713"/>
        <item m="1" x="3793"/>
        <item m="1" x="3903"/>
        <item m="1" x="738"/>
        <item m="1" x="882"/>
        <item m="1" x="3239"/>
        <item m="1" x="3387"/>
        <item m="1" x="3477"/>
        <item m="1" x="3557"/>
        <item m="1" x="3637"/>
        <item m="1" x="3717"/>
        <item m="1" x="3797"/>
        <item m="1" x="3907"/>
        <item m="1" x="742"/>
        <item m="1" x="884"/>
        <item m="1" x="3243"/>
        <item m="1" x="3391"/>
        <item m="1" x="3481"/>
        <item m="1" x="3561"/>
        <item m="1" x="3641"/>
        <item m="1" x="3721"/>
        <item m="1" x="3801"/>
        <item m="1" x="3911"/>
        <item m="1" x="746"/>
        <item m="1" x="886"/>
        <item m="1" x="3247"/>
        <item m="1" x="3395"/>
        <item m="1" x="3485"/>
        <item m="1" x="3565"/>
        <item m="1" x="3645"/>
        <item m="1" x="3725"/>
        <item m="1" x="3805"/>
        <item m="1" x="3915"/>
        <item m="1" x="750"/>
        <item m="1" x="888"/>
        <item m="1" x="3251"/>
        <item m="1" x="3399"/>
        <item m="1" x="3489"/>
        <item m="1" x="3569"/>
        <item m="1" x="3649"/>
        <item m="1" x="3729"/>
        <item m="1" x="3809"/>
        <item m="1" x="3919"/>
        <item m="1" x="754"/>
        <item m="1" x="890"/>
        <item m="1" x="3255"/>
        <item m="1" x="3403"/>
        <item m="1" x="3493"/>
        <item m="1" x="3573"/>
        <item m="1" x="3653"/>
        <item m="1" x="3733"/>
        <item m="1" x="3813"/>
        <item m="1" x="3923"/>
        <item m="1" x="758"/>
        <item m="1" x="892"/>
        <item m="1" x="3263"/>
        <item m="1" x="3408"/>
        <item m="1" x="3497"/>
        <item m="1" x="3577"/>
        <item m="1" x="3657"/>
        <item m="1" x="3737"/>
        <item m="1" x="3818"/>
        <item m="1" x="3930"/>
        <item m="1" x="765"/>
        <item m="1" x="897"/>
        <item m="1" x="3271"/>
        <item m="1" x="3413"/>
        <item m="1" x="3501"/>
        <item m="1" x="3581"/>
        <item m="1" x="3661"/>
        <item m="1" x="3741"/>
        <item m="1" x="3823"/>
        <item m="1" x="3938"/>
        <item m="1" x="773"/>
        <item m="1" x="903"/>
        <item m="1" x="685"/>
        <item m="1" x="836"/>
        <item m="1" x="940"/>
        <item m="1" x="1020"/>
        <item m="1" x="1100"/>
        <item m="1" x="1180"/>
        <item m="1" x="1260"/>
        <item m="1" x="1351"/>
        <item m="1" x="1499"/>
        <item m="1" x="1651"/>
        <item m="1" x="693"/>
        <item m="1" x="843"/>
        <item m="1" x="944"/>
        <item m="1" x="1024"/>
        <item m="1" x="1104"/>
        <item m="1" x="1184"/>
        <item m="1" x="1264"/>
        <item m="1" x="1357"/>
        <item m="1" x="1508"/>
        <item m="1" x="1658"/>
        <item m="1" x="698"/>
        <item m="1" x="848"/>
        <item m="1" x="948"/>
        <item m="1" x="1028"/>
        <item m="1" x="1108"/>
        <item m="1" x="1188"/>
        <item m="1" x="1268"/>
        <item m="1" x="1362"/>
        <item m="1" x="1516"/>
        <item m="1" x="1664"/>
        <item m="1" x="702"/>
        <item m="1" x="852"/>
        <item m="1" x="952"/>
        <item m="1" x="1032"/>
        <item m="1" x="1112"/>
        <item m="1" x="1192"/>
        <item m="1" x="1272"/>
        <item m="1" x="1366"/>
        <item m="1" x="1520"/>
        <item m="1" x="1666"/>
        <item m="1" x="706"/>
        <item m="1" x="856"/>
        <item m="1" x="956"/>
        <item m="1" x="1036"/>
        <item m="1" x="1116"/>
        <item m="1" x="1196"/>
        <item m="1" x="1276"/>
        <item m="1" x="1370"/>
        <item m="1" x="1524"/>
        <item m="1" x="1668"/>
        <item m="1" x="710"/>
        <item m="1" x="860"/>
        <item m="1" x="960"/>
        <item m="1" x="1040"/>
        <item m="1" x="1120"/>
        <item m="1" x="1200"/>
        <item m="1" x="1280"/>
        <item m="1" x="1374"/>
        <item m="1" x="1528"/>
        <item m="1" x="1670"/>
        <item m="1" x="714"/>
        <item m="1" x="864"/>
        <item m="1" x="964"/>
        <item m="1" x="1044"/>
        <item m="1" x="1124"/>
        <item m="1" x="1204"/>
        <item m="1" x="1284"/>
        <item m="1" x="1378"/>
        <item m="1" x="1532"/>
        <item m="1" x="1672"/>
        <item m="1" x="718"/>
        <item m="1" x="868"/>
        <item m="1" x="968"/>
        <item m="1" x="1048"/>
        <item m="1" x="1128"/>
        <item m="1" x="1208"/>
        <item m="1" x="1288"/>
        <item m="1" x="1382"/>
        <item m="1" x="1536"/>
        <item m="1" x="1674"/>
        <item m="1" x="725"/>
        <item m="1" x="873"/>
        <item m="1" x="972"/>
        <item m="1" x="1052"/>
        <item m="1" x="1132"/>
        <item m="1" x="1212"/>
        <item m="1" x="1292"/>
        <item m="1" x="1388"/>
        <item m="1" x="1542"/>
        <item m="1" x="1678"/>
        <item m="1" x="733"/>
        <item m="1" x="879"/>
        <item m="1" x="976"/>
        <item m="1" x="1056"/>
        <item m="1" x="1136"/>
        <item m="1" x="1216"/>
        <item m="1" x="1296"/>
        <item m="1" x="1395"/>
        <item m="1" x="1550"/>
        <item m="1" x="1684"/>
        <item m="1" x="1458"/>
        <item m="1" x="1613"/>
        <item m="1" x="1721"/>
        <item m="1" x="1805"/>
        <item m="1" x="1889"/>
        <item m="1" x="1973"/>
        <item m="1" x="2057"/>
        <item m="1" x="2158"/>
        <item m="1" x="2316"/>
        <item m="1" x="2489"/>
        <item m="1" x="1466"/>
        <item m="1" x="1620"/>
        <item m="1" x="1725"/>
        <item m="1" x="1809"/>
        <item m="1" x="1893"/>
        <item m="1" x="1977"/>
        <item m="1" x="2061"/>
        <item m="1" x="2164"/>
        <item m="1" x="2325"/>
        <item m="1" x="2497"/>
        <item m="1" x="1471"/>
        <item m="1" x="1625"/>
        <item m="1" x="1729"/>
        <item m="1" x="1813"/>
        <item m="1" x="1897"/>
        <item m="1" x="1981"/>
        <item m="1" x="2065"/>
        <item m="1" x="2169"/>
        <item m="1" x="2333"/>
        <item m="1" x="2504"/>
        <item m="1" x="1475"/>
        <item m="1" x="1629"/>
        <item m="1" x="1733"/>
        <item m="1" x="1817"/>
        <item m="1" x="1901"/>
        <item m="1" x="1985"/>
        <item m="1" x="2069"/>
        <item m="1" x="2173"/>
        <item m="1" x="2337"/>
        <item m="1" x="2507"/>
        <item m="1" x="1479"/>
        <item m="1" x="1633"/>
        <item m="1" x="1737"/>
        <item m="1" x="1821"/>
        <item m="1" x="1905"/>
        <item m="1" x="1989"/>
        <item m="1" x="2073"/>
        <item m="1" x="2177"/>
        <item m="1" x="2341"/>
        <item m="1" x="2510"/>
        <item m="1" x="1483"/>
        <item m="1" x="1637"/>
        <item m="1" x="1741"/>
        <item m="1" x="1825"/>
        <item m="1" x="1909"/>
        <item m="1" x="1993"/>
        <item m="1" x="2077"/>
        <item m="1" x="2181"/>
        <item m="1" x="2345"/>
        <item m="1" x="2513"/>
        <item m="1" x="1487"/>
        <item m="1" x="1641"/>
        <item m="1" x="1745"/>
        <item m="1" x="1829"/>
        <item m="1" x="1913"/>
        <item m="1" x="1997"/>
        <item m="1" x="2081"/>
        <item m="1" x="2186"/>
        <item m="1" x="2350"/>
        <item m="1" x="2516"/>
        <item m="1" x="1492"/>
        <item m="1" x="1646"/>
        <item m="1" x="1750"/>
        <item m="1" x="1834"/>
        <item m="1" x="1918"/>
        <item m="1" x="2002"/>
        <item m="1" x="2086"/>
        <item m="1" x="2191"/>
        <item m="1" x="2355"/>
        <item m="1" x="2519"/>
        <item m="1" x="1500"/>
        <item m="1" x="1652"/>
        <item m="1" x="1755"/>
        <item m="1" x="1839"/>
        <item m="1" x="1923"/>
        <item m="1" x="2007"/>
        <item m="1" x="2091"/>
        <item m="1" x="2198"/>
        <item m="1" x="2362"/>
        <item m="1" x="2524"/>
        <item m="1" x="1509"/>
        <item m="1" x="1659"/>
        <item m="1" x="1760"/>
        <item m="1" x="1844"/>
        <item m="1" x="1928"/>
        <item m="1" x="2012"/>
        <item m="1" x="2096"/>
        <item m="1" x="2206"/>
        <item m="1" x="2371"/>
        <item m="1" x="2531"/>
        <item m="1" x="2269"/>
        <item m="1" x="2443"/>
        <item m="1" x="2576"/>
        <item m="1" x="2666"/>
        <item m="1" x="2754"/>
        <item m="1" x="2842"/>
        <item m="1" x="2930"/>
        <item m="1" x="3026"/>
        <item m="1" x="3168"/>
        <item m="1" x="3335"/>
        <item m="1" x="2278"/>
        <item m="1" x="2452"/>
        <item m="1" x="2582"/>
        <item m="1" x="2671"/>
        <item m="1" x="2759"/>
        <item m="1" x="2847"/>
        <item m="1" x="2935"/>
        <item m="1" x="3032"/>
        <item m="1" x="3177"/>
        <item m="1" x="3342"/>
        <item m="1" x="2285"/>
        <item m="1" x="2459"/>
        <item m="1" x="2588"/>
        <item m="1" x="2676"/>
        <item m="1" x="2764"/>
        <item m="1" x="2852"/>
        <item m="1" x="2940"/>
        <item m="1" x="3038"/>
        <item m="1" x="3186"/>
        <item m="1" x="3349"/>
        <item m="1" x="2290"/>
        <item m="1" x="2464"/>
        <item m="1" x="2593"/>
        <item m="1" x="2681"/>
        <item m="1" x="2769"/>
        <item m="1" x="2857"/>
        <item m="1" x="2945"/>
        <item m="1" x="3043"/>
        <item m="1" x="3191"/>
        <item m="1" x="3352"/>
        <item m="1" x="2295"/>
        <item m="1" x="2469"/>
        <item m="1" x="2598"/>
        <item m="1" x="2686"/>
        <item m="1" x="2774"/>
        <item m="1" x="2862"/>
        <item m="1" x="2950"/>
        <item m="1" x="3048"/>
        <item m="1" x="3196"/>
        <item m="1" x="3355"/>
        <item m="1" x="2300"/>
        <item m="1" x="2474"/>
        <item m="1" x="2603"/>
        <item m="1" x="2691"/>
        <item m="1" x="2779"/>
        <item m="1" x="2867"/>
        <item m="1" x="2955"/>
        <item m="1" x="3053"/>
        <item m="1" x="3201"/>
        <item m="1" x="3358"/>
        <item m="1" x="2305"/>
        <item m="1" x="2479"/>
        <item m="1" x="2608"/>
        <item m="1" x="2696"/>
        <item m="1" x="2784"/>
        <item m="1" x="2872"/>
        <item m="1" x="2960"/>
        <item m="1" x="3058"/>
        <item m="1" x="3206"/>
        <item m="1" x="3361"/>
        <item m="1" x="2310"/>
        <item m="1" x="2484"/>
        <item m="1" x="2613"/>
        <item m="1" x="2701"/>
        <item m="1" x="2789"/>
        <item m="1" x="2877"/>
        <item m="1" x="2965"/>
        <item m="1" x="3063"/>
        <item m="1" x="3211"/>
        <item m="1" x="3364"/>
        <item m="1" x="2317"/>
        <item m="1" x="2490"/>
        <item m="1" x="2618"/>
        <item m="1" x="2706"/>
        <item m="1" x="2794"/>
        <item m="1" x="2882"/>
        <item m="1" x="2970"/>
        <item m="1" x="3069"/>
        <item m="1" x="3217"/>
        <item m="1" x="3368"/>
        <item m="1" x="2326"/>
        <item m="1" x="2498"/>
        <item m="1" x="2623"/>
        <item m="1" x="2711"/>
        <item m="1" x="2799"/>
        <item m="1" x="2887"/>
        <item m="1" x="2975"/>
        <item m="1" x="3076"/>
        <item m="1" x="3226"/>
        <item m="1" x="3375"/>
        <item m="1" x="3130"/>
        <item m="1" x="3298"/>
        <item m="1" x="3421"/>
        <item m="1" x="3503"/>
        <item m="1" x="3583"/>
        <item m="1" x="3663"/>
        <item m="1" x="3743"/>
        <item m="1" x="3831"/>
        <item m="1" x="3965"/>
        <item m="1" x="800"/>
        <item m="1" x="3137"/>
        <item m="1" x="3305"/>
        <item m="1" x="3426"/>
        <item m="1" x="3507"/>
        <item m="1" x="3587"/>
        <item m="1" x="3667"/>
        <item m="1" x="3747"/>
        <item m="1" x="3836"/>
        <item m="1" x="3973"/>
        <item m="1" x="807"/>
        <item m="1" x="3143"/>
        <item m="1" x="3311"/>
        <item m="1" x="3431"/>
        <item m="1" x="3511"/>
        <item m="1" x="3591"/>
        <item m="1" x="3671"/>
        <item m="1" x="3751"/>
        <item m="1" x="3841"/>
        <item m="1" x="3981"/>
        <item m="1" x="814"/>
        <item m="1" x="3147"/>
        <item m="1" x="3315"/>
        <item m="1" x="3435"/>
        <item m="1" x="3515"/>
        <item m="1" x="3595"/>
        <item m="1" x="3675"/>
        <item m="1" x="3755"/>
        <item m="1" x="3845"/>
        <item m="1" x="660"/>
        <item m="1" x="817"/>
        <item m="1" x="3151"/>
        <item m="1" x="3319"/>
        <item m="1" x="3439"/>
        <item m="1" x="3519"/>
        <item m="1" x="3599"/>
        <item m="1" x="3679"/>
        <item m="1" x="3759"/>
        <item m="1" x="3849"/>
        <item m="1" x="664"/>
        <item m="1" x="820"/>
        <item m="1" x="3155"/>
        <item m="1" x="3323"/>
        <item m="1" x="3443"/>
        <item m="1" x="3523"/>
        <item m="1" x="3603"/>
        <item m="1" x="3683"/>
        <item m="1" x="3763"/>
        <item m="1" x="3853"/>
        <item m="1" x="668"/>
        <item m="1" x="823"/>
        <item m="1" x="3159"/>
        <item m="1" x="3327"/>
        <item m="1" x="3447"/>
        <item m="1" x="3527"/>
        <item m="1" x="3607"/>
        <item m="1" x="3687"/>
        <item m="1" x="3767"/>
        <item m="1" x="3857"/>
        <item m="1" x="672"/>
        <item m="1" x="826"/>
        <item m="1" x="3163"/>
        <item m="1" x="3331"/>
        <item m="1" x="3451"/>
        <item m="1" x="3531"/>
        <item m="1" x="3611"/>
        <item m="1" x="3691"/>
        <item m="1" x="3771"/>
        <item m="1" x="3861"/>
        <item m="1" x="676"/>
        <item m="1" x="829"/>
        <item m="1" x="3169"/>
        <item m="1" x="3336"/>
        <item m="1" x="3455"/>
        <item m="1" x="3535"/>
        <item m="1" x="3615"/>
        <item m="1" x="3695"/>
        <item m="1" x="3775"/>
        <item m="1" x="3866"/>
        <item m="1" x="681"/>
        <item m="1" x="833"/>
        <item m="1" x="3178"/>
        <item m="1" x="3343"/>
        <item m="1" x="3459"/>
        <item m="1" x="3539"/>
        <item m="1" x="3619"/>
        <item m="1" x="3699"/>
        <item m="1" x="3779"/>
        <item m="1" x="3872"/>
        <item m="1" x="689"/>
        <item m="1" x="840"/>
        <item m="1" x="3926"/>
        <item m="1" x="761"/>
        <item m="1" x="894"/>
        <item m="1" x="978"/>
        <item m="1" x="1058"/>
        <item m="1" x="1138"/>
        <item m="1" x="1218"/>
        <item m="1" x="1298"/>
        <item m="1" x="1416"/>
        <item m="1" x="1578"/>
        <item m="1" x="3934"/>
        <item m="1" x="769"/>
        <item m="1" x="900"/>
        <item m="1" x="982"/>
        <item m="1" x="1062"/>
        <item m="1" x="1142"/>
        <item m="1" x="1222"/>
        <item m="1" x="1302"/>
        <item m="1" x="1423"/>
        <item m="1" x="1585"/>
        <item m="1" x="3941"/>
        <item m="1" x="776"/>
        <item m="1" x="906"/>
        <item m="1" x="986"/>
        <item m="1" x="1066"/>
        <item m="1" x="1146"/>
        <item m="1" x="1226"/>
        <item m="1" x="1306"/>
        <item m="1" x="1430"/>
        <item m="1" x="1592"/>
        <item m="1" x="3945"/>
        <item m="1" x="780"/>
        <item m="1" x="910"/>
        <item m="1" x="990"/>
        <item m="1" x="1070"/>
        <item m="1" x="1150"/>
        <item m="1" x="1230"/>
        <item m="1" x="1310"/>
        <item m="1" x="1434"/>
        <item m="1" x="1595"/>
        <item m="1" x="3949"/>
        <item m="1" x="784"/>
        <item m="1" x="914"/>
        <item m="1" x="994"/>
        <item m="1" x="1074"/>
        <item m="1" x="1154"/>
        <item m="1" x="1234"/>
        <item m="1" x="1314"/>
        <item m="1" x="1438"/>
        <item m="1" x="1598"/>
        <item m="1" x="3953"/>
        <item m="1" x="788"/>
        <item m="1" x="918"/>
        <item m="1" x="998"/>
        <item m="1" x="1078"/>
        <item m="1" x="1158"/>
        <item m="1" x="1238"/>
        <item m="1" x="1318"/>
        <item m="1" x="1442"/>
        <item m="1" x="1601"/>
        <item m="1" x="3957"/>
        <item m="1" x="792"/>
        <item m="1" x="922"/>
        <item m="1" x="1002"/>
        <item m="1" x="1082"/>
        <item m="1" x="1162"/>
        <item m="1" x="1242"/>
        <item m="1" x="1322"/>
        <item m="1" x="1446"/>
        <item m="1" x="1604"/>
        <item m="1" x="3961"/>
        <item m="1" x="796"/>
        <item m="1" x="926"/>
        <item m="1" x="1006"/>
        <item m="1" x="1086"/>
        <item m="1" x="1166"/>
        <item m="1" x="1246"/>
        <item m="1" x="1326"/>
        <item m="1" x="1450"/>
        <item m="1" x="1607"/>
        <item m="1" x="3966"/>
        <item m="1" x="801"/>
        <item m="1" x="930"/>
        <item m="1" x="1010"/>
        <item m="1" x="1090"/>
        <item m="1" x="1170"/>
        <item m="1" x="1250"/>
        <item m="1" x="1330"/>
        <item m="1" x="1454"/>
        <item m="1" x="1610"/>
        <item m="1" x="3974"/>
        <item m="1" x="808"/>
        <item m="1" x="934"/>
        <item m="1" x="1014"/>
        <item m="1" x="1094"/>
        <item m="1" x="1174"/>
        <item m="1" x="1254"/>
        <item m="1" x="1335"/>
        <item m="1" x="1461"/>
        <item m="1" x="1616"/>
        <item m="1" x="1385"/>
        <item m="1" x="1539"/>
        <item m="1" x="1676"/>
        <item m="1" x="1764"/>
        <item m="1" x="1848"/>
        <item m="1" x="1932"/>
        <item m="1" x="2016"/>
        <item m="1" x="2100"/>
        <item m="1" x="2229"/>
        <item m="1" x="2401"/>
        <item m="1" x="1392"/>
        <item m="1" x="1547"/>
        <item m="1" x="1682"/>
        <item m="1" x="1768"/>
        <item m="1" x="1852"/>
        <item m="1" x="1936"/>
        <item m="1" x="2020"/>
        <item m="1" x="2104"/>
        <item m="1" x="2236"/>
        <item m="1" x="2409"/>
        <item m="1" x="1398"/>
        <item m="1" x="1554"/>
        <item m="1" x="1688"/>
        <item m="1" x="1772"/>
        <item m="1" x="1856"/>
        <item m="1" x="1940"/>
        <item m="1" x="2024"/>
        <item m="1" x="2108"/>
        <item m="1" x="2242"/>
        <item m="1" x="2416"/>
        <item m="1" x="1401"/>
        <item m="1" x="1558"/>
        <item m="1" x="1692"/>
        <item m="1" x="1776"/>
        <item m="1" x="1860"/>
        <item m="1" x="1944"/>
        <item m="1" x="2028"/>
        <item m="1" x="2112"/>
        <item m="1" x="2246"/>
        <item m="1" x="2420"/>
        <item m="1" x="1404"/>
        <item m="1" x="1562"/>
        <item m="1" x="1696"/>
        <item m="1" x="1780"/>
        <item m="1" x="1864"/>
        <item m="1" x="1948"/>
        <item m="1" x="2032"/>
        <item m="1" x="2116"/>
        <item m="1" x="2250"/>
        <item m="1" x="2424"/>
        <item m="1" x="1407"/>
        <item m="1" x="1566"/>
        <item m="1" x="1700"/>
        <item m="1" x="1784"/>
        <item m="1" x="1868"/>
        <item m="1" x="1952"/>
        <item m="1" x="2036"/>
        <item m="1" x="2120"/>
        <item m="1" x="2254"/>
        <item m="1" x="2428"/>
        <item m="1" x="1410"/>
        <item m="1" x="1570"/>
        <item m="1" x="1704"/>
        <item m="1" x="1788"/>
        <item m="1" x="1872"/>
        <item m="1" x="1956"/>
        <item m="1" x="2040"/>
        <item m="1" x="2124"/>
        <item m="1" x="2258"/>
        <item m="1" x="2432"/>
        <item m="1" x="1413"/>
        <item m="1" x="1574"/>
        <item m="1" x="1708"/>
        <item m="1" x="1792"/>
        <item m="1" x="1876"/>
        <item m="1" x="1960"/>
        <item m="1" x="2044"/>
        <item m="1" x="2128"/>
        <item m="1" x="2262"/>
        <item m="1" x="2436"/>
        <item m="1" x="1417"/>
        <item m="1" x="1579"/>
        <item m="1" x="1712"/>
        <item m="1" x="1796"/>
        <item m="1" x="1880"/>
        <item m="1" x="1964"/>
        <item m="1" x="2048"/>
        <item m="1" x="2132"/>
        <item m="1" x="2266"/>
        <item m="1" x="2440"/>
        <item m="1" x="1424"/>
        <item m="1" x="1586"/>
        <item m="1" x="1716"/>
        <item m="1" x="1800"/>
        <item m="1" x="1884"/>
        <item m="1" x="1968"/>
        <item m="1" x="2052"/>
        <item m="1" x="2138"/>
        <item m="1" x="2274"/>
        <item m="1" x="2448"/>
        <item m="1" x="2194"/>
        <item m="1" x="2358"/>
        <item m="1" x="2521"/>
        <item m="1" x="2627"/>
        <item m="1" x="2715"/>
        <item m="1" x="2803"/>
        <item m="1" x="2891"/>
        <item m="1" x="2979"/>
        <item m="1" x="3093"/>
        <item m="1" x="3256"/>
        <item m="1" x="2202"/>
        <item m="1" x="2367"/>
        <item m="1" x="2528"/>
        <item m="1" x="2631"/>
        <item m="1" x="2719"/>
        <item m="1" x="2807"/>
        <item m="1" x="2895"/>
        <item m="1" x="2983"/>
        <item m="1" x="3099"/>
        <item m="1" x="3264"/>
        <item m="1" x="2210"/>
        <item m="1" x="2376"/>
        <item m="1" x="2535"/>
        <item m="1" x="2635"/>
        <item m="1" x="2723"/>
        <item m="1" x="2811"/>
        <item m="1" x="2899"/>
        <item m="1" x="2987"/>
        <item m="1" x="3105"/>
        <item m="1" x="3272"/>
        <item m="1" x="2214"/>
        <item m="1" x="2381"/>
        <item m="1" x="2540"/>
        <item m="1" x="2639"/>
        <item m="1" x="2727"/>
        <item m="1" x="2815"/>
        <item m="1" x="2903"/>
        <item m="1" x="2991"/>
        <item m="1" x="3109"/>
        <item m="1" x="3277"/>
        <item m="1" x="2217"/>
        <item m="1" x="2385"/>
        <item m="1" x="2544"/>
        <item m="1" x="2643"/>
        <item m="1" x="2731"/>
        <item m="1" x="2819"/>
        <item m="1" x="2907"/>
        <item m="1" x="2995"/>
        <item m="1" x="3113"/>
        <item m="1" x="3281"/>
        <item m="1" x="2220"/>
        <item m="1" x="2389"/>
        <item m="1" x="2548"/>
        <item m="1" x="2647"/>
        <item m="1" x="2735"/>
        <item m="1" x="2823"/>
        <item m="1" x="2911"/>
        <item m="1" x="2999"/>
        <item m="1" x="3117"/>
        <item m="1" x="3285"/>
        <item m="1" x="2223"/>
        <item m="1" x="2393"/>
        <item m="1" x="2552"/>
        <item m="1" x="2651"/>
        <item m="1" x="2739"/>
        <item m="1" x="2827"/>
        <item m="1" x="2915"/>
        <item m="1" x="3003"/>
        <item m="1" x="3121"/>
        <item m="1" x="3289"/>
        <item m="1" x="2226"/>
        <item m="1" x="2397"/>
        <item m="1" x="2556"/>
        <item m="1" x="2655"/>
        <item m="1" x="2743"/>
        <item m="1" x="2831"/>
        <item m="1" x="2919"/>
        <item m="1" x="3007"/>
        <item m="1" x="3125"/>
        <item m="1" x="3293"/>
        <item m="1" x="2230"/>
        <item m="1" x="2402"/>
        <item m="1" x="2560"/>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15">
        <item m="1" x="12"/>
        <item m="1" x="13"/>
        <item m="1" x="11"/>
        <item x="0"/>
        <item x="1"/>
        <item x="2"/>
        <item x="3"/>
        <item x="4"/>
        <item x="5"/>
        <item m="1" x="14"/>
        <item x="6"/>
        <item x="7"/>
        <item x="8"/>
        <item x="9"/>
        <item x="10"/>
      </items>
    </pivotField>
    <pivotField axis="axisRow" compact="0" outline="0" showAll="0" defaultSubtotal="0">
      <items count="13">
        <item m="1" x="12"/>
        <item m="1" x="3"/>
        <item m="1" x="10"/>
        <item m="1" x="8"/>
        <item m="1" x="11"/>
        <item m="1" x="6"/>
        <item m="1" x="4"/>
        <item m="1" x="7"/>
        <item m="1" x="9"/>
        <item x="1"/>
        <item m="1" x="5"/>
        <item x="0"/>
        <item x="2"/>
      </items>
    </pivotField>
    <pivotField axis="axisRow" compact="0" outline="0" showAll="0" defaultSubtotal="0">
      <items count="3">
        <item x="2"/>
        <item x="0"/>
        <item x="1"/>
      </items>
    </pivotField>
    <pivotField axis="axisRow" compact="0" outline="0" showAll="0" defaultSubtotal="0">
      <items count="373">
        <item m="1" x="90"/>
        <item m="1" x="244"/>
        <item m="1" x="279"/>
        <item m="1" x="367"/>
        <item m="1" x="364"/>
        <item m="1" x="143"/>
        <item x="69"/>
        <item m="1" x="250"/>
        <item x="61"/>
        <item x="18"/>
        <item m="1" x="121"/>
        <item x="53"/>
        <item x="81"/>
        <item m="1" x="267"/>
        <item m="1" x="252"/>
        <item m="1" x="235"/>
        <item m="1" x="344"/>
        <item m="1" x="170"/>
        <item x="19"/>
        <item m="1" x="96"/>
        <item m="1" x="127"/>
        <item x="29"/>
        <item m="1" x="331"/>
        <item m="1" x="99"/>
        <item m="1" x="325"/>
        <item m="1" x="269"/>
        <item m="1" x="274"/>
        <item x="54"/>
        <item m="1" x="241"/>
        <item m="1" x="277"/>
        <item m="1" x="164"/>
        <item x="70"/>
        <item m="1" x="232"/>
        <item x="45"/>
        <item m="1" x="245"/>
        <item m="1" x="142"/>
        <item m="1" x="212"/>
        <item m="1" x="91"/>
        <item m="1" x="160"/>
        <item m="1" x="348"/>
        <item x="55"/>
        <item x="0"/>
        <item m="1" x="313"/>
        <item m="1" x="166"/>
        <item m="1" x="150"/>
        <item m="1" x="316"/>
        <item m="1" x="332"/>
        <item m="1" x="158"/>
        <item m="1" x="354"/>
        <item m="1" x="183"/>
        <item m="1" x="213"/>
        <item m="1" x="153"/>
        <item m="1" x="365"/>
        <item m="1" x="193"/>
        <item m="1" x="88"/>
        <item m="1" x="236"/>
        <item m="1" x="347"/>
        <item m="1" x="306"/>
        <item m="1" x="242"/>
        <item m="1" x="131"/>
        <item m="1" x="322"/>
        <item m="1" x="135"/>
        <item m="1" x="184"/>
        <item m="1" x="238"/>
        <item m="1" x="276"/>
        <item m="1" x="318"/>
        <item m="1" x="119"/>
        <item m="1" x="175"/>
        <item m="1" x="337"/>
        <item x="24"/>
        <item x="57"/>
        <item m="1" x="362"/>
        <item m="1" x="95"/>
        <item m="1" x="178"/>
        <item m="1" x="203"/>
        <item m="1" x="287"/>
        <item m="1" x="326"/>
        <item m="1" x="266"/>
        <item m="1" x="335"/>
        <item m="1" x="180"/>
        <item m="1" x="204"/>
        <item x="22"/>
        <item m="1" x="92"/>
        <item m="1" x="368"/>
        <item m="1" x="122"/>
        <item m="1" x="189"/>
        <item m="1" x="300"/>
        <item m="1" x="281"/>
        <item m="1" x="257"/>
        <item m="1" x="324"/>
        <item m="1" x="230"/>
        <item m="1" x="282"/>
        <item m="1" x="188"/>
        <item m="1" x="117"/>
        <item m="1" x="264"/>
        <item m="1" x="246"/>
        <item m="1" x="254"/>
        <item m="1" x="321"/>
        <item m="1" x="177"/>
        <item m="1" x="355"/>
        <item m="1" x="114"/>
        <item x="39"/>
        <item m="1" x="148"/>
        <item m="1" x="110"/>
        <item m="1" x="154"/>
        <item m="1" x="159"/>
        <item m="1" x="283"/>
        <item m="1" x="174"/>
        <item m="1" x="219"/>
        <item m="1" x="202"/>
        <item m="1" x="227"/>
        <item x="25"/>
        <item m="1" x="371"/>
        <item x="17"/>
        <item m="1" x="342"/>
        <item m="1" x="224"/>
        <item m="1" x="144"/>
        <item m="1" x="168"/>
        <item m="1" x="181"/>
        <item m="1" x="125"/>
        <item m="1" x="185"/>
        <item m="1" x="308"/>
        <item m="1" x="350"/>
        <item x="30"/>
        <item m="1" x="190"/>
        <item m="1" x="349"/>
        <item x="26"/>
        <item m="1" x="118"/>
        <item m="1" x="102"/>
        <item m="1" x="239"/>
        <item m="1" x="169"/>
        <item m="1" x="305"/>
        <item m="1" x="165"/>
        <item m="1" x="201"/>
        <item m="1" x="113"/>
        <item m="1" x="351"/>
        <item x="62"/>
        <item m="1" x="268"/>
        <item m="1" x="128"/>
        <item x="31"/>
        <item x="48"/>
        <item m="1" x="338"/>
        <item m="1" x="93"/>
        <item m="1" x="216"/>
        <item m="1" x="240"/>
        <item m="1" x="339"/>
        <item m="1" x="298"/>
        <item m="1" x="361"/>
        <item x="63"/>
        <item m="1" x="292"/>
        <item m="1" x="226"/>
        <item m="1" x="323"/>
        <item x="32"/>
        <item x="58"/>
        <item x="78"/>
        <item m="1" x="137"/>
        <item m="1" x="302"/>
        <item m="1" x="182"/>
        <item m="1" x="172"/>
        <item m="1" x="152"/>
        <item m="1" x="370"/>
        <item m="1" x="151"/>
        <item m="1" x="138"/>
        <item m="1" x="345"/>
        <item m="1" x="280"/>
        <item m="1" x="109"/>
        <item m="1" x="195"/>
        <item m="1" x="352"/>
        <item x="79"/>
        <item m="1" x="291"/>
        <item m="1" x="293"/>
        <item m="1" x="286"/>
        <item m="1" x="140"/>
        <item m="1" x="205"/>
        <item x="49"/>
        <item m="1" x="278"/>
        <item m="1" x="171"/>
        <item m="1" x="146"/>
        <item m="1" x="369"/>
        <item m="1" x="214"/>
        <item m="1" x="296"/>
        <item m="1" x="147"/>
        <item m="1" x="288"/>
        <item m="1" x="363"/>
        <item m="1" x="275"/>
        <item x="64"/>
        <item m="1" x="234"/>
        <item m="1" x="295"/>
        <item m="1" x="289"/>
        <item m="1" x="101"/>
        <item m="1" x="86"/>
        <item m="1" x="294"/>
        <item x="71"/>
        <item x="27"/>
        <item m="1" x="353"/>
        <item m="1" x="89"/>
        <item m="1" x="161"/>
        <item m="1" x="248"/>
        <item m="1" x="207"/>
        <item m="1" x="319"/>
        <item m="1" x="299"/>
        <item m="1" x="330"/>
        <item m="1" x="290"/>
        <item m="1" x="211"/>
        <item m="1" x="141"/>
        <item x="50"/>
        <item m="1" x="304"/>
        <item m="1" x="133"/>
        <item m="1" x="261"/>
        <item m="1" x="265"/>
        <item m="1" x="272"/>
        <item m="1" x="139"/>
        <item m="1" x="87"/>
        <item m="1" x="206"/>
        <item m="1" x="357"/>
        <item m="1" x="284"/>
        <item m="1" x="156"/>
        <item m="1" x="197"/>
        <item m="1" x="191"/>
        <item m="1" x="194"/>
        <item m="1" x="98"/>
        <item m="1" x="263"/>
        <item m="1" x="85"/>
        <item m="1" x="136"/>
        <item m="1" x="115"/>
        <item m="1" x="258"/>
        <item m="1" x="221"/>
        <item m="1" x="126"/>
        <item m="1" x="167"/>
        <item m="1" x="162"/>
        <item m="1" x="329"/>
        <item m="1" x="130"/>
        <item m="1" x="103"/>
        <item m="1" x="340"/>
        <item x="72"/>
        <item m="1" x="163"/>
        <item x="73"/>
        <item m="1" x="237"/>
        <item m="1" x="123"/>
        <item x="76"/>
        <item m="1" x="301"/>
        <item m="1" x="260"/>
        <item m="1" x="111"/>
        <item m="1" x="97"/>
        <item m="1" x="317"/>
        <item m="1" x="157"/>
        <item m="1" x="225"/>
        <item m="1" x="270"/>
        <item m="1" x="314"/>
        <item m="1" x="198"/>
        <item m="1" x="155"/>
        <item m="1" x="253"/>
        <item m="1" x="307"/>
        <item x="33"/>
        <item m="1" x="297"/>
        <item m="1" x="315"/>
        <item m="1" x="200"/>
        <item m="1" x="273"/>
        <item m="1" x="366"/>
        <item m="1" x="249"/>
        <item x="40"/>
        <item m="1" x="312"/>
        <item m="1" x="120"/>
        <item m="1" x="346"/>
        <item x="2"/>
        <item x="15"/>
        <item x="3"/>
        <item x="11"/>
        <item x="4"/>
        <item x="9"/>
        <item x="10"/>
        <item x="14"/>
        <item x="12"/>
        <item x="7"/>
        <item x="16"/>
        <item x="6"/>
        <item x="1"/>
        <item x="5"/>
        <item x="8"/>
        <item x="13"/>
        <item m="1" x="220"/>
        <item m="1" x="145"/>
        <item x="41"/>
        <item m="1" x="327"/>
        <item m="1" x="233"/>
        <item m="1" x="262"/>
        <item m="1" x="108"/>
        <item m="1" x="251"/>
        <item m="1" x="303"/>
        <item m="1" x="105"/>
        <item m="1" x="341"/>
        <item m="1" x="112"/>
        <item m="1" x="271"/>
        <item m="1" x="199"/>
        <item m="1" x="334"/>
        <item m="1" x="285"/>
        <item m="1" x="209"/>
        <item m="1" x="196"/>
        <item x="83"/>
        <item m="1" x="129"/>
        <item m="1" x="358"/>
        <item m="1" x="124"/>
        <item x="35"/>
        <item x="42"/>
        <item m="1" x="100"/>
        <item m="1" x="311"/>
        <item x="51"/>
        <item m="1" x="228"/>
        <item m="1" x="359"/>
        <item m="1" x="231"/>
        <item m="1" x="259"/>
        <item m="1" x="217"/>
        <item m="1" x="309"/>
        <item m="1" x="336"/>
        <item m="1" x="360"/>
        <item m="1" x="218"/>
        <item m="1" x="186"/>
        <item m="1" x="310"/>
        <item m="1" x="179"/>
        <item x="43"/>
        <item m="1" x="343"/>
        <item x="44"/>
        <item m="1" x="229"/>
        <item m="1" x="106"/>
        <item x="77"/>
        <item m="1" x="256"/>
        <item m="1" x="223"/>
        <item m="1" x="208"/>
        <item x="52"/>
        <item x="59"/>
        <item m="1" x="215"/>
        <item x="66"/>
        <item m="1" x="356"/>
        <item m="1" x="210"/>
        <item m="1" x="116"/>
        <item m="1" x="192"/>
        <item m="1" x="176"/>
        <item m="1" x="187"/>
        <item x="20"/>
        <item m="1" x="320"/>
        <item m="1" x="107"/>
        <item m="1" x="94"/>
        <item m="1" x="173"/>
        <item m="1" x="243"/>
        <item m="1" x="104"/>
        <item m="1" x="134"/>
        <item x="80"/>
        <item x="23"/>
        <item m="1" x="149"/>
        <item m="1" x="255"/>
        <item x="67"/>
        <item x="28"/>
        <item m="1" x="247"/>
        <item m="1" x="333"/>
        <item x="37"/>
        <item x="68"/>
        <item x="38"/>
        <item m="1" x="222"/>
        <item m="1" x="372"/>
        <item m="1" x="132"/>
        <item x="84"/>
        <item m="1" x="328"/>
        <item x="21"/>
        <item x="34"/>
        <item x="36"/>
        <item x="46"/>
        <item x="47"/>
        <item x="56"/>
        <item x="60"/>
        <item x="65"/>
        <item x="74"/>
        <item x="75"/>
        <item x="8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544">
        <item m="1" x="4477"/>
        <item m="1" x="2806"/>
        <item m="1" x="3268"/>
        <item m="1" x="4261"/>
        <item m="1" x="3348"/>
        <item m="1" x="3384"/>
        <item m="1" x="4330"/>
        <item m="1" x="1976"/>
        <item m="1" x="1779"/>
        <item m="1" x="1864"/>
        <item m="1" x="1655"/>
        <item m="1" x="3111"/>
        <item m="1" x="647"/>
        <item m="1" x="3793"/>
        <item m="1" x="3615"/>
        <item m="1" x="2602"/>
        <item m="1" x="3572"/>
        <item m="1" x="628"/>
        <item m="1" x="2397"/>
        <item m="1" x="2318"/>
        <item m="1" x="2030"/>
        <item m="1" x="3300"/>
        <item m="1" x="4359"/>
        <item m="1" x="4363"/>
        <item m="1" x="3438"/>
        <item m="1" x="1724"/>
        <item m="1" x="2603"/>
        <item m="1" x="798"/>
        <item m="1" x="1212"/>
        <item m="1" x="2762"/>
        <item m="1" x="2025"/>
        <item m="1" x="941"/>
        <item m="1" x="2321"/>
        <item m="1" x="3759"/>
        <item m="1" x="1532"/>
        <item m="1" x="2423"/>
        <item m="1" x="4421"/>
        <item m="1" x="3955"/>
        <item m="1" x="2162"/>
        <item m="1" x="3698"/>
        <item m="1" x="3678"/>
        <item m="1" x="4218"/>
        <item m="1" x="1172"/>
        <item m="1" x="1340"/>
        <item m="1" x="2218"/>
        <item m="1" x="4023"/>
        <item m="1" x="630"/>
        <item m="1" x="2306"/>
        <item m="1" x="4402"/>
        <item m="1" x="1545"/>
        <item m="1" x="3624"/>
        <item m="1" x="3312"/>
        <item m="1" x="2325"/>
        <item m="1" x="3960"/>
        <item m="1" x="3885"/>
        <item m="1" x="4365"/>
        <item m="1" x="3263"/>
        <item m="1" x="3918"/>
        <item m="1" x="4397"/>
        <item m="1" x="780"/>
        <item m="1" x="3028"/>
        <item m="1" x="2304"/>
        <item m="1" x="2512"/>
        <item m="1" x="1103"/>
        <item m="1" x="864"/>
        <item m="1" x="2454"/>
        <item m="1" x="2803"/>
        <item m="1" x="4336"/>
        <item m="1" x="1289"/>
        <item m="1" x="2407"/>
        <item m="1" x="1114"/>
        <item m="1" x="620"/>
        <item m="1" x="1908"/>
        <item m="1" x="3827"/>
        <item m="1" x="1994"/>
        <item m="1" x="2216"/>
        <item m="1" x="4378"/>
        <item m="1" x="3666"/>
        <item m="1" x="1355"/>
        <item m="1" x="1080"/>
        <item m="1" x="1405"/>
        <item m="1" x="1826"/>
        <item m="1" x="4396"/>
        <item m="1" x="3893"/>
        <item m="1" x="775"/>
        <item m="1" x="764"/>
        <item m="1" x="2144"/>
        <item m="1" x="4212"/>
        <item m="1" x="1681"/>
        <item m="1" x="2164"/>
        <item m="1" x="2782"/>
        <item m="1" x="3286"/>
        <item m="1" x="2795"/>
        <item m="1" x="2098"/>
        <item m="1" x="1653"/>
        <item m="1" x="4270"/>
        <item m="1" x="2856"/>
        <item m="1" x="3416"/>
        <item m="1" x="1501"/>
        <item m="1" x="2741"/>
        <item m="1" x="3444"/>
        <item m="1" x="3875"/>
        <item m="1" x="1280"/>
        <item m="1" x="2767"/>
        <item m="1" x="1076"/>
        <item m="1" x="3037"/>
        <item m="1" x="1209"/>
        <item m="1" x="963"/>
        <item m="1" x="2568"/>
        <item m="1" x="3521"/>
        <item m="1" x="2052"/>
        <item m="1" x="1341"/>
        <item m="1" x="3341"/>
        <item m="1" x="3368"/>
        <item m="1" x="4325"/>
        <item m="1" x="4339"/>
        <item m="1" x="1256"/>
        <item m="1" x="4138"/>
        <item m="1" x="2403"/>
        <item m="1" x="3823"/>
        <item m="1" x="2128"/>
        <item m="1" x="2958"/>
        <item m="1" x="3709"/>
        <item m="1" x="3552"/>
        <item m="1" x="3760"/>
        <item m="1" x="2229"/>
        <item m="1" x="4409"/>
        <item m="1" x="3539"/>
        <item m="1" x="1684"/>
        <item m="1" x="3054"/>
        <item m="1" x="2861"/>
        <item m="1" x="615"/>
        <item m="1" x="3840"/>
        <item m="1" x="2674"/>
        <item m="1" x="1992"/>
        <item m="1" x="3212"/>
        <item m="1" x="1909"/>
        <item m="1" x="837"/>
        <item m="1" x="4262"/>
        <item m="1" x="1035"/>
        <item m="1" x="2265"/>
        <item m="1" x="3967"/>
        <item m="1" x="3412"/>
        <item m="1" x="1295"/>
        <item m="1" x="1634"/>
        <item m="1" x="1733"/>
        <item m="1" x="2864"/>
        <item m="1" x="1323"/>
        <item m="1" x="1781"/>
        <item m="1" x="4290"/>
        <item m="1" x="4434"/>
        <item m="1" x="4398"/>
        <item m="1" x="1383"/>
        <item m="1" x="2769"/>
        <item m="1" x="893"/>
        <item m="1" x="3667"/>
        <item m="1" x="4245"/>
        <item m="1" x="1922"/>
        <item m="1" x="1953"/>
        <item m="1" x="3822"/>
        <item m="1" x="3834"/>
        <item m="1" x="1469"/>
        <item m="1" x="1612"/>
        <item m="1" x="1273"/>
        <item m="1" x="711"/>
        <item m="1" x="1960"/>
        <item m="1" x="705"/>
        <item m="1" x="1761"/>
        <item m="1" x="3817"/>
        <item m="1" x="1429"/>
        <item m="1" x="730"/>
        <item m="1" x="3766"/>
        <item m="1" x="1719"/>
        <item m="1" x="1492"/>
        <item m="1" x="2648"/>
        <item m="1" x="3383"/>
        <item m="1" x="4168"/>
        <item m="1" x="3301"/>
        <item m="1" x="1160"/>
        <item m="1" x="3032"/>
        <item m="1" x="1115"/>
        <item m="1" x="2322"/>
        <item m="1" x="3408"/>
        <item m="1" x="1598"/>
        <item m="1" x="3602"/>
        <item m="1" x="2618"/>
        <item m="1" x="3934"/>
        <item m="1" x="3480"/>
        <item m="1" x="3503"/>
        <item m="1" x="3641"/>
        <item m="1" x="923"/>
        <item m="1" x="2660"/>
        <item m="1" x="1660"/>
        <item m="1" x="3595"/>
        <item m="1" x="1047"/>
        <item m="1" x="826"/>
        <item m="1" x="3844"/>
        <item m="1" x="3677"/>
        <item m="1" x="3023"/>
        <item m="1" x="1296"/>
        <item m="1" x="2831"/>
        <item m="1" x="3174"/>
        <item m="1" x="2829"/>
        <item m="1" x="3274"/>
        <item m="1" x="3881"/>
        <item m="1" x="1371"/>
        <item m="1" x="1231"/>
        <item m="1" x="852"/>
        <item m="1" x="1091"/>
        <item m="1" x="878"/>
        <item m="1" x="1473"/>
        <item m="1" x="2635"/>
        <item m="1" x="3945"/>
        <item m="1" x="3600"/>
        <item m="1" x="3952"/>
        <item m="1" x="1995"/>
        <item m="1" x="3245"/>
        <item m="1" x="4136"/>
        <item m="1" x="3755"/>
        <item m="1" x="4090"/>
        <item m="1" x="2562"/>
        <item m="1" x="3746"/>
        <item m="1" x="612"/>
        <item m="1" x="3894"/>
        <item m="1" x="823"/>
        <item m="1" x="3739"/>
        <item m="1" x="1642"/>
        <item m="1" x="1778"/>
        <item m="1" x="1924"/>
        <item m="1" x="1352"/>
        <item m="1" x="707"/>
        <item m="1" x="4180"/>
        <item m="1" x="2840"/>
        <item m="1" x="917"/>
        <item m="1" x="874"/>
        <item m="1" x="1593"/>
        <item m="1" x="1046"/>
        <item m="1" x="2976"/>
        <item m="1" x="2426"/>
        <item m="1" x="3062"/>
        <item m="1" x="1982"/>
        <item m="1" x="1470"/>
        <item m="1" x="2472"/>
        <item m="1" x="3051"/>
        <item m="1" x="680"/>
        <item m="1" x="733"/>
        <item m="1" x="2538"/>
        <item m="1" x="2799"/>
        <item m="1" x="2785"/>
        <item m="1" x="741"/>
        <item m="1" x="2506"/>
        <item m="1" x="691"/>
        <item m="1" x="3361"/>
        <item m="1" x="3458"/>
        <item m="1" x="1389"/>
        <item m="1" x="2653"/>
        <item m="1" x="3158"/>
        <item m="1" x="1743"/>
        <item m="1" x="4369"/>
        <item m="1" x="2557"/>
        <item m="1" x="2963"/>
        <item m="1" x="1747"/>
        <item m="1" x="1462"/>
        <item m="1" x="3713"/>
        <item m="1" x="1388"/>
        <item m="1" x="1014"/>
        <item m="1" x="821"/>
        <item m="1" x="2387"/>
        <item m="1" x="4496"/>
        <item m="1" x="594"/>
        <item m="1" x="2956"/>
        <item m="1" x="4292"/>
        <item m="1" x="3462"/>
        <item m="1" x="1529"/>
        <item m="1" x="3466"/>
        <item m="1" x="839"/>
        <item m="1" x="2477"/>
        <item m="1" x="2516"/>
        <item m="1" x="1314"/>
        <item m="1" x="4315"/>
        <item m="1" x="4540"/>
        <item m="1" x="2770"/>
        <item m="1" x="3800"/>
        <item m="1" x="2702"/>
        <item m="1" x="3460"/>
        <item m="1" x="1682"/>
        <item m="1" x="3585"/>
        <item m="1" x="2580"/>
        <item m="1" x="2169"/>
        <item m="1" x="1711"/>
        <item m="1" x="2838"/>
        <item m="1" x="2853"/>
        <item m="1" x="4486"/>
        <item m="1" x="2405"/>
        <item m="1" x="2369"/>
        <item m="1" x="1854"/>
        <item m="1" x="1589"/>
        <item m="1" x="2897"/>
        <item m="1" x="1675"/>
        <item m="1" x="3593"/>
        <item m="1" x="1413"/>
        <item m="1" x="956"/>
        <item m="1" x="4425"/>
        <item m="1" x="3459"/>
        <item m="1" x="1956"/>
        <item m="1" x="3483"/>
        <item m="1" x="3497"/>
        <item m="1" x="2627"/>
        <item m="1" x="2832"/>
        <item m="1" x="2499"/>
        <item m="1" x="3447"/>
        <item m="1" x="3404"/>
        <item m="1" x="2752"/>
        <item m="1" x="1170"/>
        <item m="1" x="645"/>
        <item m="1" x="799"/>
        <item m="1" x="1884"/>
        <item m="1" x="2014"/>
        <item m="1" x="3221"/>
        <item m="1" x="4413"/>
        <item m="1" x="1349"/>
        <item m="1" x="803"/>
        <item m="1" x="3702"/>
        <item m="1" x="4288"/>
        <item m="1" x="1299"/>
        <item m="1" x="911"/>
        <item m="1" x="1351"/>
        <item m="1" x="2640"/>
        <item m="1" x="4491"/>
        <item m="1" x="3091"/>
        <item m="1" x="3554"/>
        <item m="1" x="4102"/>
        <item m="1" x="1880"/>
        <item m="1" x="3890"/>
        <item m="1" x="3176"/>
        <item m="1" x="756"/>
        <item m="1" x="2631"/>
        <item m="1" x="2885"/>
        <item m="1" x="3431"/>
        <item m="1" x="2582"/>
        <item m="1" x="3705"/>
        <item m="1" x="2836"/>
        <item m="1" x="2034"/>
        <item m="1" x="4529"/>
        <item m="1" x="1208"/>
        <item m="1" x="1610"/>
        <item m="1" x="1656"/>
        <item m="1" x="643"/>
        <item m="1" x="3989"/>
        <item m="1" x="2883"/>
        <item m="1" x="2408"/>
        <item m="1" x="1687"/>
        <item m="1" x="894"/>
        <item m="1" x="2761"/>
        <item m="1" x="3333"/>
        <item m="1" x="1430"/>
        <item m="1" x="916"/>
        <item m="1" x="3504"/>
        <item m="1" x="1913"/>
        <item m="1" x="1881"/>
        <item m="1" x="1065"/>
        <item m="1" x="3721"/>
        <item m="1" x="2906"/>
        <item m="1" x="2909"/>
        <item m="1" x="1369"/>
        <item m="1" x="693"/>
        <item m="1" x="2223"/>
        <item m="1" x="1967"/>
        <item m="1" x="3825"/>
        <item m="1" x="3672"/>
        <item m="1" x="3668"/>
        <item m="1" x="3183"/>
        <item m="1" x="4220"/>
        <item m="1" x="3958"/>
        <item m="1" x="2370"/>
        <item m="1" x="2693"/>
        <item m="1" x="1888"/>
        <item m="1" x="2060"/>
        <item m="1" x="1650"/>
        <item m="1" x="2936"/>
        <item m="1" x="1219"/>
        <item m="1" x="847"/>
        <item m="1" x="3836"/>
        <item m="1" x="633"/>
        <item m="1" x="1177"/>
        <item m="1" x="4466"/>
        <item m="1" x="2749"/>
        <item m="1" x="4450"/>
        <item m="1" x="2061"/>
        <item m="1" x="3039"/>
        <item m="1" x="573"/>
        <item m="1" x="2720"/>
        <item m="1" x="899"/>
        <item m="1" x="1217"/>
        <item m="1" x="870"/>
        <item m="1" x="2560"/>
        <item m="1" x="3802"/>
        <item m="1" x="3283"/>
        <item m="1" x="4128"/>
        <item m="1" x="3506"/>
        <item m="1" x="4331"/>
        <item m="1" x="2268"/>
        <item m="1" x="2178"/>
        <item m="1" x="1056"/>
        <item m="1" x="3744"/>
        <item m="1" x="978"/>
        <item m="1" x="811"/>
        <item m="1" x="4306"/>
        <item m="1" x="2302"/>
        <item m="1" x="786"/>
        <item m="1" x="1362"/>
        <item m="1" x="3622"/>
        <item m="1" x="1903"/>
        <item m="1" x="651"/>
        <item m="1" x="879"/>
        <item m="1" x="3517"/>
        <item m="1" x="1321"/>
        <item m="1" x="1186"/>
        <item m="1" x="4493"/>
        <item m="1" x="3356"/>
        <item m="1" x="1326"/>
        <item m="1" x="2966"/>
        <item m="1" x="3723"/>
        <item m="1" x="771"/>
        <item m="1" x="1731"/>
        <item m="1" x="3856"/>
        <item m="1" x="3243"/>
        <item m="1" x="1465"/>
        <item m="1" x="4463"/>
        <item m="1" x="1027"/>
        <item m="1" x="817"/>
        <item m="1" x="1252"/>
        <item m="1" x="4203"/>
        <item m="1" x="2263"/>
        <item m="1" x="3387"/>
        <item m="1" x="903"/>
        <item m="1" x="3687"/>
        <item m="1" x="2747"/>
        <item m="1" x="4207"/>
        <item m="1" x="4518"/>
        <item m="1" x="1069"/>
        <item m="1" x="4143"/>
        <item m="1" x="1270"/>
        <item m="1" x="1618"/>
        <item m="1" x="1331"/>
        <item m="1" x="1338"/>
        <item m="1" x="3540"/>
        <item m="1" x="2870"/>
        <item m="1" x="1084"/>
        <item m="1" x="4505"/>
        <item m="1" x="3330"/>
        <item m="1" x="4334"/>
        <item m="1" x="3549"/>
        <item m="1" x="613"/>
        <item m="1" x="2851"/>
        <item m="1" x="4071"/>
        <item m="1" x="2354"/>
        <item m="1" x="2377"/>
        <item m="1" x="4461"/>
        <item m="1" x="1018"/>
        <item m="1" x="2546"/>
        <item m="1" x="2432"/>
        <item m="1" x="1146"/>
        <item m="1" x="3106"/>
        <item m="1" x="2695"/>
        <item m="1" x="2739"/>
        <item m="1" x="1108"/>
        <item m="1" x="3725"/>
        <item m="1" x="4537"/>
        <item m="1" x="3728"/>
        <item m="1" x="1920"/>
        <item m="1" x="1448"/>
        <item m="1" x="1303"/>
        <item m="1" x="979"/>
        <item m="1" x="1249"/>
        <item m="1" x="887"/>
        <item m="1" x="3026"/>
        <item m="1" x="3015"/>
        <item m="1" x="1679"/>
        <item m="1" x="1842"/>
        <item m="1" x="1246"/>
        <item m="1" x="2895"/>
        <item m="1" x="2156"/>
        <item m="1" x="4472"/>
        <item m="1" x="3915"/>
        <item m="1" x="1576"/>
        <item m="1" x="3142"/>
        <item m="1" x="4516"/>
        <item m="1" x="2531"/>
        <item m="1" x="1517"/>
        <item m="1" x="4116"/>
        <item m="1" x="1627"/>
        <item m="1" x="1342"/>
        <item m="1" x="2245"/>
        <item m="1" x="2977"/>
        <item m="1" x="2418"/>
        <item m="1" x="728"/>
        <item m="1" x="2514"/>
        <item m="1" x="3372"/>
        <item m="1" x="3196"/>
        <item m="1" x="687"/>
        <item m="1" x="3976"/>
        <item m="1" x="616"/>
        <item m="1" x="3564"/>
        <item m="1" x="994"/>
        <item m="1" x="3313"/>
        <item m="1" x="3928"/>
        <item m="1" x="3541"/>
        <item m="1" x="3089"/>
        <item m="1" x="932"/>
        <item m="1" x="2817"/>
        <item m="1" x="819"/>
        <item m="1" x="970"/>
        <item m="1" x="2134"/>
        <item m="1" x="3130"/>
        <item m="1" x="2780"/>
        <item m="1" x="1181"/>
        <item m="1" x="2428"/>
        <item m="1" x="2826"/>
        <item m="1" x="1206"/>
        <item m="1" x="3591"/>
        <item m="1" x="2878"/>
        <item m="1" x="2933"/>
        <item m="1" x="1570"/>
        <item m="1" x="2188"/>
        <item m="1" x="783"/>
        <item m="1" x="2657"/>
        <item m="1" x="1717"/>
        <item m="1" x="734"/>
        <item m="1" x="3346"/>
        <item m="1" x="3978"/>
        <item m="1" x="1420"/>
        <item m="1" x="2717"/>
        <item m="1" x="719"/>
        <item m="1" x="3486"/>
        <item m="1" x="2811"/>
        <item m="1" x="2297"/>
        <item m="1" x="3124"/>
        <item m="1" x="4341"/>
        <item m="1" x="634"/>
        <item m="1" x="2536"/>
        <item m="1" x="3696"/>
        <item m="1" x="4204"/>
        <item m="1" x="862"/>
        <item m="1" x="984"/>
        <item m="1" x="2086"/>
        <item m="1" x="1840"/>
        <item m="1" x="1467"/>
        <item m="1" x="3414"/>
        <item m="1" x="1319"/>
        <item m="1" x="3308"/>
        <item m="1" x="2006"/>
        <item m="1" x="3560"/>
        <item m="1" x="2357"/>
        <item m="1" x="2393"/>
        <item m="1" x="1802"/>
        <item m="1" x="3338"/>
        <item m="1" x="684"/>
        <item m="1" x="2961"/>
        <item m="1" x="2160"/>
        <item m="1" x="3679"/>
        <item m="1" x="850"/>
        <item m="1" x="2968"/>
        <item m="1" x="4188"/>
        <item m="1" x="1078"/>
        <item m="1" x="576"/>
        <item m="1" x="952"/>
        <item m="1" x="1141"/>
        <item m="1" x="954"/>
        <item m="1" x="3218"/>
        <item m="1" x="4153"/>
        <item m="1" x="3324"/>
        <item m="1" x="1553"/>
        <item m="1" x="2226"/>
        <item m="1" x="3429"/>
        <item m="1" x="2381"/>
        <item m="1" x="4241"/>
        <item m="1" x="4437"/>
        <item m="1" x="4427"/>
        <item m="1" x="4236"/>
        <item m="1" x="2541"/>
        <item m="1" x="2450"/>
        <item m="1" x="4286"/>
        <item m="1" x="2462"/>
        <item m="1" x="2212"/>
        <item m="1" x="4148"/>
        <item m="1" x="3104"/>
        <item m="1" x="2464"/>
        <item m="1" x="2328"/>
        <item m="1" x="3653"/>
        <item m="1" x="4459"/>
        <item m="1" x="2735"/>
        <item m="1" x="1282"/>
        <item m="1" x="4406"/>
        <item m="1" x="2990"/>
        <item m="1" x="3544"/>
        <item m="1" x="4042"/>
        <item m="1" x="3764"/>
        <item m="1" x="1112"/>
        <item m="1" x="3484"/>
        <item m="1" x="598"/>
        <item m="1" x="1916"/>
        <item m="1" x="4176"/>
        <item m="1" x="1571"/>
        <item m="1" x="3790"/>
        <item m="1" x="3751"/>
        <item m="1" x="2518"/>
        <item m="1" x="2727"/>
        <item m="1" x="1795"/>
        <item m="1" x="2865"/>
        <item m="1" x="2793"/>
        <item m="1" x="2764"/>
        <item m="1" x="2841"/>
        <item m="1" x="2550"/>
        <item m="1" x="858"/>
        <item m="1" x="1221"/>
        <item m="1" x="1233"/>
        <item m="1" x="2300"/>
        <item m="1" x="2367"/>
        <item m="1" x="3646"/>
        <item m="1" x="1203"/>
        <item m="1" x="1870"/>
        <item m="1" x="3452"/>
        <item m="1" x="2700"/>
        <item m="1" x="1556"/>
        <item m="1" x="2312"/>
        <item m="1" x="1215"/>
        <item m="1" x="3938"/>
        <item m="1" x="3115"/>
        <item m="1" x="1179"/>
        <item m="1" x="1768"/>
        <item m="1" x="3326"/>
        <item m="1" x="4183"/>
        <item m="1" x="1663"/>
        <item m="1" x="2395"/>
        <item m="1" x="4060"/>
        <item m="1" x="2102"/>
        <item m="1" x="1328"/>
        <item m="1" x="1561"/>
        <item m="1" x="1709"/>
        <item m="1" x="3512"/>
        <item m="1" x="2111"/>
        <item m="1" x="2491"/>
        <item m="1" x="3891"/>
        <item m="1" x="3612"/>
        <item m="1" x="653"/>
        <item m="1" x="2645"/>
        <item m="1" x="1344"/>
        <item m="1" x="2848"/>
        <item m="1" x="3134"/>
        <item m="1" x="1138"/>
        <item m="1" x="4224"/>
        <item m="1" x="1110"/>
        <item m="1" x="1393"/>
        <item m="1" x="2729"/>
        <item m="1" x="1276"/>
        <item m="1" x="3336"/>
        <item m="1" x="3145"/>
        <item m="1" x="2924"/>
        <item m="1" x="4010"/>
        <item m="1" x="3294"/>
        <item m="1" x="2598"/>
        <item m="1" x="3589"/>
        <item m="1" x="4193"/>
        <item m="1" x="2042"/>
        <item m="1" x="1797"/>
        <item m="1" x="3469"/>
        <item m="1" x="3767"/>
        <item m="1" x="2473"/>
        <item m="1" x="3808"/>
        <item m="1" x="2969"/>
        <item m="1" x="3658"/>
        <item m="1" x="1985"/>
        <item m="1" x="3261"/>
        <item m="1" x="2703"/>
        <item m="1" x="965"/>
        <item m="1" x="2359"/>
        <item m="1" x="3040"/>
        <item m="1" x="3291"/>
        <item m="1" x="4111"/>
        <item m="1" x="681"/>
        <item m="1" x="1425"/>
        <item m="1" x="1008"/>
        <item m="1" x="3057"/>
        <item m="1" x="3476"/>
        <item m="1" x="806"/>
        <item m="1" x="876"/>
        <item m="1" x="3870"/>
        <item m="1" x="1060"/>
        <item m="1" x="2249"/>
        <item m="1" x="1725"/>
        <item m="1" x="3896"/>
        <item m="1" x="1583"/>
        <item m="1" x="4067"/>
        <item m="1" x="1031"/>
        <item m="1" x="3747"/>
        <item m="1" x="4170"/>
        <item m="1" x="2846"/>
        <item m="1" x="2205"/>
        <item m="1" x="1305"/>
        <item m="1" x="1574"/>
        <item m="1" x="3689"/>
        <item m="1" x="2687"/>
        <item m="1" x="2979"/>
        <item m="1" x="1980"/>
        <item m="1" x="1898"/>
        <item m="1" x="562"/>
        <item m="1" x="2142"/>
        <item m="1" x="4221"/>
        <item m="1" x="3494"/>
        <item m="1" x="3674"/>
        <item m="1" x="3186"/>
        <item m="1" x="1253"/>
        <item m="1" x="3644"/>
        <item m="1" x="1182"/>
        <item m="1" x="2710"/>
        <item m="1" x="3013"/>
        <item m="1" x="1421"/>
        <item m="1" x="3533"/>
        <item m="1" x="3309"/>
        <item m="1" x="3375"/>
        <item m="1" x="1032"/>
        <item m="1" x="4063"/>
        <item m="1" x="2919"/>
        <item m="1" x="2907"/>
        <item m="1" x="2910"/>
        <item m="1" x="1370"/>
        <item m="1" x="694"/>
        <item m="1" x="2224"/>
        <item m="1" x="1968"/>
        <item m="1" x="3826"/>
        <item m="1" x="3673"/>
        <item m="1" x="3669"/>
        <item m="1" x="3184"/>
        <item m="1" x="4222"/>
        <item m="1" x="3959"/>
        <item m="1" x="2371"/>
        <item m="1" x="2694"/>
        <item m="1" x="1889"/>
        <item m="1" x="2062"/>
        <item m="1" x="1651"/>
        <item m="1" x="2937"/>
        <item m="1" x="1220"/>
        <item m="1" x="848"/>
        <item m="1" x="3837"/>
        <item m="1" x="635"/>
        <item m="1" x="1178"/>
        <item m="1" x="4467"/>
        <item m="1" x="2750"/>
        <item m="1" x="4451"/>
        <item m="1" x="2063"/>
        <item m="1" x="3041"/>
        <item m="1" x="574"/>
        <item m="1" x="2721"/>
        <item m="1" x="900"/>
        <item m="1" x="1218"/>
        <item m="1" x="871"/>
        <item m="1" x="2561"/>
        <item m="1" x="3803"/>
        <item m="1" x="3284"/>
        <item m="1" x="4129"/>
        <item m="1" x="3507"/>
        <item m="1" x="4332"/>
        <item m="1" x="2269"/>
        <item m="1" x="2179"/>
        <item m="1" x="1057"/>
        <item m="1" x="3745"/>
        <item m="1" x="980"/>
        <item m="1" x="812"/>
        <item m="1" x="4307"/>
        <item m="1" x="2303"/>
        <item m="1" x="787"/>
        <item m="1" x="1363"/>
        <item m="1" x="3623"/>
        <item m="1" x="1904"/>
        <item m="1" x="652"/>
        <item m="1" x="880"/>
        <item m="1" x="3518"/>
        <item m="1" x="1322"/>
        <item m="1" x="1187"/>
        <item m="1" x="4494"/>
        <item m="1" x="3357"/>
        <item m="1" x="1327"/>
        <item m="1" x="2967"/>
        <item m="1" x="3724"/>
        <item m="1" x="772"/>
        <item m="1" x="1732"/>
        <item m="1" x="3857"/>
        <item m="1" x="3244"/>
        <item m="1" x="1466"/>
        <item m="1" x="4464"/>
        <item m="1" x="1028"/>
        <item m="1" x="818"/>
        <item m="1" x="1254"/>
        <item m="1" x="4205"/>
        <item m="1" x="2264"/>
        <item m="1" x="3388"/>
        <item m="1" x="904"/>
        <item m="1" x="3688"/>
        <item m="1" x="2748"/>
        <item m="1" x="4208"/>
        <item m="1" x="4519"/>
        <item m="1" x="1070"/>
        <item m="1" x="4144"/>
        <item m="1" x="1271"/>
        <item m="1" x="1619"/>
        <item m="1" x="1332"/>
        <item m="1" x="1339"/>
        <item m="1" x="3542"/>
        <item m="1" x="2871"/>
        <item m="1" x="1085"/>
        <item m="1" x="4506"/>
        <item m="1" x="3331"/>
        <item m="1" x="4335"/>
        <item m="1" x="3550"/>
        <item m="1" x="614"/>
        <item m="1" x="2852"/>
        <item m="1" x="4072"/>
        <item m="1" x="2355"/>
        <item m="1" x="2378"/>
        <item m="1" x="4462"/>
        <item m="1" x="1019"/>
        <item m="1" x="2547"/>
        <item m="1" x="2433"/>
        <item m="1" x="1147"/>
        <item m="1" x="3107"/>
        <item m="1" x="2696"/>
        <item m="1" x="2740"/>
        <item m="1" x="1109"/>
        <item m="1" x="3726"/>
        <item m="1" x="4538"/>
        <item m="1" x="3729"/>
        <item m="1" x="1921"/>
        <item m="1" x="1449"/>
        <item m="1" x="1304"/>
        <item m="1" x="981"/>
        <item m="1" x="1250"/>
        <item m="1" x="888"/>
        <item m="1" x="3027"/>
        <item m="1" x="3016"/>
        <item m="1" x="1680"/>
        <item m="1" x="1843"/>
        <item m="1" x="1247"/>
        <item m="1" x="2896"/>
        <item m="1" x="2157"/>
        <item m="1" x="4473"/>
        <item m="1" x="3916"/>
        <item m="1" x="1577"/>
        <item m="1" x="3143"/>
        <item m="1" x="4517"/>
        <item m="1" x="2532"/>
        <item m="1" x="1518"/>
        <item m="1" x="4117"/>
        <item m="1" x="1628"/>
        <item m="1" x="1343"/>
        <item m="1" x="2246"/>
        <item m="1" x="2978"/>
        <item m="1" x="2419"/>
        <item m="1" x="729"/>
        <item m="1" x="2515"/>
        <item m="1" x="3373"/>
        <item m="1" x="3197"/>
        <item m="1" x="688"/>
        <item m="1" x="3977"/>
        <item m="1" x="617"/>
        <item m="1" x="3565"/>
        <item m="1" x="995"/>
        <item m="1" x="3314"/>
        <item m="1" x="3929"/>
        <item m="1" x="3543"/>
        <item m="1" x="3090"/>
        <item m="1" x="933"/>
        <item m="1" x="2818"/>
        <item m="1" x="820"/>
        <item m="1" x="971"/>
        <item m="1" x="2135"/>
        <item m="1" x="3131"/>
        <item m="1" x="2781"/>
        <item m="1" x="1183"/>
        <item m="1" x="2429"/>
        <item m="1" x="2827"/>
        <item m="1" x="1207"/>
        <item m="1" x="3592"/>
        <item m="1" x="2879"/>
        <item m="1" x="2934"/>
        <item m="1" x="1572"/>
        <item m="1" x="2189"/>
        <item m="1" x="784"/>
        <item m="1" x="2658"/>
        <item m="1" x="1718"/>
        <item m="1" x="735"/>
        <item m="1" x="3347"/>
        <item m="1" x="3979"/>
        <item m="1" x="1422"/>
        <item m="1" x="2718"/>
        <item m="1" x="720"/>
        <item m="1" x="3487"/>
        <item m="1" x="2812"/>
        <item m="1" x="2298"/>
        <item m="1" x="3125"/>
        <item m="1" x="4342"/>
        <item m="1" x="636"/>
        <item m="1" x="2537"/>
        <item m="1" x="3697"/>
        <item m="1" x="4206"/>
        <item m="1" x="863"/>
        <item m="1" x="985"/>
        <item m="1" x="2087"/>
        <item m="1" x="1841"/>
        <item m="1" x="1468"/>
        <item m="1" x="3415"/>
        <item m="1" x="1320"/>
        <item m="1" x="3310"/>
        <item m="1" x="2007"/>
        <item m="1" x="3561"/>
        <item m="1" x="2358"/>
        <item m="1" x="2394"/>
        <item m="1" x="1803"/>
        <item m="1" x="3339"/>
        <item m="1" x="685"/>
        <item m="1" x="2962"/>
        <item m="1" x="2161"/>
        <item m="1" x="3680"/>
        <item m="1" x="851"/>
        <item m="1" x="2970"/>
        <item m="1" x="4189"/>
        <item m="1" x="1079"/>
        <item m="1" x="577"/>
        <item m="1" x="953"/>
        <item m="1" x="1142"/>
        <item m="1" x="955"/>
        <item m="1" x="3219"/>
        <item m="1" x="4154"/>
        <item m="1" x="3325"/>
        <item m="1" x="1554"/>
        <item m="1" x="2227"/>
        <item m="1" x="3430"/>
        <item m="1" x="2382"/>
        <item m="1" x="4242"/>
        <item m="1" x="4438"/>
        <item m="1" x="4428"/>
        <item m="1" x="4237"/>
        <item m="1" x="2542"/>
        <item m="1" x="2451"/>
        <item m="1" x="4287"/>
        <item m="1" x="2463"/>
        <item m="1" x="2213"/>
        <item m="1" x="4149"/>
        <item m="1" x="3105"/>
        <item m="1" x="2465"/>
        <item m="1" x="2329"/>
        <item m="1" x="3654"/>
        <item m="1" x="4460"/>
        <item m="1" x="2736"/>
        <item m="1" x="1283"/>
        <item m="1" x="4407"/>
        <item m="1" x="2991"/>
        <item m="1" x="3545"/>
        <item m="1" x="4043"/>
        <item m="1" x="3765"/>
        <item m="1" x="1113"/>
        <item m="1" x="3485"/>
        <item m="1" x="599"/>
        <item m="1" x="1917"/>
        <item m="1" x="4177"/>
        <item m="1" x="1573"/>
        <item m="1" x="3791"/>
        <item m="1" x="3752"/>
        <item m="1" x="2519"/>
        <item m="1" x="2728"/>
        <item m="1" x="1796"/>
        <item m="1" x="2866"/>
        <item m="1" x="2794"/>
        <item m="1" x="2765"/>
        <item m="1" x="2842"/>
        <item m="1" x="2551"/>
        <item m="1" x="859"/>
        <item m="1" x="1222"/>
        <item m="1" x="1234"/>
        <item m="1" x="2301"/>
        <item m="1" x="2368"/>
        <item m="1" x="3647"/>
        <item m="1" x="1204"/>
        <item m="1" x="1871"/>
        <item m="1" x="3453"/>
        <item m="1" x="2701"/>
        <item m="1" x="1557"/>
        <item m="1" x="2313"/>
        <item m="1" x="1216"/>
        <item m="1" x="3939"/>
        <item m="1" x="3116"/>
        <item m="1" x="1180"/>
        <item m="1" x="1769"/>
        <item m="1" x="3327"/>
        <item m="1" x="4184"/>
        <item m="1" x="1664"/>
        <item m="1" x="2396"/>
        <item m="1" x="4061"/>
        <item m="1" x="2103"/>
        <item m="1" x="1329"/>
        <item m="1" x="1562"/>
        <item m="1" x="1710"/>
        <item m="1" x="3513"/>
        <item m="1" x="2112"/>
        <item m="1" x="2492"/>
        <item m="1" x="3892"/>
        <item m="1" x="3613"/>
        <item m="1" x="654"/>
        <item m="1" x="2646"/>
        <item m="1" x="1345"/>
        <item m="1" x="2849"/>
        <item m="1" x="3135"/>
        <item m="1" x="1139"/>
        <item m="1" x="4225"/>
        <item m="1" x="1111"/>
        <item m="1" x="1394"/>
        <item m="1" x="2730"/>
        <item m="1" x="1277"/>
        <item m="1" x="3337"/>
        <item m="1" x="3146"/>
        <item m="1" x="2925"/>
        <item m="1" x="4011"/>
        <item m="1" x="3295"/>
        <item m="1" x="2599"/>
        <item m="1" x="3590"/>
        <item m="1" x="4194"/>
        <item m="1" x="2043"/>
        <item m="1" x="1798"/>
        <item m="1" x="3470"/>
        <item m="1" x="3768"/>
        <item m="1" x="2474"/>
        <item m="1" x="3809"/>
        <item m="1" x="2971"/>
        <item m="1" x="3659"/>
        <item m="1" x="1986"/>
        <item m="1" x="3262"/>
        <item m="1" x="2704"/>
        <item m="1" x="966"/>
        <item m="1" x="2360"/>
        <item m="1" x="3042"/>
        <item m="1" x="3292"/>
        <item m="1" x="4112"/>
        <item m="1" x="682"/>
        <item m="1" x="1426"/>
        <item m="1" x="1009"/>
        <item m="1" x="3058"/>
        <item m="1" x="3477"/>
        <item m="1" x="807"/>
        <item m="1" x="877"/>
        <item m="1" x="3871"/>
        <item m="1" x="1061"/>
        <item m="1" x="2250"/>
        <item m="1" x="1726"/>
        <item m="1" x="3897"/>
        <item m="1" x="1584"/>
        <item m="1" x="4068"/>
        <item m="1" x="1033"/>
        <item m="1" x="3748"/>
        <item m="1" x="4171"/>
        <item m="1" x="2847"/>
        <item m="1" x="2206"/>
        <item m="1" x="1306"/>
        <item m="1" x="1575"/>
        <item m="1" x="3690"/>
        <item m="1" x="2688"/>
        <item m="1" x="2980"/>
        <item m="1" x="1981"/>
        <item m="1" x="1899"/>
        <item m="1" x="563"/>
        <item m="1" x="2143"/>
        <item m="1" x="4223"/>
        <item m="1" x="3495"/>
        <item m="1" x="3675"/>
        <item m="1" x="3187"/>
        <item m="1" x="1255"/>
        <item m="1" x="3645"/>
        <item m="1" x="1184"/>
        <item m="1" x="2711"/>
        <item m="1" x="3014"/>
        <item m="1" x="1423"/>
        <item m="1" x="3534"/>
        <item m="1" x="3311"/>
        <item m="1" x="3376"/>
        <item m="1" x="1034"/>
        <item m="1" x="4064"/>
        <item m="1" x="2920"/>
        <item m="1" x="1397"/>
        <item m="1" x="1535"/>
        <item m="1" x="1403"/>
        <item m="1" x="2773"/>
        <item m="1" x="1437"/>
        <item m="1" x="3266"/>
        <item m="1" x="745"/>
        <item m="1" x="1901"/>
        <item m="1" x="4006"/>
        <item m="1" x="4346"/>
        <item m="1" x="3021"/>
        <item m="1" x="2113"/>
        <item m="1" x="813"/>
        <item m="1" x="665"/>
        <item m="1" x="3474"/>
        <item m="1" x="1540"/>
        <item m="1" x="1511"/>
        <item m="1" x="3742"/>
        <item m="1" x="1514"/>
        <item m="1" x="1200"/>
        <item m="1" x="939"/>
        <item m="1" x="629"/>
        <item m="1" x="1522"/>
        <item m="1" x="3055"/>
        <item m="1" x="3969"/>
        <item m="1" x="2685"/>
        <item m="1" x="2096"/>
        <item m="1" x="2130"/>
        <item m="1" x="3254"/>
        <item m="1" x="1819"/>
        <item m="1" x="727"/>
        <item m="1" x="1611"/>
        <item m="1" x="1436"/>
        <item m="1" x="1772"/>
        <item m="1" x="2545"/>
        <item m="1" x="631"/>
        <item m="1" x="2140"/>
        <item m="1" x="1746"/>
        <item m="1" x="2731"/>
        <item m="1" x="1701"/>
        <item m="1" x="3096"/>
        <item m="1" x="3528"/>
        <item m="1" x="3838"/>
        <item m="1" x="918"/>
        <item m="1" x="770"/>
        <item m="1" x="2320"/>
        <item m="1" x="1930"/>
        <item m="1" x="670"/>
        <item m="1" x="827"/>
        <item m="1" x="2406"/>
        <item m="1" x="3706"/>
        <item m="1" x="822"/>
        <item m="1" x="1132"/>
        <item m="1" x="928"/>
        <item m="1" x="2959"/>
        <item m="1" x="1333"/>
        <item m="1" x="1776"/>
        <item m="1" x="2787"/>
        <item m="1" x="609"/>
        <item m="1" x="3580"/>
        <item m="1" x="2305"/>
        <item m="1" x="2046"/>
        <item m="1" x="2993"/>
        <item m="1" x="2715"/>
        <item m="1" x="4178"/>
        <item m="1" x="3386"/>
        <item m="1" x="785"/>
        <item m="1" x="3887"/>
        <item m="1" x="4140"/>
        <item m="1" x="3819"/>
        <item m="1" x="2855"/>
        <item m="1" x="3994"/>
        <item m="1" x="3191"/>
        <item m="1" x="1155"/>
        <item m="1" x="1749"/>
        <item m="1" x="2565"/>
        <item m="1" x="2175"/>
        <item m="1" x="1043"/>
        <item m="1" x="2447"/>
        <item m="1" x="4327"/>
        <item m="1" x="3144"/>
        <item m="1" x="3024"/>
        <item m="1" x="2540"/>
        <item m="1" x="931"/>
        <item m="1" x="3237"/>
        <item m="1" x="740"/>
        <item m="1" x="4239"/>
        <item m="1" x="3363"/>
        <item m="1" x="4314"/>
        <item m="1" x="1828"/>
        <item m="1" x="607"/>
        <item m="1" x="1228"/>
        <item m="1" x="3650"/>
        <item m="1" x="1185"/>
        <item m="1" x="2946"/>
        <item m="1" x="3303"/>
        <item m="1" x="1873"/>
        <item m="1" x="3360"/>
        <item m="1" x="1993"/>
        <item m="1" x="2513"/>
        <item m="1" x="2002"/>
        <item m="1" x="1782"/>
        <item m="1" x="2236"/>
        <item m="1" x="3211"/>
        <item m="1" x="1130"/>
        <item m="1" x="3199"/>
        <item m="1" x="2888"/>
        <item m="1" x="2453"/>
        <item m="1" x="4047"/>
        <item m="1" x="4105"/>
        <item m="1" x="2274"/>
        <item m="1" x="1095"/>
        <item m="1" x="4037"/>
        <item m="1" x="4304"/>
        <item m="1" x="1587"/>
        <item m="1" x="988"/>
        <item m="1" x="2084"/>
        <item m="1" x="2439"/>
        <item m="1" x="2815"/>
        <item m="1" x="2276"/>
        <item m="1" x="4108"/>
        <item m="1" x="2153"/>
        <item m="1" x="4368"/>
        <item m="1" x="4186"/>
        <item m="1" x="1074"/>
        <item m="1" x="1102"/>
        <item m="1" x="3085"/>
        <item m="1" x="565"/>
        <item m="1" x="2637"/>
        <item m="1" x="2237"/>
        <item m="1" x="4219"/>
        <item m="1" x="3905"/>
        <item m="1" x="1764"/>
        <item m="1" x="3171"/>
        <item m="1" x="1118"/>
        <item m="1" x="1831"/>
        <item m="1" x="2947"/>
        <item m="1" x="4044"/>
        <item m="1" x="2385"/>
        <item m="1" x="1003"/>
        <item m="1" x="2166"/>
        <item m="1" x="726"/>
        <item m="1" x="2363"/>
        <item m="1" x="1549"/>
        <item m="1" x="4351"/>
        <item m="1" x="3849"/>
        <item m="1" x="2123"/>
        <item m="1" x="4181"/>
        <item m="1" x="4470"/>
        <item m="1" x="1707"/>
        <item m="1" x="1479"/>
        <item m="1" x="2346"/>
        <item m="1" x="3182"/>
        <item m="1" x="2095"/>
        <item m="1" x="4400"/>
        <item m="1" x="3913"/>
        <item m="1" x="3577"/>
        <item m="1" x="2231"/>
        <item m="1" x="3059"/>
        <item m="1" x="2089"/>
        <item m="1" x="1830"/>
        <item m="1" x="1579"/>
        <item m="1" x="974"/>
        <item m="1" x="1524"/>
        <item m="1" x="1669"/>
        <item m="1" x="991"/>
        <item m="1" x="2868"/>
        <item m="1" x="2705"/>
        <item m="1" x="2437"/>
        <item m="1" x="1973"/>
        <item m="1" x="4403"/>
        <item m="1" x="997"/>
        <item m="1" x="4509"/>
        <item m="1" x="2051"/>
        <item m="1" x="3854"/>
        <item m="1" x="3758"/>
        <item m="1" x="1984"/>
        <item m="1" x="3927"/>
        <item m="1" x="3396"/>
        <item m="1" x="2366"/>
        <item m="1" x="658"/>
        <item m="1" x="2317"/>
        <item m="1" x="2629"/>
        <item m="1" x="3378"/>
        <item m="1" x="4469"/>
        <item m="1" x="2643"/>
        <item m="1" x="2616"/>
        <item m="1" x="3264"/>
        <item m="1" x="4388"/>
        <item m="1" x="1055"/>
        <item m="1" x="4465"/>
        <item m="1" x="1658"/>
        <item m="1" x="1877"/>
        <item m="1" x="1580"/>
        <item m="1" x="3974"/>
        <item m="1" x="2908"/>
        <item m="1" x="2235"/>
        <item m="1" x="2862"/>
        <item m="1" x="4172"/>
        <item m="1" x="1689"/>
        <item m="1" x="3328"/>
        <item m="1" x="4475"/>
        <item m="1" x="3911"/>
        <item m="1" x="3571"/>
        <item m="1" x="659"/>
        <item m="1" x="2190"/>
        <item m="1" x="1392"/>
        <item m="1" x="1240"/>
        <item m="1" x="800"/>
        <item m="1" x="2010"/>
        <item m="1" x="4503"/>
        <item m="1" x="3374"/>
        <item m="1" x="3606"/>
        <item m="1" x="1613"/>
        <item m="1" x="2617"/>
        <item m="1" x="982"/>
        <item m="1" x="3527"/>
        <item m="1" x="2779"/>
        <item m="1" x="669"/>
        <item m="1" x="4280"/>
        <item m="1" x="3136"/>
        <item m="1" x="3475"/>
        <item m="1" x="1361"/>
        <item m="1" x="842"/>
        <item m="1" x="968"/>
        <item m="1" x="1633"/>
        <item m="1" x="1372"/>
        <item m="1" x="1262"/>
        <item m="1" x="4441"/>
        <item m="1" x="2202"/>
        <item m="1" x="4278"/>
        <item m="1" x="2375"/>
        <item m="1" x="3020"/>
        <item m="1" x="892"/>
        <item m="1" x="1855"/>
        <item m="1" x="3436"/>
        <item m="1" x="3003"/>
        <item m="1" x="3450"/>
        <item m="1" x="1359"/>
        <item m="1" x="3074"/>
        <item m="1" x="578"/>
        <item m="1" x="1713"/>
        <item m="1" x="4030"/>
        <item m="1" x="3551"/>
        <item m="1" x="1905"/>
        <item m="1" x="1979"/>
        <item m="1" x="835"/>
        <item m="1" x="1153"/>
        <item m="1" x="1412"/>
        <item m="1" x="3038"/>
        <item m="1" x="1194"/>
        <item m="1" x="3367"/>
        <item m="1" x="3189"/>
        <item m="1" x="4277"/>
        <item m="1" x="4483"/>
        <item m="1" x="2881"/>
        <item m="1" x="3578"/>
        <item m="1" x="2903"/>
        <item m="1" x="2577"/>
        <item m="1" x="2904"/>
        <item m="1" x="2485"/>
        <item m="1" x="1649"/>
        <item m="1" x="2754"/>
        <item m="1" x="779"/>
        <item m="1" x="1722"/>
        <item m="1" x="2489"/>
        <item m="1" x="3455"/>
        <item m="1" x="1237"/>
        <item m="1" x="2456"/>
        <item m="1" x="2490"/>
        <item m="1" x="4078"/>
        <item m="1" x="1945"/>
        <item m="1" x="4328"/>
        <item m="1" x="2090"/>
        <item m="1" x="2344"/>
        <item m="1" x="4322"/>
        <item m="1" x="929"/>
        <item m="1" x="3443"/>
        <item m="1" x="4411"/>
        <item m="1" x="3722"/>
        <item m="1" x="1064"/>
        <item m="1" x="4416"/>
        <item m="1" x="4166"/>
        <item m="1" x="1578"/>
        <item m="1" x="3555"/>
        <item m="1" x="2774"/>
        <item m="1" x="1844"/>
        <item m="1" x="4423"/>
        <item m="1" x="1952"/>
        <item m="1" x="4034"/>
        <item m="1" x="3256"/>
        <item m="1" x="4049"/>
        <item m="1" x="3821"/>
        <item m="1" x="1507"/>
        <item m="1" x="4536"/>
        <item m="1" x="2035"/>
        <item m="1" x="2790"/>
        <item m="1" x="881"/>
        <item m="1" x="1600"/>
        <item m="1" x="4284"/>
        <item m="1" x="3635"/>
        <item m="1" x="2127"/>
        <item m="1" x="2894"/>
        <item m="1" x="4492"/>
        <item m="1" x="1677"/>
        <item m="1" x="3652"/>
        <item m="1" x="1051"/>
        <item m="1" x="1931"/>
        <item m="1" x="1133"/>
        <item m="1" x="912"/>
        <item m="1" x="1891"/>
        <item m="1" x="3909"/>
        <item m="1" x="1498"/>
        <item m="1" x="3900"/>
        <item m="1" x="3442"/>
        <item m="1" x="2131"/>
        <item m="1" x="2196"/>
        <item m="1" x="3619"/>
        <item m="1" x="3248"/>
        <item m="1" x="4003"/>
        <item m="1" x="3895"/>
        <item m="1" x="857"/>
        <item m="1" x="4022"/>
        <item m="1" x="2299"/>
        <item m="1" x="4098"/>
        <item m="1" x="2168"/>
        <item m="1" x="759"/>
        <item m="1" x="4377"/>
        <item m="1" x="2845"/>
        <item m="1" x="2184"/>
        <item m="1" x="761"/>
        <item m="1" x="4479"/>
        <item m="1" x="1714"/>
        <item m="1" x="1516"/>
        <item m="1" x="751"/>
        <item m="1" x="1935"/>
        <item m="1" x="1293"/>
        <item m="1" x="3910"/>
        <item m="1" x="3289"/>
        <item m="1" x="3200"/>
        <item m="1" x="1127"/>
        <item m="1" x="3343"/>
        <item m="1" x="1887"/>
        <item m="1" x="4523"/>
        <item m="1" x="3241"/>
        <item m="1" x="3000"/>
        <item m="1" x="3022"/>
        <item m="1" x="584"/>
        <item m="1" x="4057"/>
        <item m="1" x="1808"/>
        <item m="1" x="3820"/>
        <item m="1" x="1459"/>
        <item m="1" x="4401"/>
        <item m="1" x="2289"/>
        <item m="1" x="1704"/>
        <item m="1" x="1974"/>
        <item m="1" x="1106"/>
        <item m="1" x="4389"/>
        <item m="1" x="4076"/>
        <item m="1" x="1715"/>
        <item m="1" x="678"/>
        <item m="1" x="936"/>
        <item m="1" x="4209"/>
        <item m="1" x="1530"/>
        <item m="1" x="2356"/>
        <item m="1" x="4512"/>
        <item m="1" x="4442"/>
        <item m="1" x="3238"/>
        <item m="1" x="2336"/>
        <item m="1" x="3670"/>
        <item m="1" x="908"/>
        <item m="1" x="2610"/>
        <item m="1" x="2938"/>
        <item m="1" x="3409"/>
        <item m="1" x="2783"/>
        <item m="1" x="1559"/>
        <item m="1" x="3421"/>
        <item m="1" x="3353"/>
        <item m="1" x="2448"/>
        <item m="1" x="2392"/>
        <item m="1" x="3535"/>
        <item m="1" x="2452"/>
        <item m="1" x="1390"/>
        <item m="1" x="4065"/>
        <item m="1" x="1699"/>
        <item m="1" x="3852"/>
        <item m="1" x="937"/>
        <item m="1" x="749"/>
        <item m="1" x="3018"/>
        <item m="1" x="4264"/>
        <item m="1" x="3815"/>
        <item m="1" x="3157"/>
        <item m="1" x="3439"/>
        <item m="1" x="2077"/>
        <item m="1" x="3656"/>
        <item m="1" x="1983"/>
        <item m="1" x="3118"/>
        <item m="1" x="1489"/>
        <item m="1" x="589"/>
        <item m="1" x="2502"/>
        <item m="1" x="4122"/>
        <item m="1" x="2655"/>
        <item m="1" x="2632"/>
        <item m="1" x="695"/>
        <item m="1" x="4192"/>
        <item m="1" x="3276"/>
        <item m="1" x="2601"/>
        <item m="1" x="1688"/>
        <item m="1" x="1595"/>
        <item m="1" x="1807"/>
        <item m="1" x="4302"/>
        <item m="1" x="1131"/>
        <item m="1" x="1346"/>
        <item m="1" x="4370"/>
        <item m="1" x="3682"/>
        <item m="1" x="4375"/>
        <item m="1" x="1410"/>
        <item m="1" x="2505"/>
        <item m="1" x="3818"/>
        <item m="1" x="3052"/>
        <item m="1" x="3599"/>
        <item m="1" x="1847"/>
        <item m="1" x="2902"/>
        <item m="1" x="1620"/>
        <item m="1" x="4051"/>
        <item m="1" x="4147"/>
        <item m="1" x="1581"/>
        <item m="1" x="1834"/>
        <item m="1" x="2495"/>
        <item m="1" x="4074"/>
        <item m="1" x="1648"/>
        <item m="1" x="1175"/>
        <item m="1" x="1058"/>
        <item m="1" x="1869"/>
        <item m="1" x="1126"/>
        <item m="1" x="1024"/>
        <item m="1" x="3402"/>
        <item m="1" x="3618"/>
        <item m="1" x="3741"/>
        <item m="1" x="2809"/>
        <item m="1" x="2273"/>
        <item m="1" x="3769"/>
        <item m="1" x="2148"/>
        <item m="1" x="2003"/>
        <item m="1" x="4382"/>
        <item m="1" x="4289"/>
        <item m="1" x="1520"/>
        <item m="1" x="4535"/>
        <item m="1" x="1396"/>
        <item m="1" x="564"/>
        <item m="1" x="3128"/>
        <item m="1" x="4104"/>
        <item m="1" x="1096"/>
        <item m="1" x="1673"/>
        <item m="1" x="2372"/>
        <item m="1" x="3993"/>
        <item m="1" x="1736"/>
        <item m="1" x="3440"/>
        <item m="1" x="3490"/>
        <item m="1" x="1788"/>
        <item m="1" x="2362"/>
        <item m="1" x="2040"/>
        <item m="1" x="637"/>
        <item m="1" x="4497"/>
        <item m="1" x="1205"/>
        <item m="1" x="1257"/>
        <item m="1" x="4169"/>
        <item m="1" x="1963"/>
        <item m="1" x="2813"/>
        <item m="1" x="2069"/>
        <item m="1" x="1720"/>
        <item m="1" x="2427"/>
        <item m="1" x="683"/>
        <item m="1" x="3380"/>
        <item m="1" x="4082"/>
        <item m="1" x="1094"/>
        <item m="1" x="3872"/>
        <item m="1" x="1853"/>
        <item m="1" x="1693"/>
        <item m="1" x="2352"/>
        <item m="1" x="3629"/>
        <item m="1" x="2661"/>
        <item m="1" x="1838"/>
        <item m="1" x="2295"/>
        <item m="1" x="2072"/>
        <item m="1" x="1006"/>
        <item m="1" x="3207"/>
        <item m="1" x="2628"/>
        <item m="1" x="2712"/>
        <item m="1" x="3812"/>
        <item m="1" x="3902"/>
        <item m="1" x="4016"/>
        <item m="1" x="4530"/>
        <item m="1" x="3369"/>
        <item m="1" x="2699"/>
        <item m="1" x="3628"/>
        <item m="1" x="2149"/>
        <item m="1" x="4426"/>
        <item m="1" x="883"/>
        <item m="1" x="1030"/>
        <item m="1" x="3920"/>
        <item m="1" x="4086"/>
        <item m="1" x="608"/>
        <item m="1" x="1073"/>
        <item m="1" x="3193"/>
        <item m="1" x="1192"/>
        <item m="1" x="4159"/>
        <item m="1" x="1211"/>
        <item m="1" x="2858"/>
        <item m="1" x="3980"/>
        <item m="1" x="1940"/>
        <item m="1" x="717"/>
        <item m="1" x="1481"/>
        <item m="1" x="1048"/>
        <item m="1" x="3962"/>
        <item m="1" x="1835"/>
        <item m="1" x="2604"/>
        <item m="1" x="1502"/>
        <item m="1" x="4489"/>
        <item m="1" x="4165"/>
        <item m="1" x="2558"/>
        <item m="1" x="1962"/>
        <item m="1" x="3508"/>
        <item m="1" x="3930"/>
        <item m="1" x="1485"/>
        <item m="1" x="4374"/>
        <item m="1" x="1741"/>
        <item m="1" x="2605"/>
        <item m="1" x="2126"/>
        <item m="1" x="737"/>
        <item m="1" x="1226"/>
        <item m="1" x="1910"/>
        <item m="1" x="3601"/>
        <item m="1" x="1640"/>
        <item m="1" x="2854"/>
        <item m="1" x="4275"/>
        <item m="1" x="3112"/>
        <item m="1" x="1457"/>
        <item m="1" x="3258"/>
        <item m="1" x="1012"/>
        <item m="1" x="1496"/>
        <item m="1" x="3562"/>
        <item m="1" x="4019"/>
        <item m="1" x="2191"/>
        <item m="1" x="4046"/>
        <item m="1" x="4299"/>
        <item m="1" x="2921"/>
        <item m="1" x="861"/>
        <item m="1" x="2411"/>
        <item m="1" x="3406"/>
        <item m="1" x="3319"/>
        <item m="1" x="621"/>
        <item m="1" x="1857"/>
        <item m="1" x="2347"/>
        <item m="1" x="1846"/>
        <item m="1" x="3235"/>
        <item m="1" x="1165"/>
        <item m="1" x="1381"/>
        <item m="1" x="1380"/>
        <item m="1" x="1356"/>
        <item m="1" x="3147"/>
        <item m="1" x="2338"/>
        <item m="1" x="1810"/>
        <item m="1" x="3076"/>
        <item m="1" x="1721"/>
        <item m="1" x="2225"/>
        <item m="1" x="1000"/>
        <item m="1" x="4360"/>
        <item m="1" x="2254"/>
        <item m="1" x="1480"/>
        <item m="1" x="833"/>
        <item m="1" x="1644"/>
        <item m="1" x="3467"/>
        <item m="1" x="3824"/>
        <item m="1" x="2180"/>
        <item m="1" x="2260"/>
        <item m="1" x="2586"/>
        <item m="1" x="4345"/>
        <item m="1" x="4273"/>
        <item m="1" x="946"/>
        <item m="1" x="3213"/>
        <item m="1" x="1491"/>
        <item m="1" x="4250"/>
        <item m="1" x="4160"/>
        <item m="1" x="1161"/>
        <item m="1" x="1188"/>
        <item m="1" x="3863"/>
        <item m="1" x="1636"/>
        <item m="1" x="1471"/>
        <item m="1" x="3940"/>
        <item m="1" x="2278"/>
        <item m="1" x="3973"/>
        <item m="1" x="934"/>
        <item m="1" x="3511"/>
        <item m="1" x="3829"/>
        <item m="1" x="1281"/>
        <item m="1" x="1455"/>
        <item m="1" x="2564"/>
        <item m="1" x="4455"/>
        <item m="1" x="3413"/>
        <item m="1" x="2914"/>
        <item m="1" x="1933"/>
        <item m="1" x="1883"/>
        <item m="1" x="2600"/>
        <item m="1" x="3226"/>
        <item m="1" x="3304"/>
        <item m="1" x="4000"/>
        <item m="1" x="1523"/>
        <item m="1" x="1456"/>
        <item m="1" x="1665"/>
        <item m="1" x="2005"/>
        <item m="1" x="1923"/>
        <item m="1" x="2636"/>
        <item m="1" x="3701"/>
        <item m="1" x="1734"/>
        <item m="1" x="641"/>
        <item m="1" x="3168"/>
        <item m="1" x="1996"/>
        <item m="1" x="3626"/>
        <item m="1" x="2421"/>
        <item m="1" x="3150"/>
        <item m="1" x="3986"/>
        <item m="1" x="3984"/>
        <item m="1" x="1615"/>
        <item m="1" x="4399"/>
        <item m="1" x="558"/>
        <item m="1" x="3616"/>
        <item m="1" x="581"/>
        <item m="1" x="2068"/>
        <item m="1" x="2241"/>
        <item m="1" x="3663"/>
        <item m="1" x="4247"/>
        <item m="1" x="2935"/>
        <item m="1" x="4263"/>
        <item m="1" x="4449"/>
        <item m="1" x="1224"/>
        <item m="1" x="4070"/>
        <item m="1" x="3317"/>
        <item m="1" x="3350"/>
        <item m="1" x="2844"/>
        <item m="1" x="915"/>
        <item m="1" x="4419"/>
        <item m="1" x="1010"/>
        <item m="1" x="1506"/>
        <item m="1" x="3449"/>
        <item m="1" x="2081"/>
        <item m="1" x="1232"/>
        <item m="1" x="603"/>
        <item m="1" x="790"/>
        <item m="1" x="2496"/>
        <item m="1" x="700"/>
        <item m="1" x="4120"/>
        <item m="1" x="1244"/>
        <item m="1" x="4200"/>
        <item m="1" x="2262"/>
        <item m="1" x="944"/>
        <item m="1" x="627"/>
        <item m="1" x="3898"/>
        <item m="1" x="4107"/>
        <item m="1" x="1728"/>
        <item m="1" x="1786"/>
        <item m="1" x="2590"/>
        <item m="1" x="2589"/>
        <item m="1" x="1513"/>
        <item m="1" x="2941"/>
        <item m="1" x="3630"/>
        <item m="1" x="4295"/>
        <item m="1" x="2186"/>
        <item m="1" x="3983"/>
        <item m="1" x="4356"/>
        <item m="1" x="1241"/>
        <item m="1" x="1867"/>
        <item m="1" x="1089"/>
        <item m="1" x="2340"/>
        <item m="1" x="1037"/>
        <item m="1" x="4134"/>
        <item m="1" x="1792"/>
        <item m="1" x="2139"/>
        <item m="1" x="3251"/>
        <item m="1" x="3072"/>
        <item m="1" x="1150"/>
        <item m="1" x="3281"/>
        <item m="1" x="1712"/>
        <item m="1" x="1308"/>
        <item m="1" x="3457"/>
        <item m="1" x="2049"/>
        <item m="1" x="4435"/>
        <item m="1" x="1391"/>
        <item m="1" x="1950"/>
        <item m="1" x="2478"/>
        <item m="1" x="4333"/>
        <item m="1" x="3956"/>
        <item m="1" x="559"/>
        <item m="1" x="1696"/>
        <item m="1" x="1401"/>
        <item m="1" x="2275"/>
        <item m="1" x="2023"/>
        <item m="1" x="2723"/>
        <item m="1" x="2270"/>
        <item m="1" x="4393"/>
        <item m="1" x="3005"/>
        <item m="1" x="1452"/>
        <item m="1" x="1243"/>
        <item m="1" x="1582"/>
        <item m="1" x="1042"/>
        <item m="1" x="926"/>
        <item m="1" x="796"/>
        <item m="1" x="2656"/>
        <item m="1" x="2939"/>
        <item m="1" x="1059"/>
        <item m="1" x="1543"/>
        <item m="1" x="4474"/>
        <item m="1" x="1176"/>
        <item m="1" x="3926"/>
        <item m="1" x="2606"/>
        <item m="1" x="1360"/>
        <item m="1" x="1365"/>
        <item m="1" x="1911"/>
        <item m="1" x="4507"/>
        <item m="1" x="3320"/>
        <item m="1" x="1122"/>
        <item m="1" x="1402"/>
        <item m="1" x="4014"/>
        <item m="1" x="3908"/>
        <item m="1" x="4366"/>
        <item m="1" x="1954"/>
        <item m="1" x="1829"/>
        <item m="1" x="3886"/>
        <item m="1" x="4005"/>
        <item m="1" x="3370"/>
        <item m="1" x="2080"/>
        <item m="1" x="3509"/>
        <item m="1" x="1092"/>
        <item m="1" x="1443"/>
        <item m="1" x="738"/>
        <item m="1" x="3605"/>
        <item m="1" x="884"/>
        <item m="1" x="1173"/>
        <item m="1" x="3149"/>
        <item m="1" x="2183"/>
        <item m="1" x="797"/>
        <item m="1" x="3610"/>
        <item m="1" x="1631"/>
        <item m="1" x="3770"/>
        <item m="1" x="3548"/>
        <item m="1" x="3093"/>
        <item m="1" x="3426"/>
        <item m="1" x="1189"/>
        <item m="1" x="1637"/>
        <item m="1" x="2469"/>
        <item m="1" x="3159"/>
        <item m="1" x="3718"/>
        <item m="1" x="4185"/>
        <item m="1" x="2024"/>
        <item m="1" x="3035"/>
        <item m="1" x="3954"/>
        <item m="1" x="1336"/>
        <item m="1" x="1474"/>
        <item m="1" x="4279"/>
        <item m="1" x="3259"/>
        <item m="1" x="3968"/>
        <item m="1" x="2983"/>
        <item m="1" x="739"/>
        <item m="1" x="950"/>
        <item m="1" x="646"/>
        <item m="1" x="4053"/>
        <item m="1" x="1560"/>
        <item m="1" x="4139"/>
        <item m="1" x="4099"/>
        <item m="1" x="2684"/>
        <item m="1" x="2633"/>
        <item m="1" x="3788"/>
        <item m="1" x="1837"/>
        <item m="1" x="4211"/>
        <item m="1" x="2016"/>
        <item m="1" x="604"/>
        <item m="1" x="3215"/>
        <item m="1" x="4146"/>
        <item m="1" x="1645"/>
        <item m="1" x="836"/>
        <item m="1" x="2311"/>
        <item m="1" x="4355"/>
        <item m="1" x="3222"/>
        <item m="1" x="1824"/>
        <item m="1" x="2830"/>
        <item m="1" x="3692"/>
        <item m="1" x="4436"/>
        <item m="1" x="2230"/>
        <item m="1" x="2984"/>
        <item m="1" x="4488"/>
        <item m="1" x="3208"/>
        <item m="1" x="4525"/>
        <item m="1" x="4132"/>
        <item m="1" x="4357"/>
        <item m="1" x="2682"/>
        <item m="1" x="849"/>
        <item m="1" x="4405"/>
        <item m="1" x="3753"/>
        <item m="1" x="4002"/>
        <item m="1" x="940"/>
        <item m="1" x="2221"/>
        <item m="1" x="3719"/>
        <item m="1" x="3841"/>
        <item m="1" x="2253"/>
        <item m="1" x="2412"/>
        <item m="1" x="3242"/>
        <item m="1" x="3399"/>
        <item m="1" x="1461"/>
        <item m="1" x="2457"/>
        <item m="1" x="1928"/>
        <item m="1" x="3178"/>
        <item m="1" x="2288"/>
        <item m="1" x="725"/>
        <item m="1" x="3006"/>
        <item m="1" x="2009"/>
        <item m="1" x="1493"/>
        <item m="1" x="1858"/>
        <item m="1" x="2663"/>
        <item m="1" x="4195"/>
        <item m="1" x="2261"/>
        <item m="1" x="4052"/>
        <item m="1" x="4502"/>
        <item m="1" x="3417"/>
        <item m="1" x="2989"/>
        <item m="1" x="3990"/>
        <item m="1" x="2319"/>
        <item m="1" x="1157"/>
        <item m="1" x="2055"/>
        <item m="1" x="2271"/>
        <item m="1" x="1227"/>
        <item m="1" x="1067"/>
        <item m="1" x="875"/>
        <item m="1" x="2930"/>
        <item m="1" x="2804"/>
        <item m="1" x="3988"/>
        <item m="1" x="1668"/>
        <item m="1" x="3761"/>
        <item m="1" x="2233"/>
        <item m="1" x="2501"/>
        <item m="1" x="4216"/>
        <item m="1" x="714"/>
        <item m="1" x="2075"/>
        <item m="1" x="4258"/>
        <item m="1" x="1708"/>
        <item m="1" x="2520"/>
        <item m="1" x="3482"/>
        <item m="1" x="4380"/>
        <item m="1" x="1763"/>
        <item m="1" x="1690"/>
        <item m="1" x="3520"/>
        <item m="1" x="2293"/>
        <item m="1" x="743"/>
        <item m="1" x="579"/>
        <item m="1" x="2391"/>
        <item m="1" x="1811"/>
        <item m="1" x="3101"/>
        <item m="1" x="4024"/>
        <item m="1" x="2417"/>
        <item m="1" x="2039"/>
        <item m="1" x="2389"/>
        <item m="1" x="2065"/>
        <item m="1" x="4471"/>
        <item m="1" x="2326"/>
        <item m="1" x="3695"/>
        <item m="1" x="4199"/>
        <item m="1" x="2884"/>
        <item m="1" x="3296"/>
        <item m="1" x="2197"/>
        <item m="1" x="1158"/>
        <item m="1" x="2507"/>
        <item m="1" x="2219"/>
        <item m="1" x="3432"/>
        <item m="1" x="3152"/>
        <item m="1" x="3236"/>
        <item m="1" x="1742"/>
        <item m="1" x="625"/>
        <item m="1" x="993"/>
        <item m="1" x="2530"/>
        <item m="1" x="1671"/>
        <item m="1" x="1418"/>
        <item m="1" x="3273"/>
        <item m="1" x="568"/>
        <item m="1" x="606"/>
        <item m="1" x="4164"/>
        <item m="1" x="3151"/>
        <item m="1" x="1260"/>
        <item m="1" x="4541"/>
        <item m="1" x="3925"/>
        <item m="1" x="2511"/>
        <item m="1" x="1375"/>
        <item m="1" x="4085"/>
        <item m="1" x="4017"/>
        <item m="1" x="1278"/>
        <item m="1" x="2654"/>
        <item m="1" x="3903"/>
        <item m="1" x="2592"/>
        <item m="1" x="4317"/>
        <item m="1" x="3138"/>
        <item m="1" x="1972"/>
        <item m="1" x="2480"/>
        <item m="1" x="1603"/>
        <item m="1" x="778"/>
        <item m="1" x="3773"/>
        <item m="1" x="2033"/>
        <item m="1" x="1450"/>
        <item m="1" x="1196"/>
        <item m="1" x="2192"/>
        <item m="1" x="3879"/>
        <item m="1" x="1367"/>
        <item m="1" x="3064"/>
        <item m="1" x="1785"/>
        <item m="1" x="856"/>
        <item m="1" x="4267"/>
        <item m="1" x="2922"/>
        <item m="1" x="3441"/>
        <item m="1" x="1318"/>
        <item m="1" x="1818"/>
        <item m="1" x="2466"/>
        <item m="1" x="3733"/>
        <item m="1" x="3190"/>
        <item m="1" x="3516"/>
        <item m="1" x="1053"/>
        <item m="1" x="3567"/>
        <item m="1" x="3515"/>
        <item m="1" x="1144"/>
        <item m="1" x="570"/>
        <item m="1" x="2996"/>
        <item m="1" x="4232"/>
        <item m="1" x="2975"/>
        <item m="1" x="1969"/>
        <item m="1" x="4385"/>
        <item m="1" x="1737"/>
        <item m="1" x="4084"/>
        <item m="1" x="1483"/>
        <item m="1" x="1088"/>
        <item m="1" x="4482"/>
        <item m="1" x="2915"/>
        <item m="1" x="3953"/>
        <item m="1" x="2430"/>
        <item m="1" x="1509"/>
        <item m="1" x="3034"/>
        <item m="1" x="902"/>
        <item m="1" x="1451"/>
        <item m="1" x="2353"/>
        <item m="1" x="3784"/>
        <item m="1" x="4305"/>
        <item m="1" x="3740"/>
        <item m="1" x="3377"/>
        <item m="1" x="1357"/>
        <item m="1" x="1434"/>
        <item m="1" x="990"/>
        <item m="1" x="3936"/>
        <item m="1" x="1774"/>
        <item m="1" x="1444"/>
        <item m="1" x="2349"/>
        <item m="1" x="3087"/>
        <item m="1" x="593"/>
        <item m="1" x="3884"/>
        <item m="1" x="1815"/>
        <item m="1" x="2574"/>
        <item m="1" x="2374"/>
        <item m="1" x="2823"/>
        <item m="1" x="2745"/>
        <item m="1" x="2118"/>
        <item m="1" x="2786"/>
        <item m="1" x="4039"/>
        <item m="1" x="2923"/>
        <item m="1" x="834"/>
        <item m="1" x="3853"/>
        <item m="1" x="1569"/>
        <item m="1" x="2497"/>
        <item m="1" x="4255"/>
        <item m="1" x="4248"/>
        <item m="1" x="3216"/>
        <item m="1" x="4276"/>
        <item m="1" x="3385"/>
        <item m="1" x="1223"/>
        <item m="1" x="1814"/>
        <item m="1" x="1927"/>
        <item m="1" x="810"/>
        <item m="1" x="1445"/>
        <item m="1" x="1119"/>
        <item m="1" x="2683"/>
        <item m="1" x="2335"/>
        <item m="1" x="2094"/>
        <item m="1" x="3868"/>
        <item m="1" x="4238"/>
        <item m="1" x="1666"/>
        <item m="1" x="1977"/>
        <item m="1" x="4097"/>
        <item m="1" x="4020"/>
        <item m="1" x="3153"/>
        <item m="1" x="1285"/>
        <item m="1" x="2099"/>
        <item m="1" x="3582"/>
        <item m="1" x="4420"/>
        <item m="1" x="3699"/>
        <item m="1" x="2528"/>
        <item m="1" x="622"/>
        <item m="1" x="1629"/>
        <item m="1" x="3117"/>
        <item m="1" x="4033"/>
        <item m="1" x="1918"/>
        <item m="1" x="2992"/>
        <item m="1" x="4025"/>
        <item m="1" x="1685"/>
        <item m="1" x="1536"/>
        <item m="1" x="2294"/>
        <item m="1" x="3265"/>
        <item m="1" x="2874"/>
        <item m="1" x="2398"/>
        <item m="1" x="1694"/>
        <item m="1" x="2458"/>
        <item m="1" x="1487"/>
        <item m="1" x="1040"/>
        <item m="1" x="3574"/>
        <item m="1" x="1588"/>
        <item m="1" x="2467"/>
        <item m="1" x="1745"/>
        <item m="1" x="2498"/>
        <item m="1" x="2887"/>
        <item m="1" x="3943"/>
        <item m="1" x="2510"/>
        <item m="1" x="1851"/>
        <item m="1" x="1245"/>
        <item m="1" x="4520"/>
        <item m="1" x="2948"/>
        <item m="1" x="3775"/>
        <item m="1" x="2548"/>
        <item m="1" x="4395"/>
        <item m="1" x="1136"/>
        <item m="1" x="1564"/>
        <item m="1" x="3240"/>
        <item m="1" x="4161"/>
        <item m="1" x="3855"/>
        <item m="1" x="3113"/>
        <item m="1" x="1601"/>
        <item m="1" x="765"/>
        <item m="1" x="4293"/>
        <item m="1" x="1531"/>
        <item m="1" x="4348"/>
        <item m="1" x="1472"/>
        <item m="1" x="3358"/>
        <item m="1" x="592"/>
        <item m="1" x="3100"/>
        <item m="1" x="3448"/>
        <item m="1" x="1279"/>
        <item m="1" x="1740"/>
        <item m="1" x="1213"/>
        <item m="1" x="754"/>
        <item m="1" x="973"/>
        <item m="1" x="2284"/>
        <item m="1" x="1730"/>
        <item m="1" x="4210"/>
        <item m="1" x="3170"/>
        <item m="1" x="1929"/>
        <item m="1" x="4012"/>
        <item m="1" x="935"/>
        <item m="1" x="3046"/>
        <item m="1" x="3526"/>
        <item m="1" x="1495"/>
        <item m="1" x="1609"/>
        <item m="1" x="3381"/>
        <item m="1" x="3302"/>
        <item m="1" x="1691"/>
        <item m="1" x="731"/>
        <item m="1" x="2642"/>
        <item m="1" x="1242"/>
        <item m="1" x="1926"/>
        <item m="1" x="2608"/>
        <item m="1" x="3631"/>
        <item m="1" x="2796"/>
        <item m="1" x="4059"/>
        <item m="1" x="1625"/>
        <item m="1" x="3395"/>
        <item m="1" x="1555"/>
        <item m="1" x="2994"/>
        <item m="1" x="1414"/>
        <item m="1" x="3461"/>
        <item m="1" x="4418"/>
        <item m="1" x="1670"/>
        <item m="1" x="1861"/>
        <item m="1" x="4048"/>
        <item m="1" x="1004"/>
        <item m="1" x="2708"/>
        <item m="1" x="3700"/>
        <item m="1" x="1432"/>
        <item m="1" x="1585"/>
        <item m="1" x="1435"/>
        <item m="1" x="2821"/>
        <item m="1" x="1482"/>
        <item m="1" x="3316"/>
        <item m="1" x="781"/>
        <item m="1" x="1939"/>
        <item m="1" x="4036"/>
        <item m="1" x="4390"/>
        <item m="1" x="3067"/>
        <item m="1" x="2151"/>
        <item m="1" x="855"/>
        <item m="1" x="699"/>
        <item m="1" x="3523"/>
        <item m="1" x="1592"/>
        <item m="1" x="1544"/>
        <item m="1" x="3771"/>
        <item m="1" x="1551"/>
        <item m="1" x="1239"/>
        <item m="1" x="975"/>
        <item m="1" x="672"/>
        <item m="1" x="1563"/>
        <item m="1" x="3094"/>
        <item m="1" x="3997"/>
        <item m="1" x="2722"/>
        <item m="1" x="2125"/>
        <item m="1" x="2181"/>
        <item m="1" x="3293"/>
        <item m="1" x="1856"/>
        <item m="1" x="769"/>
        <item m="1" x="1646"/>
        <item m="1" x="1478"/>
        <item m="1" x="1816"/>
        <item m="1" x="2585"/>
        <item m="1" x="675"/>
        <item m="1" x="2194"/>
        <item m="1" x="1800"/>
        <item m="1" x="2778"/>
        <item m="1" x="1739"/>
        <item m="1" x="3137"/>
        <item m="1" x="3563"/>
        <item m="1" x="3876"/>
        <item m="1" x="945"/>
        <item m="1" x="816"/>
        <item m="1" x="2351"/>
        <item m="1" x="1955"/>
        <item m="1" x="704"/>
        <item m="1" x="873"/>
        <item m="1" x="2441"/>
        <item m="1" x="3743"/>
        <item m="1" x="869"/>
        <item m="1" x="1169"/>
        <item m="1" x="961"/>
        <item m="1" x="3001"/>
        <item m="1" x="1366"/>
        <item m="1" x="1820"/>
        <item m="1" x="2837"/>
        <item m="1" x="644"/>
        <item m="1" x="3614"/>
        <item m="1" x="2339"/>
        <item m="1" x="2082"/>
        <item m="1" x="3031"/>
        <item m="1" x="2759"/>
        <item m="1" x="4228"/>
        <item m="1" x="3425"/>
        <item m="1" x="830"/>
        <item m="1" x="3917"/>
        <item m="1" x="4175"/>
        <item m="1" x="3859"/>
        <item m="1" x="2890"/>
        <item m="1" x="4029"/>
        <item m="1" x="3228"/>
        <item m="1" x="1199"/>
        <item m="1" x="1804"/>
        <item m="1" x="2594"/>
        <item m="1" x="2228"/>
        <item m="1" x="1086"/>
        <item m="1" x="2484"/>
        <item m="1" x="4361"/>
        <item m="1" x="3188"/>
        <item m="1" x="3070"/>
        <item m="1" x="2581"/>
        <item m="1" x="967"/>
        <item m="1" x="3278"/>
        <item m="1" x="777"/>
        <item m="1" x="4269"/>
        <item m="1" x="3410"/>
        <item m="1" x="4347"/>
        <item m="1" x="1860"/>
        <item m="1" x="639"/>
        <item m="1" x="1272"/>
        <item m="1" x="3676"/>
        <item m="1" x="1225"/>
        <item m="1" x="2986"/>
        <item m="1" x="3340"/>
        <item m="1" x="1912"/>
        <item m="1" x="3407"/>
        <item m="1" x="2027"/>
        <item m="1" x="2556"/>
        <item m="1" x="2038"/>
        <item m="1" x="1833"/>
        <item m="1" x="2286"/>
        <item m="1" x="3253"/>
        <item m="1" x="1168"/>
        <item m="1" x="3233"/>
        <item m="1" x="2940"/>
        <item m="1" x="2488"/>
        <item m="1" x="4088"/>
        <item m="1" x="4141"/>
        <item m="1" x="2309"/>
        <item m="1" x="1137"/>
        <item m="1" x="4077"/>
        <item m="1" x="4338"/>
        <item m="1" x="1626"/>
        <item m="1" x="1036"/>
        <item m="1" x="2117"/>
        <item m="1" x="2476"/>
        <item m="1" x="2863"/>
        <item m="1" x="2314"/>
        <item m="1" x="4145"/>
        <item m="1" x="2203"/>
        <item m="1" x="4404"/>
        <item m="1" x="4240"/>
        <item m="1" x="1125"/>
        <item m="1" x="1143"/>
        <item m="1" x="3126"/>
        <item m="1" x="602"/>
        <item m="1" x="2669"/>
        <item m="1" x="2287"/>
        <item m="1" x="4257"/>
        <item m="1" x="3941"/>
        <item m="1" x="1812"/>
        <item m="1" x="3210"/>
        <item m="1" x="1154"/>
        <item m="1" x="1863"/>
        <item m="1" x="2987"/>
        <item m="1" x="4087"/>
        <item m="1" x="2420"/>
        <item m="1" x="1045"/>
        <item m="1" x="2214"/>
        <item m="1" x="768"/>
        <item m="1" x="2400"/>
        <item m="1" x="1604"/>
        <item m="1" x="4394"/>
        <item m="1" x="3883"/>
        <item m="1" x="2170"/>
        <item m="1" x="4230"/>
        <item m="1" x="4515"/>
        <item m="1" x="1752"/>
        <item m="1" x="1508"/>
        <item m="1" x="2379"/>
        <item m="1" x="3220"/>
        <item m="1" x="2121"/>
        <item m="1" x="4429"/>
        <item m="1" x="3957"/>
        <item m="1" x="3608"/>
        <item m="1" x="2282"/>
        <item m="1" x="3097"/>
        <item m="1" x="2119"/>
        <item m="1" x="1862"/>
        <item m="1" x="1616"/>
        <item m="1" x="1005"/>
        <item m="1" x="1567"/>
        <item m="1" x="1706"/>
        <item m="1" x="1038"/>
        <item m="1" x="2911"/>
        <item m="1" x="2746"/>
        <item m="1" x="2475"/>
        <item m="1" x="2012"/>
        <item m="1" x="4431"/>
        <item m="1" x="1041"/>
        <item m="1" x="4542"/>
        <item m="1" x="2093"/>
        <item m="1" x="3889"/>
        <item m="1" x="3796"/>
        <item m="1" x="2021"/>
        <item m="1" x="3966"/>
        <item m="1" x="3437"/>
        <item m="1" x="2402"/>
        <item m="1" x="690"/>
        <item m="1" x="2343"/>
        <item m="1" x="2662"/>
        <item m="1" x="3423"/>
        <item m="1" x="4514"/>
        <item m="1" x="2675"/>
        <item m="1" x="2650"/>
        <item m="1" x="3315"/>
        <item m="1" x="4414"/>
        <item m="1" x="1105"/>
        <item m="1" x="4513"/>
        <item m="1" x="1702"/>
        <item m="1" x="1915"/>
        <item m="1" x="1617"/>
        <item m="1" x="4013"/>
        <item m="1" x="2957"/>
        <item m="1" x="2285"/>
        <item m="1" x="2900"/>
        <item m="1" x="4217"/>
        <item m="1" x="1727"/>
        <item m="1" x="3364"/>
        <item m="1" x="4522"/>
        <item m="1" x="3951"/>
        <item m="1" x="3598"/>
        <item m="1" x="692"/>
        <item m="1" x="2248"/>
        <item m="1" x="1427"/>
        <item m="1" x="1294"/>
        <item m="1" x="846"/>
        <item m="1" x="2047"/>
        <item m="1" x="4539"/>
        <item m="1" x="3420"/>
        <item m="1" x="3640"/>
        <item m="1" x="1652"/>
        <item m="1" x="2651"/>
        <item m="1" x="1020"/>
        <item m="1" x="3559"/>
        <item m="1" x="2828"/>
        <item m="1" x="703"/>
        <item m="1" x="4310"/>
        <item m="1" x="3181"/>
        <item m="1" x="3524"/>
        <item m="1" x="1404"/>
        <item m="1" x="891"/>
        <item m="1" x="999"/>
        <item m="1" x="1672"/>
        <item m="1" x="1408"/>
        <item m="1" x="1317"/>
        <item m="1" x="4484"/>
        <item m="1" x="2259"/>
        <item m="1" x="4309"/>
        <item m="1" x="2414"/>
        <item m="1" x="3066"/>
        <item m="1" x="921"/>
        <item m="1" x="1893"/>
        <item m="1" x="3471"/>
        <item m="1" x="3050"/>
        <item m="1" x="3493"/>
        <item m="1" x="1398"/>
        <item m="1" x="3114"/>
        <item m="1" x="611"/>
        <item m="1" x="1758"/>
        <item m="1" x="4069"/>
        <item m="1" x="3583"/>
        <item m="1" x="1942"/>
        <item m="1" x="2019"/>
        <item m="1" x="882"/>
        <item m="1" x="1198"/>
        <item m="1" x="1441"/>
        <item m="1" x="3080"/>
        <item m="1" x="1235"/>
        <item m="1" x="3411"/>
        <item m="1" x="3224"/>
        <item m="1" x="4308"/>
        <item m="1" x="4526"/>
        <item m="1" x="2929"/>
        <item m="1" x="3609"/>
        <item m="1" x="2952"/>
        <item m="1" x="2612"/>
        <item m="1" x="2955"/>
        <item m="1" x="2527"/>
        <item m="1" x="1695"/>
        <item m="1" x="2802"/>
        <item m="1" x="824"/>
        <item m="1" x="1765"/>
        <item m="1" x="2533"/>
        <item m="1" x="3501"/>
        <item m="1" x="1288"/>
        <item m="1" x="2493"/>
        <item m="1" x="2535"/>
        <item m="1" x="4119"/>
        <item m="1" x="1987"/>
        <item m="1" x="4362"/>
        <item m="1" x="2120"/>
        <item m="1" x="2376"/>
        <item m="1" x="4353"/>
        <item m="1" x="962"/>
        <item m="1" x="3479"/>
        <item m="1" x="4440"/>
        <item m="1" x="3749"/>
        <item m="1" x="1117"/>
        <item m="1" x="4446"/>
        <item m="1" x="4202"/>
        <item m="1" x="1614"/>
        <item m="1" x="3586"/>
        <item m="1" x="2822"/>
        <item m="1" x="1875"/>
        <item m="1" x="4456"/>
        <item m="1" x="1998"/>
        <item m="1" x="4073"/>
        <item m="1" x="3298"/>
        <item m="1" x="4089"/>
        <item m="1" x="3861"/>
        <item m="1" x="1534"/>
        <item m="1" x="587"/>
        <item m="1" x="2074"/>
        <item m="1" x="2843"/>
        <item m="1" x="913"/>
        <item m="1" x="1630"/>
        <item m="1" x="4312"/>
        <item m="1" x="3662"/>
        <item m="1" x="2173"/>
        <item m="1" x="2949"/>
        <item m="1" x="4533"/>
        <item m="1" x="1723"/>
        <item m="1" x="3681"/>
        <item m="1" x="1100"/>
        <item m="1" x="1957"/>
        <item m="1" x="1171"/>
        <item m="1" x="938"/>
        <item m="1" x="1934"/>
        <item m="1" x="3947"/>
        <item m="1" x="1525"/>
        <item m="1" x="3933"/>
        <item m="1" x="3478"/>
        <item m="1" x="2182"/>
        <item m="1" x="2251"/>
        <item m="1" x="3651"/>
        <item m="1" x="3280"/>
        <item m="1" x="4035"/>
        <item m="1" x="3924"/>
        <item m="1" x="898"/>
        <item m="1" x="4055"/>
        <item m="1" x="2332"/>
        <item m="1" x="4135"/>
        <item m="1" x="2215"/>
        <item m="1" x="795"/>
        <item m="1" x="4408"/>
        <item m="1" x="2882"/>
        <item m="1" x="2239"/>
        <item m="1" x="802"/>
        <item m="1" x="4524"/>
        <item m="1" x="1759"/>
        <item m="1" x="1558"/>
        <item m="1" x="788"/>
        <item m="1" x="1966"/>
        <item m="1" x="1334"/>
        <item m="1" x="3948"/>
        <item m="1" x="3332"/>
        <item m="1" x="3234"/>
        <item m="1" x="1166"/>
        <item m="1" x="3389"/>
        <item m="1" x="1932"/>
        <item m="1" x="569"/>
        <item m="1" x="3279"/>
        <item m="1" x="3043"/>
        <item m="1" x="3068"/>
        <item m="1" x="624"/>
        <item m="1" x="4101"/>
        <item m="1" x="1849"/>
        <item m="1" x="3860"/>
        <item m="1" x="1499"/>
        <item m="1" x="4430"/>
        <item m="1" x="2324"/>
        <item m="1" x="1744"/>
        <item m="1" x="2013"/>
        <item m="1" x="1149"/>
        <item m="1" x="4415"/>
        <item m="1" x="4118"/>
        <item m="1" x="1760"/>
        <item m="1" x="710"/>
        <item m="1" x="972"/>
        <item m="1" x="2873"/>
        <item m="1" x="1635"/>
        <item m="1" x="860"/>
        <item m="1" x="2607"/>
        <item m="1" x="4259"/>
        <item m="1" x="2327"/>
        <item m="1" x="744"/>
        <item m="1" x="4367"/>
        <item m="1" x="1195"/>
        <item m="1" x="1395"/>
        <item m="1" x="4453"/>
        <item m="1" x="2442"/>
        <item m="1" x="1087"/>
        <item m="1" x="3329"/>
        <item m="1" x="2232"/>
        <item m="1" x="1754"/>
        <item m="1" x="3127"/>
        <item m="1" x="4233"/>
        <item m="1" x="1486"/>
        <item m="1" x="4510"/>
        <item m="1" x="4392"/>
        <item m="1" x="4190"/>
        <item m="1" x="4337"/>
        <item m="1" x="2330"/>
        <item m="1" x="2964"/>
        <item m="1" x="774"/>
        <item m="1" x="2244"/>
        <item m="1" x="4468"/>
        <item m="1" x="2766"/>
        <item m="1" x="3734"/>
        <item m="1" x="3906"/>
        <item m="1" x="4340"/>
        <item m="1" x="3405"/>
        <item m="1" x="3481"/>
        <item m="1" x="3757"/>
        <item m="1" x="1859"/>
        <item m="1" x="2078"/>
        <item m="1" x="4142"/>
        <item m="1" x="3098"/>
        <item m="1" x="1121"/>
        <item m="1" x="969"/>
        <item m="1" x="2115"/>
        <item m="1" x="1964"/>
        <item m="1" x="709"/>
        <item m="1" x="2509"/>
        <item m="1" x="1596"/>
        <item m="1" x="1959"/>
        <item m="1" x="2552"/>
        <item m="1" x="3648"/>
        <item m="1" x="1547"/>
        <item m="1" x="3732"/>
        <item m="1" x="3904"/>
        <item m="1" x="4253"/>
        <item m="1" x="712"/>
        <item m="1" x="2315"/>
        <item m="1" x="2677"/>
        <item m="1" x="1821"/>
        <item m="1" x="832"/>
        <item m="1" x="1134"/>
        <item m="1" x="3639"/>
        <item m="1" x="2050"/>
        <item m="1" x="2071"/>
        <item m="1" x="2345"/>
        <item m="1" x="4155"/>
        <item m="1" x="3156"/>
        <item m="1" x="909"/>
        <item m="1" x="3084"/>
        <item m="1" x="4501"/>
        <item m="1" x="2737"/>
        <item m="1" x="2445"/>
        <item m="1" x="4015"/>
        <item m="1" x="1071"/>
        <item m="1" x="865"/>
        <item m="1" x="1438"/>
        <item m="1" x="3685"/>
        <item m="1" x="2201"/>
        <item m="1" x="1193"/>
        <item m="1" x="3053"/>
        <item m="1" x="2583"/>
        <item m="1" x="3816"/>
        <item m="1" x="2784"/>
        <item m="1" x="1159"/>
        <item m="1" x="2348"/>
        <item m="1" x="2200"/>
        <item m="1" x="2808"/>
        <item m="1" x="2539"/>
        <item m="1" x="3465"/>
        <item m="1" x="3830"/>
        <item m="1" x="2079"/>
        <item m="1" x="4157"/>
        <item m="1" x="1399"/>
        <item m="1" x="3499"/>
        <item m="1" x="1586"/>
        <item m="1" x="1428"/>
        <item m="1" x="2771"/>
        <item m="1" x="3269"/>
        <item m="1" x="3546"/>
        <item m="1" x="2974"/>
        <item m="1" x="2053"/>
        <item m="1" x="1936"/>
        <item m="1" x="640"/>
        <item m="1" x="2893"/>
        <item m="1" x="668"/>
        <item m="1" x="2757"/>
        <item m="1" x="572"/>
        <item m="1" x="1290"/>
        <item m="1" x="3270"/>
        <item m="1" x="3164"/>
        <item m="1" x="2110"/>
        <item m="1" x="2057"/>
        <item m="1" x="2083"/>
        <item m="1" x="3581"/>
        <item m="1" x="1546"/>
        <item m="1" x="3811"/>
        <item m="1" x="1697"/>
        <item m="1" x="2573"/>
        <item m="1" x="2257"/>
        <item m="1" x="595"/>
        <item m="1" x="2807"/>
        <item m="1" x="2436"/>
        <item m="1" x="4300"/>
        <item m="1" x="2622"/>
        <item m="1" x="1766"/>
        <item m="1" x="947"/>
        <item m="1" x="922"/>
        <item m="1" x="3847"/>
        <item m="1" x="3587"/>
        <item m="1" x="2777"/>
        <item m="1" x="2679"/>
        <item m="1" x="3095"/>
        <item m="1" x="854"/>
        <item m="1" x="2199"/>
        <item m="1" x="2671"/>
        <item m="1" x="3899"/>
        <item m="1" x="2901"/>
        <item m="1" x="2926"/>
        <item m="1" x="3750"/>
        <item m="1" x="901"/>
        <item m="1" x="1519"/>
        <item m="1" x="2494"/>
        <item m="1" x="742"/>
        <item m="1" x="3044"/>
        <item m="1" x="2566"/>
        <item m="1" x="4274"/>
        <item m="1" x="2158"/>
        <item m="1" x="4163"/>
        <item m="1" x="3424"/>
        <item m="1" x="2361"/>
        <item m="1" x="1098"/>
        <item m="1" x="4265"/>
        <item m="1" x="943"/>
        <item m="1" x="814"/>
        <item m="1" x="4092"/>
        <item m="1" x="2859"/>
        <item m="1" x="1062"/>
        <item m="1" x="2579"/>
        <item m="1" x="1439"/>
        <item m="1" x="2553"/>
        <item m="1" x="3012"/>
        <item m="1" x="721"/>
        <item m="1" x="2240"/>
        <item m="1" x="1307"/>
        <item m="1" x="2988"/>
        <item m="1" x="605"/>
        <item m="1" x="3946"/>
        <item m="1" x="2138"/>
        <item m="1" x="2689"/>
        <item m="1" x="3099"/>
        <item m="1" x="983"/>
        <item m="1" x="3998"/>
        <item m="1" x="2615"/>
        <item m="1" x="1667"/>
        <item m="1" x="2001"/>
        <item m="1" x="4191"/>
        <item m="1" x="3715"/>
        <item m="1" x="1347"/>
        <item m="1" x="1442"/>
        <item m="1" x="1039"/>
        <item m="1" x="4251"/>
        <item m="1" x="3165"/>
        <item m="1" x="3464"/>
        <item m="1" x="1261"/>
        <item m="1" x="1762"/>
        <item m="1" x="580"/>
        <item m="1" x="1354"/>
        <item m="1" x="4032"/>
        <item m="1" x="3625"/>
        <item m="1" x="1072"/>
        <item m="1" x="2525"/>
        <item m="1" x="2106"/>
        <item m="1" x="2364"/>
        <item m="1" x="3393"/>
        <item m="1" x="3636"/>
        <item m="1" x="1900"/>
        <item m="1" x="1310"/>
        <item m="1" x="1661"/>
        <item m="1" x="3981"/>
        <item m="1" x="767"/>
        <item m="1" x="2416"/>
        <item m="1" x="4373"/>
        <item m="1" x="2678"/>
        <item m="1" x="3798"/>
        <item m="1" x="2982"/>
        <item m="1" x="2788"/>
        <item m="1" x="996"/>
        <item m="1" x="1638"/>
        <item m="1" x="2905"/>
        <item m="1" x="1526"/>
        <item m="1" x="3664"/>
        <item m="1" x="3488"/>
        <item m="1" x="4130"/>
        <item m="1" x="905"/>
        <item m="1" x="3365"/>
        <item m="1" x="4131"/>
        <item m="1" x="1866"/>
        <item m="1" x="582"/>
        <item m="1" x="2165"/>
        <item m="1" x="1104"/>
        <item m="1" x="3463"/>
        <item m="1" x="2483"/>
        <item m="1" x="4376"/>
        <item m="1" x="792"/>
        <item m="1" x="4487"/>
        <item m="1" x="3169"/>
        <item m="1" x="750"/>
        <item m="1" x="2316"/>
        <item m="1" x="4354"/>
        <item m="1" x="4445"/>
        <item m="1" x="2744"/>
        <item m="1" x="3161"/>
        <item m="1" x="1251"/>
        <item m="1" x="2195"/>
        <item m="1" x="924"/>
        <item m="1" x="2032"/>
        <item m="1" x="1417"/>
        <item m="1" x="1521"/>
        <item m="1" x="2522"/>
        <item m="1" x="942"/>
        <item m="1" x="809"/>
        <item m="1" x="2965"/>
        <item m="1" x="2256"/>
        <item m="1" x="673"/>
        <item m="1" x="2945"/>
        <item m="1" x="2676"/>
        <item m="1" x="566"/>
        <item m="1" x="1453"/>
        <item m="1" x="3937"/>
        <item m="1" x="766"/>
        <item m="1" x="760"/>
        <item m="1" x="4254"/>
        <item m="1" x="1999"/>
        <item m="1" x="3931"/>
        <item m="1" x="1286"/>
        <item m="1" x="3045"/>
        <item m="1" x="3684"/>
        <item m="1" x="649"/>
        <item m="1" x="1407"/>
        <item m="1" x="927"/>
        <item m="1" x="3655"/>
        <item m="1" x="2725"/>
        <item m="1" x="3198"/>
        <item m="1" x="2595"/>
        <item m="1" x="753"/>
        <item m="1" x="914"/>
        <item m="1" x="1647"/>
        <item m="1" x="689"/>
        <item m="1" x="655"/>
        <item m="1" x="3710"/>
        <item m="1" x="1315"/>
        <item m="1" x="2753"/>
        <item m="1" x="2129"/>
        <item m="1" x="4079"/>
        <item m="1" x="3500"/>
        <item m="1" x="4352"/>
        <item m="1" x="2174"/>
        <item m="1" x="2534"/>
        <item m="1" x="2208"/>
        <item m="1" x="2107"/>
        <item m="1" x="3492"/>
        <item m="1" x="1316"/>
        <item m="1" x="2291"/>
        <item m="1" x="3285"/>
        <item m="1" x="3510"/>
        <item m="1" x="3714"/>
        <item m="1" x="1162"/>
        <item m="1" x="2479"/>
        <item m="1" x="2266"/>
        <item m="1" x="3288"/>
        <item m="1" x="2544"/>
        <item m="1" x="2867"/>
        <item m="1" x="3649"/>
        <item m="1" x="3783"/>
        <item m="1" x="3553"/>
        <item m="1" x="1919"/>
        <item m="1" x="4326"/>
        <item m="1" x="3576"/>
        <item m="1" x="4080"/>
        <item m="1" x="1827"/>
        <item m="1" x="1938"/>
        <item m="1" x="1602"/>
        <item m="1" x="2726"/>
        <item m="1" x="1083"/>
        <item m="1" x="3075"/>
        <item m="1" x="3519"/>
        <item m="1" x="2500"/>
        <item m="1" x="2056"/>
        <item m="1" x="2044"/>
        <item m="1" x="2917"/>
        <item m="1" x="1852"/>
        <item m="1" x="4324"/>
        <item m="1" x="3272"/>
        <item m="1" x="3180"/>
        <item m="1" x="3547"/>
        <item m="1" x="2504"/>
        <item m="1" x="789"/>
        <item m="1" x="3525"/>
        <item m="1" x="2869"/>
        <item m="1" x="3247"/>
        <item m="1" x="3797"/>
        <item m="1" x="3010"/>
        <item m="1" x="2171"/>
        <item m="1" x="4343"/>
        <item m="1" x="1292"/>
        <item m="1" x="3611"/>
        <item m="1" x="1274"/>
        <item m="1" x="4106"/>
        <item m="1" x="1152"/>
        <item m="1" x="3584"/>
        <item m="1" x="1093"/>
        <item m="1" x="748"/>
        <item m="1" x="3716"/>
        <item m="1" x="2839"/>
        <item m="1" x="3693"/>
        <item m="1" x="2649"/>
        <item m="1" x="1594"/>
        <item m="1" x="2401"/>
        <item m="1" x="3498"/>
        <item m="1" x="1454"/>
        <item m="1" x="4303"/>
        <item m="1" x="648"/>
        <item m="1" x="1497"/>
        <item m="1" x="4447"/>
        <item m="1" x="3354"/>
        <item m="1" x="3359"/>
        <item m="1" x="1621"/>
        <item m="1" x="3205"/>
        <item m="1" x="4454"/>
        <item m="1" x="660"/>
        <item m="1" x="1077"/>
        <item m="1" x="1700"/>
        <item m="1" x="2446"/>
        <item m="1" x="736"/>
        <item m="1" x="1063"/>
        <item m="1" x="2026"/>
        <item m="1" x="1377"/>
        <item m="1" x="3999"/>
        <item m="1" x="3814"/>
        <item m="1" x="2526"/>
        <item m="1" x="3828"/>
        <item m="1" x="3694"/>
        <item m="1" x="3556"/>
        <item m="1" x="3987"/>
        <item m="1" x="3912"/>
        <item m="1" x="2193"/>
        <item m="1" x="2613"/>
        <item m="1" x="3704"/>
        <item m="1" x="2673"/>
        <item m="1" x="2707"/>
        <item m="1" x="3779"/>
        <item m="1" x="1376"/>
        <item m="1" x="1151"/>
        <item m="1" x="1238"/>
        <item m="1" x="1016"/>
        <item m="1" x="2460"/>
        <item m="1" x="4058"/>
        <item m="1" x="3192"/>
        <item m="1" x="2981"/>
        <item m="1" x="1988"/>
        <item m="1" x="2912"/>
        <item m="1" x="4038"/>
        <item m="1" x="1780"/>
        <item m="1" x="1674"/>
        <item m="1" x="1419"/>
        <item m="1" x="2638"/>
        <item m="1" x="3804"/>
        <item m="1" x="3806"/>
        <item m="1" x="2760"/>
        <item m="1" x="1097"/>
        <item m="1" x="1989"/>
        <item m="1" x="4226"/>
        <item m="1" x="601"/>
        <item m="1" x="2146"/>
        <item m="1" x="1416"/>
        <item m="1" x="4350"/>
        <item m="1" x="1676"/>
        <item m="1" x="3154"/>
        <item m="1" x="920"/>
        <item m="1" x="1817"/>
        <item m="1" x="3869"/>
        <item m="1" x="3397"/>
        <item m="1" x="1537"/>
        <item m="1" x="3077"/>
        <item m="1" x="3063"/>
        <item m="1" x="3661"/>
        <item m="1" x="575"/>
        <item m="1" x="701"/>
        <item m="1" x="1597"/>
        <item m="1" x="3491"/>
        <item m="1" x="4040"/>
        <item m="1" x="1662"/>
        <item m="1" x="3842"/>
        <item m="1" x="930"/>
        <item m="1" x="2985"/>
        <item m="1" x="2644"/>
        <item m="1" x="1686"/>
        <item m="1" x="3400"/>
        <item m="1" x="3318"/>
        <item m="1" x="3807"/>
        <item m="1" x="2609"/>
        <item m="1" x="3355"/>
        <item m="1" x="3832"/>
        <item m="1" x="4201"/>
        <item m="1" x="2388"/>
        <item m="1" x="1659"/>
        <item m="1" x="1902"/>
        <item m="1" x="4495"/>
        <item m="1" x="4272"/>
        <item m="1" x="1848"/>
        <item m="1" x="2187"/>
        <item m="1" x="3780"/>
        <item m="1" x="661"/>
        <item m="1" x="1793"/>
        <item m="1" x="4499"/>
        <item m="1" x="4031"/>
        <item m="1" x="1300"/>
        <item m="1" x="3239"/>
        <item m="1" x="1384"/>
        <item m="1" x="1591"/>
        <item m="1" x="3813"/>
        <item m="1" x="3048"/>
        <item m="1" x="718"/>
        <item m="1" x="4480"/>
        <item m="1" x="762"/>
        <item m="1" x="1197"/>
        <item m="1" x="3831"/>
        <item m="1" x="3322"/>
        <item m="1" x="4196"/>
        <item m="1" x="4182"/>
        <item m="1" x="1527"/>
        <item m="1" x="3657"/>
        <item m="1" x="1049"/>
        <item m="1" x="1539"/>
        <item m="1" x="2163"/>
        <item m="1" x="2634"/>
        <item m="1" x="2176"/>
        <item m="1" x="1488"/>
        <item m="1" x="1013"/>
        <item m="1" x="3720"/>
        <item m="1" x="2243"/>
        <item m="1" x="2738"/>
        <item m="1" x="886"/>
        <item m="1" x="2116"/>
        <item m="1" x="2763"/>
        <item m="1" x="3290"/>
        <item m="1" x="656"/>
        <item m="1" x="2150"/>
        <item m="1" x="4476"/>
        <item m="1" x="2399"/>
        <item m="1" x="597"/>
        <item m="1" x="4381"/>
        <item m="1" x="1946"/>
        <item m="1" x="2857"/>
        <item m="1" x="1440"/>
        <item m="1" x="702"/>
        <item m="1" x="2670"/>
        <item m="1" x="2692"/>
        <item m="1" x="3776"/>
        <item m="1" x="3785"/>
        <item m="1" x="642"/>
        <item m="1" x="3596"/>
        <item m="1" x="1790"/>
        <item m="1" x="3232"/>
        <item m="1" x="1515"/>
        <item m="1" x="2333"/>
        <item m="1" x="3086"/>
        <item m="1" x="2891"/>
        <item m="1" x="3155"/>
        <item m="1" x="1605"/>
        <item m="1" x="3851"/>
        <item m="1" x="2875"/>
        <item m="1" x="1052"/>
        <item m="1" x="2410"/>
        <item m="1" x="2252"/>
        <item m="1" x="4027"/>
        <item m="1" x="3257"/>
        <item m="1" x="2073"/>
        <item m="1" x="1382"/>
        <item m="1" x="2567"/>
        <item m="1" x="1301"/>
        <item m="1" x="4256"/>
        <item m="1" x="3707"/>
        <item m="1" x="4433"/>
        <item m="1" x="1623"/>
        <item m="1" x="3419"/>
        <item m="1" x="2732"/>
        <item m="1" x="664"/>
        <item m="1" x="998"/>
        <item m="1" x="1116"/>
        <item m="1" x="2258"/>
        <item m="1" x="686"/>
        <item m="1" x="1156"/>
        <item m="1" x="3736"/>
        <item m="1" x="3882"/>
        <item m="1" x="3833"/>
        <item m="1" x="746"/>
        <item m="1" x="2154"/>
        <item m="1" x="4297"/>
        <item m="1" x="3049"/>
        <item m="1" x="3683"/>
        <item m="1" x="1311"/>
        <item m="1" x="1350"/>
        <item m="1" x="3230"/>
        <item m="1" x="3250"/>
        <item m="1" x="843"/>
        <item m="1" x="977"/>
        <item m="1" x="650"/>
        <item m="1" x="4137"/>
        <item m="1" x="1358"/>
        <item m="1" x="4121"/>
        <item m="1" x="1135"/>
        <item m="1" x="3227"/>
        <item m="1" x="793"/>
        <item m="1" x="4152"/>
        <item m="1" x="3163"/>
        <item m="1" x="1090"/>
        <item m="1" x="872"/>
        <item m="1" x="2037"/>
        <item m="1" x="2706"/>
        <item m="1" x="3627"/>
        <item m="1" x="2639"/>
        <item m="1" x="561"/>
        <item m="1" x="2390"/>
        <item m="1" x="4500"/>
        <item m="1" x="1678"/>
        <item m="1" x="2724"/>
        <item m="1" x="960"/>
        <item m="1" x="2972"/>
        <item m="1" x="2004"/>
        <item m="1" x="3371"/>
        <item m="1" x="2810"/>
        <item m="1" x="2833"/>
        <item m="1" x="3007"/>
        <item m="1" x="4329"/>
        <item m="1" x="2048"/>
        <item m="1" x="1026"/>
        <item m="1" x="2953"/>
        <item m="1" x="4444"/>
        <item m="1" x="4249"/>
        <item m="1" x="3260"/>
        <item m="1" x="3061"/>
        <item m="1" x="2384"/>
        <item m="1" x="671"/>
        <item m="1" x="2210"/>
        <item m="1" x="2521"/>
        <item m="1" x="2207"/>
        <item m="1" x="2623"/>
        <item m="1" x="3306"/>
        <item m="1" x="732"/>
        <item m="1" x="619"/>
        <item m="1" x="4266"/>
        <item m="1" x="4485"/>
        <item m="1" x="4285"/>
        <item m="1" x="845"/>
        <item m="1" x="2020"/>
        <item m="1" x="3379"/>
        <item m="1" x="2960"/>
        <item m="1" x="3392"/>
        <item m="1" x="1385"/>
        <item m="1" x="2593"/>
        <item m="1" x="3594"/>
        <item m="1" x="3148"/>
        <item m="1" x="3558"/>
        <item m="1" x="1943"/>
        <item m="1" x="3129"/>
        <item m="1" x="4026"/>
        <item m="1" x="3323"/>
        <item m="1" x="4246"/>
        <item m="1" x="3122"/>
        <item m="1" x="1011"/>
        <item m="1" x="1145"/>
        <item m="1" x="1313"/>
        <item m="1" x="716"/>
        <item m="1" x="4126"/>
        <item m="1" x="3638"/>
        <item m="1" x="2222"/>
        <item m="1" x="4320"/>
        <item m="1" x="4282"/>
        <item m="1" x="959"/>
        <item m="1" x="4443"/>
        <item m="1" x="2342"/>
        <item m="1" x="1822"/>
        <item m="1" x="2415"/>
        <item m="1" x="1379"/>
        <item m="1" x="844"/>
        <item m="1" x="1868"/>
        <item m="1" x="2409"/>
        <item m="1" x="4100"/>
        <item m="1" x="4156"/>
        <item m="1" x="1925"/>
        <item m="1" x="2185"/>
        <item m="1" x="2167"/>
        <item m="1" x="4162"/>
        <item m="1" x="1896"/>
        <item m="1" x="4115"/>
        <item m="1" x="2686"/>
        <item m="1" x="2791"/>
        <item m="1" x="755"/>
        <item m="1" x="2041"/>
        <item m="1" x="2508"/>
        <item m="1" x="1124"/>
        <item m="1" x="3810"/>
        <item m="1" x="1941"/>
        <item m="1" x="2337"/>
        <item m="1" x="1128"/>
        <item m="1" x="838"/>
        <item m="1" x="3088"/>
        <item m="1" x="752"/>
        <item m="1" x="4422"/>
        <item m="1" x="4243"/>
        <item m="1" x="1775"/>
        <item m="1" x="3932"/>
        <item m="1" x="4008"/>
        <item m="1" x="2331"/>
        <item m="1" x="3737"/>
        <item m="1" x="2798"/>
        <item m="1" x="919"/>
        <item m="1" x="2800"/>
        <item m="1" x="4260"/>
        <item m="1" x="1872"/>
        <item m="1" x="1907"/>
        <item m="1" x="679"/>
        <item m="1" x="3762"/>
        <item m="1" x="3970"/>
        <item m="1" x="2155"/>
        <item m="1" x="3203"/>
        <item m="1" x="2097"/>
        <item m="1" x="2797"/>
        <item m="1" x="1050"/>
        <item m="1" x="2944"/>
        <item m="1" x="1961"/>
        <item m="1" x="1541"/>
        <item m="1" x="1081"/>
        <item m="1" x="2220"/>
        <item m="1" x="2238"/>
        <item m="1" x="3922"/>
        <item m="1" x="1791"/>
        <item m="1" x="1738"/>
        <item m="1" x="1230"/>
        <item m="1" x="957"/>
        <item m="1" x="2292"/>
        <item m="1" x="1044"/>
        <item m="1" x="2951"/>
        <item m="1" x="776"/>
        <item m="1" x="4364"/>
        <item m="1" x="3874"/>
        <item m="1" x="2792"/>
        <item m="1" x="1353"/>
        <item m="1" x="2816"/>
        <item m="1" x="2825"/>
        <item m="1" x="2011"/>
        <item m="1" x="2211"/>
        <item m="1" x="1890"/>
        <item m="1" x="2768"/>
        <item m="1" x="2719"/>
        <item m="1" x="2133"/>
        <item m="1" x="571"/>
        <item m="1" x="4056"/>
        <item m="1" x="4227"/>
        <item m="1" x="1265"/>
        <item m="1" x="1411"/>
        <item m="1" x="2571"/>
        <item m="1" x="3858"/>
        <item m="1" x="708"/>
        <item m="1" x="4229"/>
        <item m="1" x="3082"/>
        <item m="1" x="3731"/>
        <item m="1" x="674"/>
        <item m="1" x="4313"/>
        <item m="1" x="715"/>
        <item m="1" x="2028"/>
        <item m="1" x="3923"/>
        <item m="1" x="2443"/>
        <item m="1" x="2892"/>
        <item m="1" x="3569"/>
        <item m="1" x="1258"/>
        <item m="1" x="3321"/>
        <item m="1" x="2524"/>
        <item m="1" x="4173"/>
        <item m="1" x="2017"/>
        <item m="1" x="2280"/>
        <item m="1" x="2756"/>
        <item m="1" x="1965"/>
        <item m="1" x="3083"/>
        <item m="1" x="2217"/>
        <item m="1" x="1424"/>
        <item m="1" x="3964"/>
        <item m="1" x="596"/>
        <item m="1" x="976"/>
        <item m="1" x="1017"/>
        <item m="1" x="4054"/>
        <item m="1" x="3451"/>
        <item m="1" x="2277"/>
        <item m="1" x="1794"/>
        <item m="1" x="1054"/>
        <item m="1" x="4298"/>
        <item m="1" x="2141"/>
        <item m="1" x="2668"/>
        <item m="1" x="794"/>
        <item m="1" x="4319"/>
        <item m="1" x="2834"/>
        <item m="1" x="1302"/>
        <item m="1" x="1259"/>
        <item m="1" x="4457"/>
        <item m="1" x="3103"/>
        <item m="1" x="1698"/>
        <item m="1" x="3092"/>
        <item m="1" x="3865"/>
        <item m="1" x="2031"/>
        <item m="1" x="1970"/>
        <item m="1" x="666"/>
        <item m="1" x="3845"/>
        <item m="1" x="1082"/>
        <item m="1" x="2424"/>
        <item m="1" x="4103"/>
        <item m="1" x="4386"/>
        <item m="1" x="808"/>
        <item m="1" x="4271"/>
        <item m="1" x="3120"/>
        <item m="1" x="825"/>
        <item m="1" x="758"/>
        <item m="1" x="3961"/>
        <item m="1" x="3907"/>
        <item m="1" x="925"/>
        <item m="1" x="3963"/>
        <item m="1" x="2913"/>
        <item m="1" x="1542"/>
        <item m="1" x="3255"/>
        <item m="1" x="1324"/>
        <item m="1" x="2470"/>
        <item m="1" x="2296"/>
        <item m="1" x="4448"/>
        <item m="1" x="1753"/>
        <item m="1" x="1275"/>
        <item m="1" x="590"/>
        <item m="1" x="840"/>
        <item m="1" x="3637"/>
        <item m="1" x="1066"/>
        <item m="1" x="3557"/>
        <item m="1" x="560"/>
        <item m="1" x="3029"/>
        <item m="1" x="2100"/>
        <item m="1" x="3996"/>
        <item m="1" x="1608"/>
        <item m="1" x="4150"/>
        <item m="1" x="4125"/>
        <item m="1" x="2234"/>
        <item m="1" x="1683"/>
        <item m="1" x="698"/>
        <item m="1" x="4093"/>
        <item m="1" x="3246"/>
        <item m="1" x="3140"/>
        <item m="1" x="3362"/>
        <item m="1" x="1813"/>
        <item m="1" x="2652"/>
        <item m="1" x="2860"/>
        <item m="1" x="1882"/>
        <item m="1" x="1101"/>
        <item m="1" x="1886"/>
        <item m="1" x="2943"/>
        <item m="1" x="4001"/>
        <item m="1" x="1284"/>
        <item m="1" x="4478"/>
        <item m="1" x="986"/>
        <item m="1" x="3401"/>
        <item m="1" x="4358"/>
        <item m="1" x="3177"/>
        <item m="1" x="1533"/>
        <item m="1" x="1632"/>
        <item m="1" x="3132"/>
        <item m="1" x="3390"/>
        <item m="1" x="3991"/>
        <item m="1" x="1552"/>
        <item m="1" x="3209"/>
        <item m="1" x="2690"/>
        <item m="1" x="2596"/>
        <item m="1" x="3428"/>
        <item m="1" x="2647"/>
        <item m="1" x="2570"/>
        <item m="1" x="804"/>
        <item m="1" x="1007"/>
        <item m="1" x="1164"/>
        <item m="1" x="4294"/>
        <item m="1" x="3786"/>
        <item m="1" x="1210"/>
        <item m="1" x="3711"/>
        <item m="1" x="3575"/>
        <item m="1" x="1894"/>
        <item m="1" x="1789"/>
        <item m="1" x="3078"/>
        <item m="1" x="2054"/>
        <item m="1" x="2918"/>
        <item m="1" x="2064"/>
        <item m="1" x="567"/>
        <item m="1" x="1590"/>
        <item m="1" x="2626"/>
        <item m="1" x="3229"/>
        <item m="1" x="3880"/>
        <item m="1" x="1484"/>
        <item m="1" x="3299"/>
        <item m="1" x="841"/>
        <item m="1" x="895"/>
        <item m="1" x="3342"/>
        <item m="1" x="3877"/>
        <item m="1" x="3603"/>
        <item m="1" x="2145"/>
        <item m="1" x="2015"/>
        <item m="1" x="2713"/>
        <item m="1" x="2772"/>
        <item m="1" x="1657"/>
        <item m="1" x="3538"/>
        <item m="1" x="4296"/>
        <item m="1" x="3633"/>
        <item m="1" x="3275"/>
        <item m="1" x="3942"/>
        <item m="1" x="2209"/>
        <item m="1" x="782"/>
        <item m="1" x="1565"/>
        <item m="1" x="2625"/>
        <item m="1" x="1348"/>
        <item m="1" x="3418"/>
        <item m="1" x="3249"/>
        <item m="1" x="3864"/>
        <item m="1" x="1022"/>
        <item m="1" x="4158"/>
        <item m="1" x="3394"/>
        <item m="1" x="3801"/>
        <item m="1" x="3634"/>
        <item m="1" x="2554"/>
        <item m="1" x="632"/>
        <item m="1" x="4123"/>
        <item m="1" x="4215"/>
        <item m="1" x="1268"/>
        <item m="1" x="1374"/>
        <item m="1" x="1503"/>
        <item m="1" x="2045"/>
        <item m="1" x="773"/>
        <item m="1" x="4198"/>
        <item m="1" x="1021"/>
        <item m="1" x="3712"/>
        <item m="1" x="1951"/>
        <item m="1" x="2404"/>
        <item m="1" x="2576"/>
        <item m="1" x="1400"/>
        <item m="1" x="1568"/>
        <item m="1" x="2114"/>
        <item m="1" x="2611"/>
        <item m="1" x="626"/>
        <item m="1" x="2698"/>
        <item m="1" x="1641"/>
        <item m="1" x="2714"/>
        <item m="1" x="4318"/>
        <item m="1" x="1460"/>
        <item m="1" x="3514"/>
        <item m="1" x="2267"/>
        <item m="1" x="3019"/>
        <item m="1" x="2588"/>
        <item m="1" x="1433"/>
        <item m="1" x="3391"/>
        <item m="1" x="4094"/>
        <item m="1" x="3047"/>
        <item m="1" x="2008"/>
        <item m="1" x="1654"/>
        <item m="1" x="4041"/>
        <item m="1" x="3537"/>
        <item m="1" x="907"/>
        <item m="1" x="1409"/>
        <item m="1" x="3025"/>
        <item m="1" x="1885"/>
        <item m="1" x="3305"/>
        <item m="1" x="4095"/>
        <item m="1" x="3686"/>
        <item m="1" x="2290"/>
        <item m="1" x="2742"/>
        <item m="1" x="3472"/>
        <item m="1" x="987"/>
        <item m="1" x="3204"/>
        <item m="1" x="4316"/>
        <item m="1" x="1771"/>
        <item m="1" x="4534"/>
        <item m="1" x="2999"/>
        <item m="1" x="677"/>
        <item m="1" x="2563"/>
        <item m="1" x="3036"/>
        <item m="1" x="949"/>
        <item m="1" x="1504"/>
        <item m="1" x="3738"/>
        <item m="1" x="1528"/>
        <item m="1" x="1806"/>
        <item m="1" x="4379"/>
        <item m="1" x="2383"/>
        <item m="1" x="3919"/>
        <item m="1" x="805"/>
        <item m="1" x="723"/>
        <item m="1" x="2122"/>
        <item m="1" x="3422"/>
        <item m="1" x="3862"/>
        <item m="1" x="3398"/>
        <item m="1" x="662"/>
        <item m="1" x="2680"/>
        <item m="1" x="2899"/>
        <item m="1" x="2898"/>
        <item m="1" x="2872"/>
        <item m="1" x="583"/>
        <item m="1" x="3846"/>
        <item m="1" x="3366"/>
        <item m="1" x="4508"/>
        <item m="1" x="3277"/>
        <item m="1" x="3756"/>
        <item m="1" x="2543"/>
        <item m="1" x="1879"/>
        <item m="1" x="3774"/>
        <item m="1" x="3017"/>
        <item m="1" x="2365"/>
        <item m="1" x="3206"/>
        <item m="1" x="885"/>
        <item m="1" x="1291"/>
        <item m="1" x="3730"/>
        <item m="1" x="3777"/>
        <item m="1" x="4075"/>
        <item m="1" x="1865"/>
        <item m="1" x="1770"/>
        <item m="1" x="2482"/>
        <item m="1" x="638"/>
        <item m="1" x="3033"/>
        <item m="1" x="1735"/>
        <item m="1" x="1643"/>
        <item m="1" x="2672"/>
        <item m="1" x="2697"/>
        <item m="1" x="1335"/>
        <item m="1" x="3194"/>
        <item m="1" x="3004"/>
        <item m="1" x="1415"/>
        <item m="1" x="3794"/>
        <item m="1" x="1458"/>
        <item m="1" x="2468"/>
        <item m="1" x="910"/>
        <item m="1" x="1297"/>
        <item m="1" x="2789"/>
        <item m="1" x="2997"/>
        <item m="1" x="4045"/>
        <item m="1" x="1978"/>
        <item m="1" x="815"/>
        <item m="1" x="4371"/>
        <item m="1" x="3505"/>
        <item m="1" x="3454"/>
        <item m="1" x="4091"/>
        <item m="1" x="657"/>
        <item m="1" x="713"/>
        <item m="1" x="1490"/>
        <item m="1" x="3081"/>
        <item m="1" x="2998"/>
        <item m="1" x="3223"/>
        <item m="1" x="3579"/>
        <item m="1" x="3489"/>
        <item m="1" x="4133"/>
        <item m="1" x="1123"/>
        <item m="1" x="3287"/>
        <item m="1" x="2152"/>
        <item m="1" x="600"/>
        <item m="1" x="3568"/>
        <item m="1" x="1015"/>
        <item m="1" x="3935"/>
        <item m="1" x="588"/>
        <item m="1" x="1477"/>
        <item m="1" x="1475"/>
        <item m="1" x="3175"/>
        <item m="1" x="1914"/>
        <item m="1" x="2058"/>
        <item m="1" x="1002"/>
        <item m="1" x="2088"/>
        <item m="1" x="3632"/>
        <item m="1" x="3763"/>
        <item m="1" x="1075"/>
        <item m="1" x="1729"/>
        <item m="1" x="4384"/>
        <item m="1" x="1748"/>
        <item m="1" x="1975"/>
        <item m="1" x="2734"/>
        <item m="1" x="1548"/>
        <item m="1" x="722"/>
        <item m="1" x="757"/>
        <item m="1" x="4311"/>
        <item m="1" x="2438"/>
        <item m="1" x="1944"/>
        <item m="1" x="2559"/>
        <item m="1" x="3056"/>
        <item m="1" x="853"/>
        <item m="1" x="3642"/>
        <item m="1" x="2743"/>
        <item m="1" x="2108"/>
        <item m="1" x="2334"/>
        <item m="1" x="3992"/>
        <item m="1" x="2242"/>
        <item m="1" x="1607"/>
        <item m="1" x="2758"/>
        <item m="1" x="1692"/>
        <item m="1" x="3778"/>
        <item m="1" x="2481"/>
        <item m="1" x="2132"/>
        <item m="1" x="1368"/>
        <item m="1" x="1599"/>
        <item m="1" x="3282"/>
        <item m="1" x="3334"/>
        <item m="1" x="4083"/>
        <item m="1" x="4081"/>
        <item m="1" x="3071"/>
        <item m="1" x="4391"/>
        <item m="1" x="1023"/>
        <item m="1" x="1799"/>
        <item m="1" x="3735"/>
        <item m="1" x="1463"/>
        <item m="1" x="1876"/>
        <item m="1" x="2751"/>
        <item m="1" x="3427"/>
        <item m="1" x="2619"/>
        <item m="1" x="3848"/>
        <item m="1" x="2578"/>
        <item m="1" x="1622"/>
        <item m="1" x="3349"/>
        <item m="1" x="3703"/>
        <item m="1" x="676"/>
        <item m="1" x="4498"/>
        <item m="1" x="2664"/>
        <item m="1" x="706"/>
        <item m="1" x="3271"/>
        <item m="1" x="2814"/>
        <item m="1" x="866"/>
        <item m="1" x="3621"/>
        <item m="1" x="1958"/>
        <item m="1" x="2916"/>
        <item m="1" x="3529"/>
        <item m="1" x="3982"/>
        <item m="1" x="1850"/>
        <item m="1" x="1431"/>
        <item m="1" x="2059"/>
        <item m="1" x="3252"/>
        <item m="1" x="2927"/>
        <item m="1" x="3789"/>
        <item m="1" x="3588"/>
        <item m="1" x="4231"/>
        <item m="1" x="3782"/>
        <item m="1" x="1906"/>
        <item m="1" x="4439"/>
        <item m="1" x="2995"/>
        <item m="1" x="2755"/>
        <item m="1" x="3133"/>
        <item m="1" x="2584"/>
        <item m="1" x="2459"/>
        <item m="1" x="2341"/>
        <item m="1" x="4151"/>
        <item m="1" x="4387"/>
        <item m="1" x="2597"/>
        <item m="1" x="3108"/>
        <item m="1" x="2000"/>
        <item m="1" x="2691"/>
        <item m="1" x="1406"/>
        <item m="1" x="4096"/>
        <item m="1" x="2880"/>
        <item m="1" x="2886"/>
        <item m="1" x="3473"/>
        <item m="1" x="2022"/>
        <item m="1" x="724"/>
        <item m="1" x="2641"/>
        <item m="1" x="2928"/>
        <item m="1" x="1500"/>
        <item m="1" x="1386"/>
        <item m="1" x="889"/>
        <item m="1" x="3617"/>
        <item m="1" x="3217"/>
        <item m="1" x="4028"/>
        <item m="1" x="2877"/>
        <item m="1" x="3121"/>
        <item m="1" x="3570"/>
        <item m="1" x="2950"/>
        <item m="1" x="1337"/>
        <item m="1" x="3502"/>
        <item m="1" x="3008"/>
        <item m="1" x="3965"/>
        <item m="1" x="3344"/>
        <item m="1" x="4344"/>
        <item m="1" x="1845"/>
        <item m="1" x="3660"/>
        <item m="1" x="4268"/>
        <item m="1" x="2572"/>
        <item m="1" x="1464"/>
        <item m="1" x="3030"/>
        <item m="1" x="2973"/>
        <item m="1" x="791"/>
        <item m="1" x="2931"/>
        <item m="1" x="3382"/>
        <item m="1" x="2198"/>
        <item m="1" x="1107"/>
        <item m="1" x="3866"/>
        <item m="1" x="3011"/>
        <item m="1" x="4113"/>
        <item m="1" x="4543"/>
        <item m="1" x="2667"/>
        <item m="1" x="2942"/>
        <item m="1" x="4383"/>
        <item m="1" x="4410"/>
        <item m="1" x="2591"/>
        <item m="1" x="1639"/>
        <item m="1" x="3805"/>
        <item m="1" x="2805"/>
        <item m="1" x="4252"/>
        <item m="1" x="1298"/>
        <item m="1" x="1214"/>
        <item m="1" x="1801"/>
        <item m="1" x="1703"/>
        <item m="1" x="3139"/>
        <item m="1" x="2247"/>
        <item m="1" x="3597"/>
        <item m="1" x="3754"/>
        <item m="1" x="4004"/>
        <item m="1" x="2523"/>
        <item m="1" x="1505"/>
        <item m="1" x="2575"/>
        <item m="1" x="2665"/>
        <item m="1" x="828"/>
        <item m="1" x="3141"/>
        <item m="1" x="1878"/>
        <item m="1" x="2066"/>
        <item m="1" x="1624"/>
        <item m="1" x="3202"/>
        <item m="1" x="1309"/>
        <item m="1" x="4490"/>
        <item m="1" x="1751"/>
        <item m="1" x="1756"/>
        <item m="1" x="1897"/>
        <item m="1" x="2820"/>
        <item m="1" x="4281"/>
        <item m="1" x="1167"/>
        <item m="1" x="3972"/>
        <item m="1" x="958"/>
        <item m="1" x="2091"/>
        <item m="1" x="1947"/>
        <item m="1" x="2733"/>
        <item m="1" x="1267"/>
        <item m="1" x="1140"/>
        <item m="1" x="1446"/>
        <item m="1" x="2555"/>
        <item m="1" x="1330"/>
        <item m="1" x="3403"/>
        <item m="1" x="2255"/>
        <item m="1" x="4018"/>
        <item m="1" x="2624"/>
        <item m="1" x="2105"/>
        <item m="1" x="1148"/>
        <item m="1" x="1895"/>
        <item m="1" x="1836"/>
        <item m="1" x="4127"/>
        <item m="1" x="1997"/>
        <item m="1" x="2434"/>
        <item m="1" x="610"/>
        <item m="1" x="1767"/>
        <item m="1" x="2819"/>
        <item m="1" x="3201"/>
        <item m="1" x="2440"/>
        <item m="1" x="1510"/>
        <item m="1" x="3522"/>
        <item m="1" x="4114"/>
        <item m="1" x="4323"/>
        <item m="1" x="4432"/>
        <item m="1" x="4187"/>
        <item m="1" x="1750"/>
        <item m="1" x="1269"/>
        <item m="1" x="3102"/>
        <item m="1" x="2159"/>
        <item m="1" x="3119"/>
        <item m="1" x="4109"/>
        <item m="1" x="3065"/>
        <item m="1" x="3445"/>
        <item m="1" x="2350"/>
        <item m="1" x="4283"/>
        <item m="1" x="1783"/>
        <item m="1" x="3799"/>
        <item m="1" x="1777"/>
        <item m="1" x="2486"/>
        <item m="1" x="1892"/>
        <item m="1" x="2621"/>
        <item m="1" x="989"/>
        <item m="1" x="3225"/>
        <item m="1" x="868"/>
        <item m="1" x="3079"/>
        <item m="1" x="4124"/>
        <item m="1" x="1949"/>
        <item m="1" x="867"/>
        <item m="1" x="2036"/>
        <item m="1" x="3665"/>
        <item m="1" x="1202"/>
        <item m="1" x="1191"/>
        <item m="1" x="618"/>
        <item m="1" x="4458"/>
        <item m="1" x="2104"/>
        <item m="1" x="2070"/>
        <item m="1" x="2279"/>
        <item m="1" x="4321"/>
        <item m="1" x="1832"/>
        <item m="1" x="4062"/>
        <item m="1" x="2659"/>
        <item m="1" x="4167"/>
        <item m="1" x="2177"/>
        <item m="1" x="2587"/>
        <item m="1" x="1163"/>
        <item m="1" x="3573"/>
        <item m="1" x="1971"/>
        <item m="1" x="3160"/>
        <item m="1" x="4234"/>
        <item m="1" x="4009"/>
        <item m="1" x="2889"/>
        <item m="1" x="3297"/>
        <item m="1" x="2824"/>
        <item m="1" x="2413"/>
        <item m="1" x="3914"/>
        <item m="1" x="1287"/>
        <item m="1" x="2876"/>
        <item m="1" x="1201"/>
        <item m="1" x="1129"/>
        <item m="1" x="747"/>
        <item m="1" x="2137"/>
        <item m="1" x="1263"/>
        <item m="1" x="4021"/>
        <item m="1" x="1447"/>
        <item m="1" x="4007"/>
        <item m="1" x="4213"/>
        <item m="1" x="1068"/>
        <item m="1" x="3867"/>
        <item m="1" x="1378"/>
        <item m="1" x="2204"/>
        <item m="1" x="992"/>
        <item m="1" x="667"/>
        <item m="1" x="1809"/>
        <item m="1" x="2076"/>
        <item m="1" x="2283"/>
        <item m="1" x="1229"/>
        <item m="1" x="696"/>
        <item m="1" x="2029"/>
        <item m="1" x="1550"/>
        <item m="1" x="3772"/>
        <item m="1" x="2850"/>
        <item m="1" x="4531"/>
        <item m="1" x="801"/>
        <item m="1" x="3531"/>
        <item m="1" x="1248"/>
        <item m="1" x="831"/>
        <item m="1" x="2307"/>
        <item m="1" x="2431"/>
        <item m="1" x="3434"/>
        <item m="1" x="1606"/>
        <item m="1" x="3069"/>
        <item m="1" x="3468"/>
        <item m="1" x="3173"/>
        <item m="1" x="4481"/>
        <item m="1" x="1266"/>
        <item m="1" x="1990"/>
        <item m="1" x="1784"/>
        <item m="1" x="3921"/>
        <item m="1" x="4372"/>
        <item m="1" x="2517"/>
        <item m="1" x="3727"/>
        <item m="1" x="2422"/>
        <item m="1" x="964"/>
        <item m="1" x="2709"/>
        <item m="1" x="3179"/>
        <item m="1" x="3949"/>
        <item m="1" x="2954"/>
        <item m="1" x="2067"/>
        <item m="1" x="2614"/>
        <item m="1" x="4197"/>
        <item m="1" x="2109"/>
        <item m="1" x="1236"/>
        <item m="1" x="3620"/>
        <item m="1" x="1364"/>
        <item m="1" x="1494"/>
        <item m="1" x="4511"/>
        <item m="1" x="2435"/>
        <item m="1" x="2801"/>
        <item m="1" x="3231"/>
        <item m="1" x="2386"/>
        <item m="1" x="763"/>
        <item m="1" x="3717"/>
        <item m="1" x="3073"/>
        <item m="1" x="3839"/>
        <item m="1" x="3351"/>
        <item m="1" x="2425"/>
        <item m="1" x="3975"/>
        <item m="1" x="906"/>
        <item m="1" x="1120"/>
        <item m="1" x="948"/>
        <item m="1" x="2310"/>
        <item m="1" x="3167"/>
        <item m="1" x="3901"/>
        <item m="1" x="896"/>
        <item m="1" x="1874"/>
        <item m="1" x="2101"/>
        <item m="1" x="2308"/>
        <item m="1" x="3435"/>
        <item m="1" x="3850"/>
        <item m="1" x="1190"/>
        <item m="1" x="3787"/>
        <item m="1" x="4349"/>
        <item m="1" x="1757"/>
        <item m="1" x="1001"/>
        <item m="1" x="3267"/>
        <item m="1" x="3195"/>
        <item m="1" x="3307"/>
        <item m="1" x="3873"/>
        <item m="1" x="1029"/>
        <item m="1" x="4179"/>
        <item m="1" x="4066"/>
        <item m="1" x="3060"/>
        <item m="1" x="3532"/>
        <item m="1" x="663"/>
        <item m="1" x="1099"/>
        <item m="1" x="3172"/>
        <item m="1" x="829"/>
        <item m="1" x="1716"/>
        <item m="1" x="2681"/>
        <item m="1" x="1373"/>
        <item m="1" x="4235"/>
        <item m="1" x="4521"/>
        <item m="1" x="3110"/>
        <item m="1" x="3843"/>
        <item m="1" x="623"/>
        <item m="1" x="4504"/>
        <item m="1" x="2085"/>
        <item m="1" x="2323"/>
        <item m="1" x="2018"/>
        <item m="1" x="3166"/>
        <item m="1" x="1174"/>
        <item m="1" x="1538"/>
        <item m="1" x="3123"/>
        <item m="1" x="3109"/>
        <item m="1" x="4532"/>
        <item m="1" x="3456"/>
        <item m="1" x="4110"/>
        <item m="1" x="1805"/>
        <item m="1" x="2775"/>
        <item m="1" x="2444"/>
        <item m="1" x="897"/>
        <item m="1" x="1825"/>
        <item m="1" x="3995"/>
        <item m="1" x="1839"/>
        <item m="1" x="1787"/>
        <item m="1" x="2835"/>
        <item m="1" x="1387"/>
        <item m="1" x="3888"/>
        <item m="1" x="3950"/>
        <item m="1" x="2449"/>
        <item m="1" x="3536"/>
        <item m="1" x="1325"/>
        <item m="1" x="3971"/>
        <item m="1" x="3878"/>
        <item m="1" x="1937"/>
        <item m="1" x="3643"/>
        <item m="1" x="2147"/>
        <item m="1" x="2529"/>
        <item m="1" x="585"/>
        <item m="1" x="2281"/>
        <item m="1" x="1476"/>
        <item m="1" x="2932"/>
        <item m="1" x="2487"/>
        <item m="1" x="2776"/>
        <item m="1" x="3691"/>
        <item m="1" x="591"/>
        <item m="1" x="4417"/>
        <item m="1" x="2092"/>
        <item m="1" x="3345"/>
        <item m="1" x="2272"/>
        <item m="1" x="4424"/>
        <item m="1" x="3214"/>
        <item m="1" x="1755"/>
        <item m="1" x="3795"/>
        <item m="1" x="2172"/>
        <item m="1" x="3708"/>
        <item m="1" x="3604"/>
        <item m="1" x="1773"/>
        <item m="1" x="4291"/>
        <item m="1" x="2461"/>
        <item m="1" x="3985"/>
        <item m="1" x="3185"/>
        <item m="1" x="2455"/>
        <item m="1" x="2136"/>
        <item m="1" x="4174"/>
        <item m="1" x="951"/>
        <item m="1" x="4214"/>
        <item m="1" x="1823"/>
        <item m="1" x="890"/>
        <item m="1" x="3446"/>
        <item m="1" x="2503"/>
        <item m="1" x="3433"/>
        <item m="1" x="4244"/>
        <item m="1" x="1312"/>
        <item m="1" x="4452"/>
        <item m="1" x="3352"/>
        <item m="1" x="3162"/>
        <item m="1" x="2569"/>
        <item m="1" x="2124"/>
        <item m="1" x="4527"/>
        <item m="1" x="4050"/>
        <item m="1" x="1512"/>
        <item m="1" x="3944"/>
        <item m="1" x="4412"/>
        <item m="1" x="2373"/>
        <item m="1" x="586"/>
        <item m="1" x="1025"/>
        <item m="1" x="2666"/>
        <item m="1" x="3002"/>
        <item m="1" x="3835"/>
        <item m="1" x="2380"/>
        <item m="1" x="3607"/>
        <item m="1" x="4301"/>
        <item m="1" x="3009"/>
        <item m="1" x="3530"/>
        <item m="1" x="3335"/>
        <item m="1" x="1566"/>
        <item m="1" x="1948"/>
        <item m="1" x="2549"/>
        <item m="1" x="1264"/>
        <item m="1" x="3781"/>
        <item m="1" x="3496"/>
        <item m="1" x="697"/>
        <item m="1" x="2620"/>
        <item m="1" x="1991"/>
        <item m="1" x="2630"/>
        <item m="1" x="4528"/>
        <item m="1" x="2471"/>
        <item m="1" x="27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m="1" x="3792"/>
        <item m="1" x="3671"/>
        <item m="1" x="1705"/>
        <item m="1" x="3566"/>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44"/>
        <item x="45"/>
        <item x="46"/>
        <item x="47"/>
      </items>
    </pivotField>
    <pivotField compact="0" outline="0" showAll="0" defaultSubtotal="0"/>
    <pivotField compact="0" outline="0" showAll="0" defaultSubtotal="0"/>
    <pivotField compact="0" outline="0" showAll="0" defaultSubtotal="0"/>
    <pivotField axis="axisRow" compact="0" outline="0" showAll="0" defaultSubtotal="0">
      <items count="4639">
        <item m="1" x="4624"/>
        <item m="1" x="4625"/>
        <item m="1" x="4626"/>
        <item m="1" x="4627"/>
        <item m="1" x="855"/>
        <item m="1" x="1879"/>
        <item m="1" x="1880"/>
        <item m="1" x="1881"/>
        <item m="1" x="2300"/>
        <item m="1" x="2312"/>
        <item m="1" x="2313"/>
        <item m="1" x="668"/>
        <item m="1" x="767"/>
        <item m="1" x="1835"/>
        <item m="1" x="2435"/>
        <item m="1" x="3711"/>
        <item m="1" x="822"/>
        <item m="1" x="1882"/>
        <item m="1" x="2468"/>
        <item m="1" x="679"/>
        <item m="1" x="690"/>
        <item m="1" x="701"/>
        <item m="1" x="734"/>
        <item m="1" x="745"/>
        <item m="1" x="756"/>
        <item m="1" x="789"/>
        <item m="1" x="811"/>
        <item m="1" x="669"/>
        <item m="1" x="768"/>
        <item m="1" x="1836"/>
        <item m="1" x="2436"/>
        <item m="1" x="3712"/>
        <item m="1" x="823"/>
        <item m="1" x="1883"/>
        <item m="1" x="2469"/>
        <item m="1" x="680"/>
        <item m="1" x="691"/>
        <item m="1" x="702"/>
        <item m="1" x="735"/>
        <item m="1" x="746"/>
        <item m="1" x="757"/>
        <item m="1" x="790"/>
        <item m="1" x="812"/>
        <item m="1" x="670"/>
        <item m="1" x="769"/>
        <item m="1" x="1837"/>
        <item m="1" x="2437"/>
        <item m="1" x="3713"/>
        <item m="1" x="824"/>
        <item m="1" x="1884"/>
        <item m="1" x="2470"/>
        <item m="1" x="681"/>
        <item m="1" x="692"/>
        <item m="1" x="703"/>
        <item m="1" x="736"/>
        <item m="1" x="747"/>
        <item m="1" x="758"/>
        <item m="1" x="791"/>
        <item m="1" x="813"/>
        <item m="1" x="671"/>
        <item m="1" x="770"/>
        <item m="1" x="1838"/>
        <item m="1" x="2438"/>
        <item m="1" x="3714"/>
        <item m="1" x="825"/>
        <item m="1" x="1885"/>
        <item m="1" x="2471"/>
        <item m="1" x="682"/>
        <item m="1" x="693"/>
        <item m="1" x="704"/>
        <item m="1" x="737"/>
        <item m="1" x="748"/>
        <item m="1" x="759"/>
        <item m="1" x="792"/>
        <item m="1" x="814"/>
        <item m="1" x="672"/>
        <item m="1" x="771"/>
        <item m="1" x="1839"/>
        <item m="1" x="2439"/>
        <item m="1" x="3715"/>
        <item m="1" x="826"/>
        <item m="1" x="1886"/>
        <item m="1" x="2472"/>
        <item m="1" x="683"/>
        <item m="1" x="694"/>
        <item m="1" x="705"/>
        <item m="1" x="738"/>
        <item m="1" x="749"/>
        <item m="1" x="760"/>
        <item m="1" x="793"/>
        <item m="1" x="815"/>
        <item m="1" x="673"/>
        <item m="1" x="772"/>
        <item m="1" x="1840"/>
        <item m="1" x="2440"/>
        <item m="1" x="3716"/>
        <item m="1" x="827"/>
        <item m="1" x="1887"/>
        <item m="1" x="2473"/>
        <item m="1" x="684"/>
        <item m="1" x="695"/>
        <item m="1" x="706"/>
        <item m="1" x="739"/>
        <item m="1" x="750"/>
        <item m="1" x="761"/>
        <item m="1" x="794"/>
        <item m="1" x="816"/>
        <item m="1" x="674"/>
        <item m="1" x="773"/>
        <item m="1" x="1841"/>
        <item m="1" x="2441"/>
        <item m="1" x="3717"/>
        <item m="1" x="828"/>
        <item m="1" x="1888"/>
        <item m="1" x="2474"/>
        <item m="1" x="685"/>
        <item m="1" x="696"/>
        <item m="1" x="707"/>
        <item m="1" x="740"/>
        <item m="1" x="751"/>
        <item m="1" x="762"/>
        <item m="1" x="795"/>
        <item m="1" x="817"/>
        <item m="1" x="675"/>
        <item m="1" x="774"/>
        <item m="1" x="1842"/>
        <item m="1" x="2442"/>
        <item m="1" x="3718"/>
        <item m="1" x="829"/>
        <item m="1" x="1889"/>
        <item m="1" x="2475"/>
        <item m="1" x="686"/>
        <item m="1" x="697"/>
        <item m="1" x="708"/>
        <item m="1" x="741"/>
        <item m="1" x="752"/>
        <item m="1" x="763"/>
        <item m="1" x="796"/>
        <item m="1" x="818"/>
        <item m="1" x="676"/>
        <item m="1" x="775"/>
        <item m="1" x="1843"/>
        <item m="1" x="2443"/>
        <item m="1" x="3719"/>
        <item m="1" x="830"/>
        <item m="1" x="1890"/>
        <item m="1" x="2476"/>
        <item m="1" x="687"/>
        <item m="1" x="698"/>
        <item m="1" x="709"/>
        <item m="1" x="742"/>
        <item m="1" x="753"/>
        <item m="1" x="764"/>
        <item m="1" x="797"/>
        <item m="1" x="819"/>
        <item m="1" x="677"/>
        <item m="1" x="776"/>
        <item m="1" x="1844"/>
        <item m="1" x="2444"/>
        <item m="1" x="3720"/>
        <item m="1" x="831"/>
        <item m="1" x="1891"/>
        <item m="1" x="2477"/>
        <item m="1" x="688"/>
        <item m="1" x="699"/>
        <item m="1" x="710"/>
        <item m="1" x="743"/>
        <item m="1" x="754"/>
        <item m="1" x="765"/>
        <item m="1" x="798"/>
        <item m="1" x="820"/>
        <item m="1" x="678"/>
        <item m="1" x="777"/>
        <item m="1" x="1845"/>
        <item m="1" x="2445"/>
        <item m="1" x="3721"/>
        <item m="1" x="832"/>
        <item m="1" x="1892"/>
        <item m="1" x="2478"/>
        <item m="1" x="689"/>
        <item m="1" x="700"/>
        <item m="1" x="711"/>
        <item m="1" x="744"/>
        <item m="1" x="755"/>
        <item m="1" x="766"/>
        <item m="1" x="799"/>
        <item m="1" x="821"/>
        <item m="1" x="778"/>
        <item m="1" x="844"/>
        <item m="1" x="878"/>
        <item m="1" x="911"/>
        <item m="1" x="999"/>
        <item m="1" x="1120"/>
        <item m="1" x="1406"/>
        <item m="1" x="1538"/>
        <item m="1" x="1571"/>
        <item m="1" x="1549"/>
        <item m="1" x="1604"/>
        <item m="1" x="1637"/>
        <item m="1" x="1670"/>
        <item m="1" x="1703"/>
        <item m="1" x="1714"/>
        <item m="1" x="1736"/>
        <item m="1" x="1802"/>
        <item m="1" x="1824"/>
        <item m="1" x="1516"/>
        <item m="1" x="1813"/>
        <item m="1" x="1868"/>
        <item m="1" x="1926"/>
        <item m="1" x="1959"/>
        <item m="1" x="2036"/>
        <item m="1" x="2058"/>
        <item m="1" x="2124"/>
        <item m="1" x="2267"/>
        <item m="1" x="2301"/>
        <item m="1" x="2347"/>
        <item m="1" x="2391"/>
        <item m="1" x="2512"/>
        <item m="1" x="2523"/>
        <item m="1" x="1857"/>
        <item m="1" x="1915"/>
        <item m="1" x="2289"/>
        <item m="1" x="2336"/>
        <item m="1" x="2380"/>
        <item m="1" x="2424"/>
        <item m="1" x="2457"/>
        <item m="1" x="2501"/>
        <item m="1" x="3293"/>
        <item m="1" x="3326"/>
        <item m="1" x="2446"/>
        <item m="1" x="2490"/>
        <item m="1" x="2545"/>
        <item m="1" x="2644"/>
        <item m="1" x="3304"/>
        <item m="1" x="3700"/>
        <item m="1" x="3777"/>
        <item m="1" x="3843"/>
        <item m="1" x="4558"/>
        <item m="1" x="4613"/>
        <item m="1" x="3722"/>
        <item m="1" x="3788"/>
        <item m="1" x="3854"/>
        <item m="1" x="3953"/>
        <item m="1" x="4052"/>
        <item m="1" x="4261"/>
        <item m="1" x="4492"/>
        <item m="1" x="4525"/>
        <item m="1" x="4580"/>
        <item m="1" x="3667"/>
        <item m="1" x="3733"/>
        <item m="1" x="3799"/>
        <item m="1" x="3865"/>
        <item m="1" x="3964"/>
        <item m="1" x="4063"/>
        <item m="1" x="4272"/>
        <item m="1" x="4503"/>
        <item m="1" x="4536"/>
        <item m="1" x="4591"/>
        <item m="1" x="3678"/>
        <item m="1" x="3744"/>
        <item m="1" x="3810"/>
        <item m="1" x="3876"/>
        <item m="1" x="3975"/>
        <item m="1" x="4074"/>
        <item m="1" x="4283"/>
        <item m="1" x="4514"/>
        <item m="1" x="4547"/>
        <item m="1" x="4602"/>
        <item m="1" x="3689"/>
        <item m="1" x="3755"/>
        <item m="1" x="3821"/>
        <item m="1" x="4569"/>
        <item m="1" x="4628"/>
        <item m="1" x="657"/>
        <item m="1" x="800"/>
        <item m="1" x="856"/>
        <item m="1" x="889"/>
        <item m="1" x="1582"/>
        <item m="1" x="1615"/>
        <item m="1" x="1648"/>
        <item m="1" x="1681"/>
        <item m="1" x="1846"/>
        <item m="1" x="1893"/>
        <item m="1" x="1937"/>
        <item m="1" x="2025"/>
        <item m="1" x="2047"/>
        <item m="1" x="2278"/>
        <item m="1" x="2314"/>
        <item m="1" x="2358"/>
        <item m="1" x="2402"/>
        <item m="1" x="2413"/>
        <item m="1" x="1970"/>
        <item m="1" x="1981"/>
        <item m="1" x="1992"/>
        <item m="1" x="2003"/>
        <item m="1" x="2014"/>
        <item m="1" x="833"/>
        <item m="1" x="867"/>
        <item m="1" x="900"/>
        <item m="1" x="988"/>
        <item m="1" x="1109"/>
        <item m="1" x="1395"/>
        <item m="1" x="1527"/>
        <item m="1" x="1560"/>
        <item m="1" x="1593"/>
        <item m="1" x="1626"/>
        <item m="1" x="1659"/>
        <item m="1" x="1692"/>
        <item m="1" x="1894"/>
        <item m="1" x="1938"/>
        <item m="1" x="2315"/>
        <item m="1" x="2359"/>
        <item m="1" x="2479"/>
        <item m="1" x="2534"/>
        <item m="1" x="2633"/>
        <item m="1" x="2787"/>
        <item m="1" x="3051"/>
        <item m="1" x="3260"/>
        <item m="1" x="3282"/>
        <item m="1" x="3315"/>
        <item m="1" x="3348"/>
        <item m="1" x="3337"/>
        <item m="1" x="3359"/>
        <item m="1" x="3370"/>
        <item m="1" x="3381"/>
        <item m="1" x="3491"/>
        <item m="1" x="3634"/>
        <item m="1" x="3656"/>
        <item m="1" x="3766"/>
        <item m="1" x="3832"/>
        <item m="1" x="3920"/>
        <item m="1" x="4030"/>
        <item m="1" x="4151"/>
        <item m="1" x="2556"/>
        <item m="1" x="2567"/>
        <item m="1" x="2578"/>
        <item m="1" x="2589"/>
        <item m="1" x="3887"/>
        <item m="1" x="3898"/>
        <item m="1" x="3909"/>
        <item m="1" x="922"/>
        <item m="1" x="933"/>
        <item m="1" x="2600"/>
        <item m="1" x="2611"/>
        <item m="1" x="2622"/>
        <item m="1" x="3931"/>
        <item m="1" x="3942"/>
        <item m="1" x="944"/>
        <item m="1" x="955"/>
        <item m="1" x="966"/>
        <item m="1" x="977"/>
        <item m="1" x="2655"/>
        <item m="1" x="2666"/>
        <item m="1" x="2677"/>
        <item m="1" x="2688"/>
        <item m="1" x="2699"/>
        <item m="1" x="2710"/>
        <item m="1" x="3986"/>
        <item m="1" x="3997"/>
        <item m="1" x="4008"/>
        <item m="1" x="4019"/>
        <item m="1" x="1010"/>
        <item m="1" x="1021"/>
        <item m="1" x="1032"/>
        <item m="1" x="1043"/>
        <item m="1" x="1054"/>
        <item m="1" x="2721"/>
        <item m="1" x="2732"/>
        <item m="1" x="2743"/>
        <item m="1" x="2754"/>
        <item m="1" x="2765"/>
        <item m="1" x="2776"/>
        <item m="1" x="2798"/>
        <item m="1" x="4041"/>
        <item m="1" x="1065"/>
        <item m="1" x="1076"/>
        <item m="1" x="1087"/>
        <item m="1" x="1098"/>
        <item m="1" x="2069"/>
        <item m="1" x="2080"/>
        <item m="1" x="2091"/>
        <item m="1" x="2102"/>
        <item m="1" x="2113"/>
        <item m="1" x="2908"/>
        <item m="1" x="2919"/>
        <item m="1" x="2941"/>
        <item m="1" x="2963"/>
        <item m="1" x="2996"/>
        <item m="1" x="4162"/>
        <item m="1" x="4173"/>
        <item m="1" x="4195"/>
        <item m="1" x="4217"/>
        <item m="1" x="4239"/>
        <item m="1" x="4250"/>
        <item m="1" x="1230"/>
        <item m="1" x="1241"/>
        <item m="1" x="1263"/>
        <item m="1" x="1285"/>
        <item m="1" x="1307"/>
        <item m="1" x="1329"/>
        <item m="1" x="2135"/>
        <item m="1" x="2146"/>
        <item m="1" x="2168"/>
        <item m="1" x="2190"/>
        <item m="1" x="2809"/>
        <item m="1" x="2820"/>
        <item m="1" x="2831"/>
        <item m="1" x="2842"/>
        <item m="1" x="2853"/>
        <item m="1" x="2864"/>
        <item m="1" x="2875"/>
        <item m="1" x="2886"/>
        <item m="1" x="2897"/>
        <item m="1" x="3392"/>
        <item m="1" x="3403"/>
        <item m="1" x="3414"/>
        <item m="1" x="3425"/>
        <item m="1" x="3436"/>
        <item m="1" x="3447"/>
        <item m="1" x="3458"/>
        <item m="1" x="3469"/>
        <item m="1" x="4085"/>
        <item m="1" x="4096"/>
        <item m="1" x="4107"/>
        <item m="1" x="4118"/>
        <item m="1" x="4129"/>
        <item m="1" x="4140"/>
        <item m="1" x="1131"/>
        <item m="1" x="1142"/>
        <item m="1" x="1153"/>
        <item m="1" x="1164"/>
        <item m="1" x="1175"/>
        <item m="1" x="1186"/>
        <item m="1" x="1197"/>
        <item m="1" x="1208"/>
        <item m="1" x="1219"/>
        <item m="1" x="1725"/>
        <item m="1" x="2920"/>
        <item m="1" x="2942"/>
        <item m="1" x="2964"/>
        <item m="1" x="2985"/>
        <item m="1" x="2997"/>
        <item m="1" x="3018"/>
        <item m="1" x="3029"/>
        <item m="1" x="3040"/>
        <item m="1" x="3062"/>
        <item m="1" x="3480"/>
        <item m="1" x="4174"/>
        <item m="1" x="4196"/>
        <item m="1" x="4218"/>
        <item m="1" x="1242"/>
        <item m="1" x="1264"/>
        <item m="1" x="1286"/>
        <item m="1" x="1308"/>
        <item m="1" x="1330"/>
        <item m="1" x="1351"/>
        <item m="1" x="1362"/>
        <item m="1" x="1373"/>
        <item m="1" x="1384"/>
        <item m="1" x="2147"/>
        <item m="1" x="2169"/>
        <item m="1" x="2191"/>
        <item m="1" x="2212"/>
        <item m="1" x="2223"/>
        <item m="1" x="2234"/>
        <item m="1" x="2245"/>
        <item m="1" x="2256"/>
        <item m="1" x="3073"/>
        <item m="1" x="3084"/>
        <item m="1" x="3095"/>
        <item m="1" x="3106"/>
        <item m="1" x="3117"/>
        <item m="1" x="3128"/>
        <item m="1" x="3139"/>
        <item m="1" x="3150"/>
        <item m="1" x="3161"/>
        <item m="1" x="3502"/>
        <item m="1" x="3513"/>
        <item m="1" x="3524"/>
        <item m="1" x="4305"/>
        <item m="1" x="4327"/>
        <item m="1" x="4338"/>
        <item m="1" x="4349"/>
        <item m="1" x="4360"/>
        <item m="1" x="4371"/>
        <item m="1" x="4382"/>
        <item m="1" x="1417"/>
        <item m="1" x="1428"/>
        <item m="1" x="1439"/>
        <item m="1" x="1450"/>
        <item m="1" x="1461"/>
        <item m="1" x="1472"/>
        <item m="1" x="1483"/>
        <item m="1" x="1494"/>
        <item m="1" x="1505"/>
        <item m="1" x="1747"/>
        <item m="1" x="1758"/>
        <item m="1" x="1769"/>
        <item m="1" x="1780"/>
        <item m="1" x="1791"/>
        <item m="1" x="3172"/>
        <item m="1" x="3183"/>
        <item m="1" x="3194"/>
        <item m="1" x="3205"/>
        <item m="1" x="3216"/>
        <item m="1" x="3227"/>
        <item m="1" x="3238"/>
        <item m="1" x="3249"/>
        <item m="1" x="3271"/>
        <item m="1" x="3535"/>
        <item m="1" x="3546"/>
        <item m="1" x="3557"/>
        <item m="1" x="3568"/>
        <item m="1" x="3579"/>
        <item m="1" x="3590"/>
        <item m="1" x="3601"/>
        <item m="1" x="3612"/>
        <item m="1" x="3623"/>
        <item m="1" x="3645"/>
        <item m="1" x="4294"/>
        <item m="1" x="4306"/>
        <item m="1" x="4393"/>
        <item m="1" x="4404"/>
        <item m="1" x="4415"/>
        <item m="1" x="4426"/>
        <item m="1" x="4437"/>
        <item m="1" x="4448"/>
        <item m="1" x="4459"/>
        <item m="1" x="4470"/>
        <item m="1" x="4481"/>
        <item m="1" x="712"/>
        <item m="1" x="723"/>
        <item m="1" x="779"/>
        <item m="1" x="845"/>
        <item m="1" x="879"/>
        <item m="1" x="912"/>
        <item m="1" x="1000"/>
        <item m="1" x="1121"/>
        <item m="1" x="1407"/>
        <item m="1" x="1539"/>
        <item m="1" x="1572"/>
        <item m="1" x="1550"/>
        <item m="1" x="1605"/>
        <item m="1" x="1638"/>
        <item m="1" x="1671"/>
        <item m="1" x="1704"/>
        <item m="1" x="1715"/>
        <item m="1" x="1737"/>
        <item m="1" x="1803"/>
        <item m="1" x="1825"/>
        <item m="1" x="1517"/>
        <item m="1" x="1814"/>
        <item m="1" x="1869"/>
        <item m="1" x="1927"/>
        <item m="1" x="1960"/>
        <item m="1" x="2037"/>
        <item m="1" x="2059"/>
        <item m="1" x="2125"/>
        <item m="1" x="2268"/>
        <item m="1" x="2302"/>
        <item m="1" x="2348"/>
        <item m="1" x="2392"/>
        <item m="1" x="2513"/>
        <item m="1" x="2524"/>
        <item m="1" x="1858"/>
        <item m="1" x="1916"/>
        <item m="1" x="2290"/>
        <item m="1" x="2337"/>
        <item m="1" x="2381"/>
        <item m="1" x="2425"/>
        <item m="1" x="2458"/>
        <item m="1" x="2502"/>
        <item m="1" x="3294"/>
        <item m="1" x="3327"/>
        <item m="1" x="2447"/>
        <item m="1" x="2491"/>
        <item m="1" x="2546"/>
        <item m="1" x="2645"/>
        <item m="1" x="3305"/>
        <item m="1" x="3701"/>
        <item m="1" x="3778"/>
        <item m="1" x="3844"/>
        <item m="1" x="4559"/>
        <item m="1" x="4614"/>
        <item m="1" x="3723"/>
        <item m="1" x="3789"/>
        <item m="1" x="3855"/>
        <item m="1" x="3954"/>
        <item m="1" x="4053"/>
        <item m="1" x="4262"/>
        <item m="1" x="4493"/>
        <item m="1" x="4526"/>
        <item m="1" x="4581"/>
        <item m="1" x="3668"/>
        <item m="1" x="3734"/>
        <item m="1" x="3800"/>
        <item m="1" x="3866"/>
        <item m="1" x="3965"/>
        <item m="1" x="4064"/>
        <item m="1" x="4273"/>
        <item m="1" x="4504"/>
        <item m="1" x="4537"/>
        <item m="1" x="4592"/>
        <item m="1" x="3679"/>
        <item m="1" x="3745"/>
        <item m="1" x="3811"/>
        <item m="1" x="3877"/>
        <item m="1" x="3976"/>
        <item m="1" x="4075"/>
        <item m="1" x="4284"/>
        <item m="1" x="4515"/>
        <item m="1" x="4548"/>
        <item m="1" x="4603"/>
        <item m="1" x="3690"/>
        <item m="1" x="3756"/>
        <item m="1" x="3822"/>
        <item m="1" x="4570"/>
        <item m="1" x="4629"/>
        <item m="1" x="658"/>
        <item m="1" x="801"/>
        <item m="1" x="857"/>
        <item m="1" x="890"/>
        <item m="1" x="1583"/>
        <item m="1" x="1616"/>
        <item m="1" x="1649"/>
        <item m="1" x="1682"/>
        <item m="1" x="1847"/>
        <item m="1" x="1895"/>
        <item m="1" x="1939"/>
        <item m="1" x="2026"/>
        <item m="1" x="2048"/>
        <item m="1" x="2279"/>
        <item m="1" x="2316"/>
        <item m="1" x="2360"/>
        <item m="1" x="2403"/>
        <item m="1" x="2414"/>
        <item m="1" x="1971"/>
        <item m="1" x="1982"/>
        <item m="1" x="1993"/>
        <item m="1" x="2004"/>
        <item m="1" x="2015"/>
        <item m="1" x="834"/>
        <item m="1" x="868"/>
        <item m="1" x="901"/>
        <item m="1" x="989"/>
        <item m="1" x="1110"/>
        <item m="1" x="1396"/>
        <item m="1" x="1528"/>
        <item m="1" x="1561"/>
        <item m="1" x="1594"/>
        <item m="1" x="1627"/>
        <item m="1" x="1660"/>
        <item m="1" x="1693"/>
        <item m="1" x="1896"/>
        <item m="1" x="1940"/>
        <item m="1" x="2317"/>
        <item m="1" x="2361"/>
        <item m="1" x="2480"/>
        <item m="1" x="2535"/>
        <item m="1" x="2634"/>
        <item m="1" x="2788"/>
        <item m="1" x="3052"/>
        <item m="1" x="3261"/>
        <item m="1" x="3283"/>
        <item m="1" x="3316"/>
        <item m="1" x="3349"/>
        <item m="1" x="3338"/>
        <item m="1" x="3360"/>
        <item m="1" x="3371"/>
        <item m="1" x="3382"/>
        <item m="1" x="3492"/>
        <item m="1" x="3635"/>
        <item m="1" x="3657"/>
        <item m="1" x="3767"/>
        <item m="1" x="3833"/>
        <item m="1" x="3921"/>
        <item m="1" x="4031"/>
        <item m="1" x="4152"/>
        <item m="1" x="2557"/>
        <item m="1" x="2568"/>
        <item m="1" x="2579"/>
        <item m="1" x="2590"/>
        <item m="1" x="3888"/>
        <item m="1" x="3899"/>
        <item m="1" x="3910"/>
        <item m="1" x="923"/>
        <item m="1" x="934"/>
        <item m="1" x="2601"/>
        <item m="1" x="2612"/>
        <item m="1" x="2623"/>
        <item m="1" x="3932"/>
        <item m="1" x="3943"/>
        <item m="1" x="945"/>
        <item m="1" x="956"/>
        <item m="1" x="967"/>
        <item m="1" x="978"/>
        <item m="1" x="2656"/>
        <item m="1" x="2667"/>
        <item m="1" x="2678"/>
        <item m="1" x="2689"/>
        <item m="1" x="2700"/>
        <item m="1" x="2711"/>
        <item m="1" x="3987"/>
        <item m="1" x="3998"/>
        <item m="1" x="4009"/>
        <item m="1" x="4020"/>
        <item m="1" x="1011"/>
        <item m="1" x="1022"/>
        <item m="1" x="1033"/>
        <item m="1" x="1044"/>
        <item m="1" x="1055"/>
        <item m="1" x="2722"/>
        <item m="1" x="2733"/>
        <item m="1" x="2744"/>
        <item m="1" x="2755"/>
        <item m="1" x="2766"/>
        <item m="1" x="2777"/>
        <item m="1" x="2799"/>
        <item m="1" x="4042"/>
        <item m="1" x="1066"/>
        <item m="1" x="1077"/>
        <item m="1" x="1088"/>
        <item m="1" x="1099"/>
        <item m="1" x="2070"/>
        <item m="1" x="2081"/>
        <item m="1" x="2092"/>
        <item m="1" x="2103"/>
        <item m="1" x="2114"/>
        <item m="1" x="2909"/>
        <item m="1" x="2921"/>
        <item m="1" x="2943"/>
        <item m="1" x="2965"/>
        <item m="1" x="2998"/>
        <item m="1" x="4163"/>
        <item m="1" x="4175"/>
        <item m="1" x="4197"/>
        <item m="1" x="4219"/>
        <item m="1" x="4240"/>
        <item m="1" x="4251"/>
        <item m="1" x="1231"/>
        <item m="1" x="1243"/>
        <item m="1" x="1265"/>
        <item m="1" x="1287"/>
        <item m="1" x="1309"/>
        <item m="1" x="1331"/>
        <item m="1" x="2136"/>
        <item m="1" x="2148"/>
        <item m="1" x="2170"/>
        <item m="1" x="2192"/>
        <item m="1" x="2810"/>
        <item m="1" x="2821"/>
        <item m="1" x="2832"/>
        <item m="1" x="2843"/>
        <item m="1" x="2854"/>
        <item m="1" x="2865"/>
        <item m="1" x="2876"/>
        <item m="1" x="2887"/>
        <item m="1" x="2898"/>
        <item m="1" x="3393"/>
        <item m="1" x="3404"/>
        <item m="1" x="3415"/>
        <item m="1" x="3426"/>
        <item m="1" x="3437"/>
        <item m="1" x="3448"/>
        <item m="1" x="3459"/>
        <item m="1" x="3470"/>
        <item m="1" x="4086"/>
        <item m="1" x="4097"/>
        <item m="1" x="4108"/>
        <item m="1" x="4119"/>
        <item m="1" x="4130"/>
        <item m="1" x="4141"/>
        <item m="1" x="1132"/>
        <item m="1" x="1143"/>
        <item m="1" x="1154"/>
        <item m="1" x="1165"/>
        <item m="1" x="1176"/>
        <item m="1" x="1187"/>
        <item m="1" x="1198"/>
        <item m="1" x="1209"/>
        <item m="1" x="1220"/>
        <item m="1" x="1726"/>
        <item m="1" x="2922"/>
        <item m="1" x="2944"/>
        <item m="1" x="2966"/>
        <item m="1" x="2986"/>
        <item m="1" x="2999"/>
        <item m="1" x="3019"/>
        <item m="1" x="3030"/>
        <item m="1" x="3041"/>
        <item m="1" x="3063"/>
        <item m="1" x="3481"/>
        <item m="1" x="4176"/>
        <item m="1" x="4198"/>
        <item m="1" x="4220"/>
        <item m="1" x="1244"/>
        <item m="1" x="1266"/>
        <item m="1" x="1288"/>
        <item m="1" x="1310"/>
        <item m="1" x="1332"/>
        <item m="1" x="1352"/>
        <item m="1" x="1363"/>
        <item m="1" x="1374"/>
        <item m="1" x="1385"/>
        <item m="1" x="2149"/>
        <item m="1" x="2171"/>
        <item m="1" x="2193"/>
        <item m="1" x="2213"/>
        <item m="1" x="2224"/>
        <item m="1" x="2235"/>
        <item m="1" x="2246"/>
        <item m="1" x="2257"/>
        <item m="1" x="3074"/>
        <item m="1" x="3085"/>
        <item m="1" x="3096"/>
        <item m="1" x="3107"/>
        <item m="1" x="3118"/>
        <item m="1" x="3129"/>
        <item m="1" x="3140"/>
        <item m="1" x="3151"/>
        <item m="1" x="3162"/>
        <item m="1" x="3503"/>
        <item m="1" x="3514"/>
        <item m="1" x="3525"/>
        <item m="1" x="4307"/>
        <item m="1" x="4328"/>
        <item m="1" x="4339"/>
        <item m="1" x="4350"/>
        <item m="1" x="4361"/>
        <item m="1" x="4372"/>
        <item m="1" x="4383"/>
        <item m="1" x="1418"/>
        <item m="1" x="1429"/>
        <item m="1" x="1440"/>
        <item m="1" x="1451"/>
        <item m="1" x="1462"/>
        <item m="1" x="1473"/>
        <item m="1" x="1484"/>
        <item m="1" x="1495"/>
        <item m="1" x="1506"/>
        <item m="1" x="1748"/>
        <item m="1" x="1759"/>
        <item m="1" x="1770"/>
        <item m="1" x="1781"/>
        <item m="1" x="1792"/>
        <item m="1" x="3173"/>
        <item m="1" x="3184"/>
        <item m="1" x="3195"/>
        <item m="1" x="3206"/>
        <item m="1" x="3217"/>
        <item m="1" x="3228"/>
        <item m="1" x="3239"/>
        <item m="1" x="3250"/>
        <item m="1" x="3272"/>
        <item m="1" x="3536"/>
        <item m="1" x="3547"/>
        <item m="1" x="3558"/>
        <item m="1" x="3569"/>
        <item m="1" x="3580"/>
        <item m="1" x="3591"/>
        <item m="1" x="3602"/>
        <item m="1" x="3613"/>
        <item m="1" x="3624"/>
        <item m="1" x="3646"/>
        <item m="1" x="4295"/>
        <item m="1" x="4308"/>
        <item m="1" x="4394"/>
        <item m="1" x="4405"/>
        <item m="1" x="4416"/>
        <item m="1" x="4427"/>
        <item m="1" x="4438"/>
        <item m="1" x="4449"/>
        <item m="1" x="4460"/>
        <item m="1" x="4471"/>
        <item m="1" x="4482"/>
        <item m="1" x="713"/>
        <item m="1" x="724"/>
        <item m="1" x="780"/>
        <item m="1" x="846"/>
        <item m="1" x="880"/>
        <item m="1" x="913"/>
        <item m="1" x="1001"/>
        <item m="1" x="1122"/>
        <item m="1" x="1408"/>
        <item m="1" x="1540"/>
        <item m="1" x="1573"/>
        <item m="1" x="1551"/>
        <item m="1" x="1606"/>
        <item m="1" x="1639"/>
        <item m="1" x="1672"/>
        <item m="1" x="1705"/>
        <item m="1" x="1716"/>
        <item m="1" x="1738"/>
        <item m="1" x="1804"/>
        <item m="1" x="1826"/>
        <item m="1" x="1518"/>
        <item m="1" x="1815"/>
        <item m="1" x="1870"/>
        <item m="1" x="1928"/>
        <item m="1" x="1961"/>
        <item m="1" x="2038"/>
        <item m="1" x="2060"/>
        <item m="1" x="2126"/>
        <item m="1" x="2269"/>
        <item m="1" x="2303"/>
        <item m="1" x="2349"/>
        <item m="1" x="2393"/>
        <item m="1" x="2514"/>
        <item m="1" x="2525"/>
        <item m="1" x="1859"/>
        <item m="1" x="1917"/>
        <item m="1" x="2291"/>
        <item m="1" x="2338"/>
        <item m="1" x="2382"/>
        <item m="1" x="2426"/>
        <item m="1" x="2459"/>
        <item m="1" x="2503"/>
        <item m="1" x="3295"/>
        <item m="1" x="3328"/>
        <item m="1" x="2448"/>
        <item m="1" x="2492"/>
        <item m="1" x="2547"/>
        <item m="1" x="2646"/>
        <item m="1" x="3306"/>
        <item m="1" x="3702"/>
        <item m="1" x="3779"/>
        <item m="1" x="3845"/>
        <item m="1" x="4560"/>
        <item m="1" x="4615"/>
        <item m="1" x="3724"/>
        <item m="1" x="3790"/>
        <item m="1" x="3856"/>
        <item m="1" x="3955"/>
        <item m="1" x="4054"/>
        <item m="1" x="4263"/>
        <item m="1" x="4494"/>
        <item m="1" x="4527"/>
        <item m="1" x="4582"/>
        <item m="1" x="3669"/>
        <item m="1" x="3735"/>
        <item m="1" x="3801"/>
        <item m="1" x="3867"/>
        <item m="1" x="3966"/>
        <item m="1" x="4065"/>
        <item m="1" x="4274"/>
        <item m="1" x="4505"/>
        <item m="1" x="4538"/>
        <item m="1" x="4593"/>
        <item m="1" x="3680"/>
        <item m="1" x="3746"/>
        <item m="1" x="3812"/>
        <item m="1" x="3878"/>
        <item m="1" x="3977"/>
        <item m="1" x="4076"/>
        <item m="1" x="4285"/>
        <item m="1" x="4516"/>
        <item m="1" x="4549"/>
        <item m="1" x="4604"/>
        <item m="1" x="3691"/>
        <item m="1" x="3757"/>
        <item m="1" x="3823"/>
        <item m="1" x="4571"/>
        <item m="1" x="4630"/>
        <item m="1" x="659"/>
        <item m="1" x="802"/>
        <item m="1" x="858"/>
        <item m="1" x="891"/>
        <item m="1" x="1584"/>
        <item m="1" x="1617"/>
        <item m="1" x="1650"/>
        <item m="1" x="1683"/>
        <item m="1" x="1848"/>
        <item m="1" x="1897"/>
        <item m="1" x="1941"/>
        <item m="1" x="2027"/>
        <item m="1" x="2049"/>
        <item m="1" x="2280"/>
        <item m="1" x="2318"/>
        <item m="1" x="2362"/>
        <item m="1" x="2404"/>
        <item m="1" x="2415"/>
        <item m="1" x="1972"/>
        <item m="1" x="1983"/>
        <item m="1" x="1994"/>
        <item m="1" x="2005"/>
        <item m="1" x="2016"/>
        <item m="1" x="835"/>
        <item m="1" x="869"/>
        <item m="1" x="902"/>
        <item m="1" x="990"/>
        <item m="1" x="1111"/>
        <item m="1" x="1397"/>
        <item m="1" x="1529"/>
        <item m="1" x="1562"/>
        <item m="1" x="1595"/>
        <item m="1" x="1628"/>
        <item m="1" x="1661"/>
        <item m="1" x="1694"/>
        <item m="1" x="1898"/>
        <item m="1" x="1942"/>
        <item m="1" x="2319"/>
        <item m="1" x="2363"/>
        <item m="1" x="2481"/>
        <item m="1" x="2536"/>
        <item m="1" x="2635"/>
        <item m="1" x="2789"/>
        <item m="1" x="3053"/>
        <item m="1" x="3262"/>
        <item m="1" x="3284"/>
        <item m="1" x="3317"/>
        <item m="1" x="3350"/>
        <item m="1" x="3339"/>
        <item m="1" x="3361"/>
        <item m="1" x="3372"/>
        <item m="1" x="3383"/>
        <item m="1" x="3493"/>
        <item m="1" x="3636"/>
        <item m="1" x="3658"/>
        <item m="1" x="3768"/>
        <item m="1" x="3834"/>
        <item m="1" x="3922"/>
        <item m="1" x="4032"/>
        <item m="1" x="4153"/>
        <item m="1" x="2558"/>
        <item m="1" x="2569"/>
        <item m="1" x="2580"/>
        <item m="1" x="2591"/>
        <item m="1" x="3889"/>
        <item m="1" x="3900"/>
        <item m="1" x="3911"/>
        <item m="1" x="924"/>
        <item m="1" x="935"/>
        <item m="1" x="2602"/>
        <item m="1" x="2613"/>
        <item m="1" x="2624"/>
        <item m="1" x="3933"/>
        <item m="1" x="3944"/>
        <item m="1" x="946"/>
        <item m="1" x="957"/>
        <item m="1" x="968"/>
        <item m="1" x="979"/>
        <item m="1" x="2657"/>
        <item m="1" x="2668"/>
        <item m="1" x="2679"/>
        <item m="1" x="2690"/>
        <item m="1" x="2701"/>
        <item m="1" x="2712"/>
        <item m="1" x="3988"/>
        <item m="1" x="3999"/>
        <item m="1" x="4010"/>
        <item m="1" x="4021"/>
        <item m="1" x="1012"/>
        <item m="1" x="1023"/>
        <item m="1" x="1034"/>
        <item m="1" x="1045"/>
        <item m="1" x="1056"/>
        <item m="1" x="2723"/>
        <item m="1" x="2734"/>
        <item m="1" x="2745"/>
        <item m="1" x="2756"/>
        <item m="1" x="2767"/>
        <item m="1" x="2778"/>
        <item m="1" x="2800"/>
        <item m="1" x="4043"/>
        <item m="1" x="1067"/>
        <item m="1" x="1078"/>
        <item m="1" x="1089"/>
        <item m="1" x="1100"/>
        <item m="1" x="2071"/>
        <item m="1" x="2082"/>
        <item m="1" x="2093"/>
        <item m="1" x="2104"/>
        <item m="1" x="2115"/>
        <item m="1" x="2910"/>
        <item m="1" x="2923"/>
        <item m="1" x="2945"/>
        <item m="1" x="2967"/>
        <item m="1" x="3000"/>
        <item m="1" x="4164"/>
        <item m="1" x="4177"/>
        <item m="1" x="4199"/>
        <item m="1" x="4221"/>
        <item m="1" x="4241"/>
        <item m="1" x="4252"/>
        <item m="1" x="1232"/>
        <item m="1" x="1245"/>
        <item m="1" x="1267"/>
        <item m="1" x="1289"/>
        <item m="1" x="1311"/>
        <item m="1" x="1333"/>
        <item m="1" x="2137"/>
        <item m="1" x="2150"/>
        <item m="1" x="2172"/>
        <item m="1" x="2194"/>
        <item m="1" x="2811"/>
        <item m="1" x="2822"/>
        <item m="1" x="2833"/>
        <item m="1" x="2844"/>
        <item m="1" x="2855"/>
        <item m="1" x="2866"/>
        <item m="1" x="2877"/>
        <item m="1" x="2888"/>
        <item m="1" x="2899"/>
        <item m="1" x="3394"/>
        <item m="1" x="3405"/>
        <item m="1" x="3416"/>
        <item m="1" x="3427"/>
        <item m="1" x="3438"/>
        <item m="1" x="3449"/>
        <item m="1" x="3460"/>
        <item m="1" x="3471"/>
        <item m="1" x="4087"/>
        <item m="1" x="4098"/>
        <item m="1" x="4109"/>
        <item m="1" x="4120"/>
        <item m="1" x="4131"/>
        <item m="1" x="4142"/>
        <item m="1" x="1133"/>
        <item m="1" x="1144"/>
        <item m="1" x="1155"/>
        <item m="1" x="1166"/>
        <item m="1" x="1177"/>
        <item m="1" x="1188"/>
        <item m="1" x="1199"/>
        <item m="1" x="1210"/>
        <item m="1" x="1221"/>
        <item m="1" x="1727"/>
        <item m="1" x="2924"/>
        <item m="1" x="2946"/>
        <item m="1" x="2968"/>
        <item m="1" x="2987"/>
        <item m="1" x="3001"/>
        <item m="1" x="3020"/>
        <item m="1" x="3031"/>
        <item m="1" x="3042"/>
        <item m="1" x="3064"/>
        <item m="1" x="3482"/>
        <item m="1" x="4178"/>
        <item m="1" x="4200"/>
        <item m="1" x="4222"/>
        <item m="1" x="1246"/>
        <item m="1" x="1268"/>
        <item m="1" x="1290"/>
        <item m="1" x="1312"/>
        <item m="1" x="1334"/>
        <item m="1" x="1353"/>
        <item m="1" x="1364"/>
        <item m="1" x="1375"/>
        <item m="1" x="1386"/>
        <item m="1" x="2151"/>
        <item m="1" x="2173"/>
        <item m="1" x="2195"/>
        <item m="1" x="2214"/>
        <item m="1" x="2225"/>
        <item m="1" x="2236"/>
        <item m="1" x="2247"/>
        <item m="1" x="2258"/>
        <item m="1" x="3075"/>
        <item m="1" x="3086"/>
        <item m="1" x="3097"/>
        <item m="1" x="3108"/>
        <item m="1" x="3119"/>
        <item m="1" x="3130"/>
        <item m="1" x="3141"/>
        <item m="1" x="3152"/>
        <item m="1" x="3163"/>
        <item m="1" x="3504"/>
        <item m="1" x="3515"/>
        <item m="1" x="3526"/>
        <item m="1" x="4309"/>
        <item m="1" x="4329"/>
        <item m="1" x="4340"/>
        <item m="1" x="4351"/>
        <item m="1" x="4362"/>
        <item m="1" x="4373"/>
        <item m="1" x="4384"/>
        <item m="1" x="1419"/>
        <item m="1" x="1430"/>
        <item m="1" x="1441"/>
        <item m="1" x="1452"/>
        <item m="1" x="1463"/>
        <item m="1" x="1474"/>
        <item m="1" x="1485"/>
        <item m="1" x="1496"/>
        <item m="1" x="1507"/>
        <item m="1" x="1749"/>
        <item m="1" x="1760"/>
        <item m="1" x="1771"/>
        <item m="1" x="1782"/>
        <item m="1" x="1793"/>
        <item m="1" x="3174"/>
        <item m="1" x="3185"/>
        <item m="1" x="3196"/>
        <item m="1" x="3207"/>
        <item m="1" x="3218"/>
        <item m="1" x="3229"/>
        <item m="1" x="3240"/>
        <item m="1" x="3251"/>
        <item m="1" x="3273"/>
        <item m="1" x="3537"/>
        <item m="1" x="3548"/>
        <item m="1" x="3559"/>
        <item m="1" x="3570"/>
        <item m="1" x="3581"/>
        <item m="1" x="3592"/>
        <item m="1" x="3603"/>
        <item m="1" x="3614"/>
        <item m="1" x="3625"/>
        <item m="1" x="3647"/>
        <item m="1" x="4296"/>
        <item m="1" x="4310"/>
        <item m="1" x="4395"/>
        <item m="1" x="4406"/>
        <item m="1" x="4417"/>
        <item m="1" x="4428"/>
        <item m="1" x="4439"/>
        <item m="1" x="4450"/>
        <item m="1" x="4461"/>
        <item m="1" x="4472"/>
        <item m="1" x="4483"/>
        <item m="1" x="714"/>
        <item m="1" x="725"/>
        <item m="1" x="781"/>
        <item m="1" x="847"/>
        <item m="1" x="881"/>
        <item m="1" x="914"/>
        <item m="1" x="1002"/>
        <item m="1" x="1123"/>
        <item m="1" x="1409"/>
        <item m="1" x="1541"/>
        <item m="1" x="1574"/>
        <item m="1" x="1552"/>
        <item m="1" x="1607"/>
        <item m="1" x="1640"/>
        <item m="1" x="1673"/>
        <item m="1" x="1706"/>
        <item m="1" x="1717"/>
        <item m="1" x="1739"/>
        <item m="1" x="1805"/>
        <item m="1" x="1827"/>
        <item m="1" x="1519"/>
        <item m="1" x="1816"/>
        <item m="1" x="1871"/>
        <item m="1" x="1929"/>
        <item m="1" x="1962"/>
        <item m="1" x="2039"/>
        <item m="1" x="2061"/>
        <item m="1" x="2127"/>
        <item m="1" x="2270"/>
        <item m="1" x="2304"/>
        <item m="1" x="2350"/>
        <item m="1" x="2394"/>
        <item m="1" x="2515"/>
        <item m="1" x="2526"/>
        <item m="1" x="1860"/>
        <item m="1" x="1918"/>
        <item m="1" x="2292"/>
        <item m="1" x="2339"/>
        <item m="1" x="2383"/>
        <item m="1" x="2427"/>
        <item m="1" x="2460"/>
        <item m="1" x="2504"/>
        <item m="1" x="3296"/>
        <item m="1" x="3329"/>
        <item m="1" x="2449"/>
        <item m="1" x="2493"/>
        <item m="1" x="2548"/>
        <item m="1" x="2647"/>
        <item m="1" x="3307"/>
        <item m="1" x="3703"/>
        <item m="1" x="3780"/>
        <item m="1" x="3846"/>
        <item m="1" x="4561"/>
        <item m="1" x="4616"/>
        <item m="1" x="3725"/>
        <item m="1" x="3791"/>
        <item m="1" x="3857"/>
        <item m="1" x="3956"/>
        <item m="1" x="4055"/>
        <item m="1" x="4264"/>
        <item m="1" x="4495"/>
        <item m="1" x="4528"/>
        <item m="1" x="4583"/>
        <item m="1" x="3670"/>
        <item m="1" x="3736"/>
        <item m="1" x="3802"/>
        <item m="1" x="3868"/>
        <item m="1" x="3967"/>
        <item m="1" x="4066"/>
        <item m="1" x="4275"/>
        <item m="1" x="4506"/>
        <item m="1" x="4539"/>
        <item m="1" x="4594"/>
        <item m="1" x="3681"/>
        <item m="1" x="3747"/>
        <item m="1" x="3813"/>
        <item m="1" x="3879"/>
        <item m="1" x="3978"/>
        <item m="1" x="4077"/>
        <item m="1" x="4286"/>
        <item m="1" x="4517"/>
        <item m="1" x="4550"/>
        <item m="1" x="4605"/>
        <item m="1" x="3692"/>
        <item m="1" x="3758"/>
        <item m="1" x="3824"/>
        <item m="1" x="4572"/>
        <item m="1" x="4631"/>
        <item m="1" x="660"/>
        <item m="1" x="803"/>
        <item m="1" x="859"/>
        <item m="1" x="892"/>
        <item m="1" x="1585"/>
        <item m="1" x="1618"/>
        <item m="1" x="1651"/>
        <item m="1" x="1684"/>
        <item m="1" x="1849"/>
        <item m="1" x="1899"/>
        <item m="1" x="1943"/>
        <item m="1" x="2028"/>
        <item m="1" x="2050"/>
        <item m="1" x="2281"/>
        <item m="1" x="2320"/>
        <item m="1" x="2364"/>
        <item m="1" x="2405"/>
        <item m="1" x="2416"/>
        <item m="1" x="1973"/>
        <item m="1" x="1984"/>
        <item m="1" x="1995"/>
        <item m="1" x="2006"/>
        <item m="1" x="2017"/>
        <item m="1" x="836"/>
        <item m="1" x="870"/>
        <item m="1" x="903"/>
        <item m="1" x="991"/>
        <item m="1" x="1112"/>
        <item m="1" x="1398"/>
        <item m="1" x="1530"/>
        <item m="1" x="1563"/>
        <item m="1" x="1596"/>
        <item m="1" x="1629"/>
        <item m="1" x="1662"/>
        <item m="1" x="1695"/>
        <item m="1" x="1900"/>
        <item m="1" x="1944"/>
        <item m="1" x="2321"/>
        <item m="1" x="2365"/>
        <item m="1" x="2482"/>
        <item m="1" x="2537"/>
        <item m="1" x="2636"/>
        <item m="1" x="2790"/>
        <item m="1" x="3054"/>
        <item m="1" x="3263"/>
        <item m="1" x="3285"/>
        <item m="1" x="3318"/>
        <item m="1" x="3351"/>
        <item m="1" x="3340"/>
        <item m="1" x="3362"/>
        <item m="1" x="3373"/>
        <item m="1" x="3384"/>
        <item m="1" x="3494"/>
        <item m="1" x="3637"/>
        <item m="1" x="3659"/>
        <item m="1" x="3769"/>
        <item m="1" x="3835"/>
        <item m="1" x="3923"/>
        <item m="1" x="4033"/>
        <item m="1" x="4154"/>
        <item m="1" x="2559"/>
        <item m="1" x="2570"/>
        <item m="1" x="2581"/>
        <item m="1" x="2592"/>
        <item m="1" x="3890"/>
        <item m="1" x="3901"/>
        <item m="1" x="3912"/>
        <item m="1" x="925"/>
        <item m="1" x="936"/>
        <item m="1" x="2603"/>
        <item m="1" x="2614"/>
        <item m="1" x="2625"/>
        <item m="1" x="3934"/>
        <item m="1" x="3945"/>
        <item m="1" x="947"/>
        <item m="1" x="958"/>
        <item m="1" x="969"/>
        <item m="1" x="980"/>
        <item m="1" x="2658"/>
        <item m="1" x="2669"/>
        <item m="1" x="2680"/>
        <item m="1" x="2691"/>
        <item m="1" x="2702"/>
        <item m="1" x="2713"/>
        <item m="1" x="3989"/>
        <item m="1" x="4000"/>
        <item m="1" x="4011"/>
        <item m="1" x="4022"/>
        <item m="1" x="1013"/>
        <item m="1" x="1024"/>
        <item m="1" x="1035"/>
        <item m="1" x="1046"/>
        <item m="1" x="1057"/>
        <item m="1" x="2724"/>
        <item m="1" x="2735"/>
        <item m="1" x="2746"/>
        <item m="1" x="2757"/>
        <item m="1" x="2768"/>
        <item m="1" x="2779"/>
        <item m="1" x="2801"/>
        <item m="1" x="4044"/>
        <item m="1" x="1068"/>
        <item m="1" x="1079"/>
        <item m="1" x="1090"/>
        <item m="1" x="1101"/>
        <item m="1" x="2072"/>
        <item m="1" x="2083"/>
        <item m="1" x="2094"/>
        <item m="1" x="2105"/>
        <item m="1" x="2116"/>
        <item m="1" x="2911"/>
        <item m="1" x="2925"/>
        <item m="1" x="2947"/>
        <item m="1" x="2969"/>
        <item m="1" x="3002"/>
        <item m="1" x="4165"/>
        <item m="1" x="4179"/>
        <item m="1" x="4201"/>
        <item m="1" x="4223"/>
        <item m="1" x="4242"/>
        <item m="1" x="4253"/>
        <item m="1" x="1233"/>
        <item m="1" x="1247"/>
        <item m="1" x="1269"/>
        <item m="1" x="1291"/>
        <item m="1" x="1313"/>
        <item m="1" x="1335"/>
        <item m="1" x="2138"/>
        <item m="1" x="2152"/>
        <item m="1" x="2174"/>
        <item m="1" x="2196"/>
        <item m="1" x="2812"/>
        <item m="1" x="2823"/>
        <item m="1" x="2834"/>
        <item m="1" x="2845"/>
        <item m="1" x="2856"/>
        <item m="1" x="2867"/>
        <item m="1" x="2878"/>
        <item m="1" x="2889"/>
        <item m="1" x="2900"/>
        <item m="1" x="3395"/>
        <item m="1" x="3406"/>
        <item m="1" x="3417"/>
        <item m="1" x="3428"/>
        <item m="1" x="3439"/>
        <item m="1" x="3450"/>
        <item m="1" x="3461"/>
        <item m="1" x="3472"/>
        <item m="1" x="4088"/>
        <item m="1" x="4099"/>
        <item m="1" x="4110"/>
        <item m="1" x="4121"/>
        <item m="1" x="4132"/>
        <item m="1" x="4143"/>
        <item m="1" x="1134"/>
        <item m="1" x="1145"/>
        <item m="1" x="1156"/>
        <item m="1" x="1167"/>
        <item m="1" x="1178"/>
        <item m="1" x="1189"/>
        <item m="1" x="1200"/>
        <item m="1" x="1211"/>
        <item m="1" x="1222"/>
        <item m="1" x="1728"/>
        <item m="1" x="2926"/>
        <item m="1" x="2948"/>
        <item m="1" x="2970"/>
        <item m="1" x="2988"/>
        <item m="1" x="3003"/>
        <item m="1" x="3021"/>
        <item m="1" x="3032"/>
        <item m="1" x="3043"/>
        <item m="1" x="3065"/>
        <item m="1" x="3483"/>
        <item m="1" x="4180"/>
        <item m="1" x="4202"/>
        <item m="1" x="4224"/>
        <item m="1" x="1248"/>
        <item m="1" x="1270"/>
        <item m="1" x="1292"/>
        <item m="1" x="1314"/>
        <item m="1" x="1336"/>
        <item m="1" x="1354"/>
        <item m="1" x="1365"/>
        <item m="1" x="1376"/>
        <item m="1" x="1387"/>
        <item m="1" x="2153"/>
        <item m="1" x="2175"/>
        <item m="1" x="2197"/>
        <item m="1" x="2215"/>
        <item m="1" x="2226"/>
        <item m="1" x="2237"/>
        <item m="1" x="2248"/>
        <item m="1" x="2259"/>
        <item m="1" x="3076"/>
        <item m="1" x="3087"/>
        <item m="1" x="3098"/>
        <item m="1" x="3109"/>
        <item m="1" x="3120"/>
        <item m="1" x="3131"/>
        <item m="1" x="3142"/>
        <item m="1" x="3153"/>
        <item m="1" x="3164"/>
        <item m="1" x="3505"/>
        <item m="1" x="3516"/>
        <item m="1" x="3527"/>
        <item m="1" x="4311"/>
        <item m="1" x="4330"/>
        <item m="1" x="4341"/>
        <item m="1" x="4352"/>
        <item m="1" x="4363"/>
        <item m="1" x="4374"/>
        <item m="1" x="4385"/>
        <item m="1" x="1420"/>
        <item m="1" x="1431"/>
        <item m="1" x="1442"/>
        <item m="1" x="1453"/>
        <item m="1" x="1464"/>
        <item m="1" x="1475"/>
        <item m="1" x="1486"/>
        <item m="1" x="1497"/>
        <item m="1" x="1508"/>
        <item m="1" x="1750"/>
        <item m="1" x="1761"/>
        <item m="1" x="1772"/>
        <item m="1" x="1783"/>
        <item m="1" x="1794"/>
        <item m="1" x="3175"/>
        <item m="1" x="3186"/>
        <item m="1" x="3197"/>
        <item m="1" x="3208"/>
        <item m="1" x="3219"/>
        <item m="1" x="3230"/>
        <item m="1" x="3241"/>
        <item m="1" x="3252"/>
        <item m="1" x="3274"/>
        <item m="1" x="3538"/>
        <item m="1" x="3549"/>
        <item m="1" x="3560"/>
        <item m="1" x="3571"/>
        <item m="1" x="3582"/>
        <item m="1" x="3593"/>
        <item m="1" x="3604"/>
        <item m="1" x="3615"/>
        <item m="1" x="3626"/>
        <item m="1" x="3648"/>
        <item m="1" x="4297"/>
        <item m="1" x="4312"/>
        <item m="1" x="4396"/>
        <item m="1" x="4407"/>
        <item m="1" x="4418"/>
        <item m="1" x="4429"/>
        <item m="1" x="4440"/>
        <item m="1" x="4451"/>
        <item m="1" x="4462"/>
        <item m="1" x="4473"/>
        <item m="1" x="4484"/>
        <item m="1" x="715"/>
        <item m="1" x="726"/>
        <item m="1" x="782"/>
        <item m="1" x="848"/>
        <item m="1" x="882"/>
        <item m="1" x="915"/>
        <item m="1" x="1003"/>
        <item m="1" x="1124"/>
        <item m="1" x="1410"/>
        <item m="1" x="1542"/>
        <item m="1" x="1575"/>
        <item m="1" x="1553"/>
        <item m="1" x="1608"/>
        <item m="1" x="1641"/>
        <item m="1" x="1674"/>
        <item m="1" x="1707"/>
        <item m="1" x="1718"/>
        <item m="1" x="1740"/>
        <item m="1" x="1806"/>
        <item m="1" x="1828"/>
        <item m="1" x="1520"/>
        <item m="1" x="1817"/>
        <item m="1" x="1872"/>
        <item m="1" x="1930"/>
        <item m="1" x="1963"/>
        <item m="1" x="2040"/>
        <item m="1" x="2062"/>
        <item m="1" x="2128"/>
        <item m="1" x="2271"/>
        <item m="1" x="2305"/>
        <item m="1" x="2351"/>
        <item m="1" x="2395"/>
        <item m="1" x="2516"/>
        <item m="1" x="2527"/>
        <item m="1" x="1861"/>
        <item m="1" x="1919"/>
        <item m="1" x="2293"/>
        <item m="1" x="2340"/>
        <item m="1" x="2384"/>
        <item m="1" x="2428"/>
        <item m="1" x="2461"/>
        <item m="1" x="2505"/>
        <item m="1" x="3297"/>
        <item m="1" x="3330"/>
        <item m="1" x="2450"/>
        <item m="1" x="2494"/>
        <item m="1" x="2549"/>
        <item m="1" x="2648"/>
        <item m="1" x="3308"/>
        <item m="1" x="3704"/>
        <item m="1" x="3781"/>
        <item m="1" x="3847"/>
        <item m="1" x="4562"/>
        <item m="1" x="4617"/>
        <item m="1" x="3726"/>
        <item m="1" x="3792"/>
        <item m="1" x="3858"/>
        <item m="1" x="3957"/>
        <item m="1" x="4056"/>
        <item m="1" x="4265"/>
        <item m="1" x="4496"/>
        <item m="1" x="4529"/>
        <item m="1" x="4584"/>
        <item m="1" x="3671"/>
        <item m="1" x="3737"/>
        <item m="1" x="3803"/>
        <item m="1" x="3869"/>
        <item m="1" x="3968"/>
        <item m="1" x="4067"/>
        <item m="1" x="4276"/>
        <item m="1" x="4507"/>
        <item m="1" x="4540"/>
        <item m="1" x="4595"/>
        <item m="1" x="3682"/>
        <item m="1" x="3748"/>
        <item m="1" x="3814"/>
        <item m="1" x="3880"/>
        <item m="1" x="3979"/>
        <item m="1" x="4078"/>
        <item m="1" x="4287"/>
        <item m="1" x="4518"/>
        <item m="1" x="4551"/>
        <item m="1" x="4606"/>
        <item m="1" x="3693"/>
        <item m="1" x="3759"/>
        <item m="1" x="3825"/>
        <item m="1" x="4573"/>
        <item m="1" x="4632"/>
        <item m="1" x="661"/>
        <item m="1" x="804"/>
        <item m="1" x="860"/>
        <item m="1" x="893"/>
        <item m="1" x="1586"/>
        <item m="1" x="1619"/>
        <item m="1" x="1652"/>
        <item m="1" x="1685"/>
        <item m="1" x="1850"/>
        <item m="1" x="1901"/>
        <item m="1" x="1945"/>
        <item m="1" x="2029"/>
        <item m="1" x="2051"/>
        <item m="1" x="2282"/>
        <item m="1" x="2322"/>
        <item m="1" x="2366"/>
        <item m="1" x="2406"/>
        <item m="1" x="2417"/>
        <item m="1" x="1974"/>
        <item m="1" x="1985"/>
        <item m="1" x="1996"/>
        <item m="1" x="2007"/>
        <item m="1" x="2018"/>
        <item m="1" x="837"/>
        <item m="1" x="871"/>
        <item m="1" x="904"/>
        <item m="1" x="992"/>
        <item m="1" x="1113"/>
        <item m="1" x="1399"/>
        <item m="1" x="1531"/>
        <item m="1" x="1564"/>
        <item m="1" x="1597"/>
        <item m="1" x="1630"/>
        <item m="1" x="1663"/>
        <item m="1" x="1696"/>
        <item m="1" x="1902"/>
        <item m="1" x="1946"/>
        <item m="1" x="2323"/>
        <item m="1" x="2367"/>
        <item m="1" x="2483"/>
        <item m="1" x="2538"/>
        <item m="1" x="2637"/>
        <item m="1" x="2791"/>
        <item m="1" x="3055"/>
        <item m="1" x="3264"/>
        <item m="1" x="3286"/>
        <item m="1" x="3319"/>
        <item m="1" x="3352"/>
        <item m="1" x="3341"/>
        <item m="1" x="3363"/>
        <item m="1" x="3374"/>
        <item m="1" x="3385"/>
        <item m="1" x="3495"/>
        <item m="1" x="3638"/>
        <item m="1" x="3660"/>
        <item m="1" x="3770"/>
        <item m="1" x="3836"/>
        <item m="1" x="3924"/>
        <item m="1" x="4034"/>
        <item m="1" x="4155"/>
        <item m="1" x="2560"/>
        <item m="1" x="2571"/>
        <item m="1" x="2582"/>
        <item m="1" x="2593"/>
        <item m="1" x="3891"/>
        <item m="1" x="3902"/>
        <item m="1" x="3913"/>
        <item m="1" x="926"/>
        <item m="1" x="937"/>
        <item m="1" x="2604"/>
        <item m="1" x="2615"/>
        <item m="1" x="2626"/>
        <item m="1" x="3935"/>
        <item m="1" x="3946"/>
        <item m="1" x="948"/>
        <item m="1" x="959"/>
        <item m="1" x="970"/>
        <item m="1" x="981"/>
        <item m="1" x="2659"/>
        <item m="1" x="2670"/>
        <item m="1" x="2681"/>
        <item m="1" x="2692"/>
        <item m="1" x="2703"/>
        <item m="1" x="2714"/>
        <item m="1" x="3990"/>
        <item m="1" x="4001"/>
        <item m="1" x="4012"/>
        <item m="1" x="4023"/>
        <item m="1" x="1014"/>
        <item m="1" x="1025"/>
        <item m="1" x="1036"/>
        <item m="1" x="1047"/>
        <item m="1" x="1058"/>
        <item m="1" x="2725"/>
        <item m="1" x="2736"/>
        <item m="1" x="2747"/>
        <item m="1" x="2758"/>
        <item m="1" x="2769"/>
        <item m="1" x="2780"/>
        <item m="1" x="2802"/>
        <item m="1" x="4045"/>
        <item m="1" x="1069"/>
        <item m="1" x="1080"/>
        <item m="1" x="1091"/>
        <item m="1" x="1102"/>
        <item m="1" x="2073"/>
        <item m="1" x="2084"/>
        <item m="1" x="2095"/>
        <item m="1" x="2106"/>
        <item m="1" x="2117"/>
        <item m="1" x="2912"/>
        <item m="1" x="2927"/>
        <item m="1" x="2949"/>
        <item m="1" x="2971"/>
        <item m="1" x="3004"/>
        <item m="1" x="4166"/>
        <item m="1" x="4181"/>
        <item m="1" x="4203"/>
        <item m="1" x="4225"/>
        <item m="1" x="4243"/>
        <item m="1" x="4254"/>
        <item m="1" x="1234"/>
        <item m="1" x="1249"/>
        <item m="1" x="1271"/>
        <item m="1" x="1293"/>
        <item m="1" x="1315"/>
        <item m="1" x="1337"/>
        <item m="1" x="2139"/>
        <item m="1" x="2154"/>
        <item m="1" x="2176"/>
        <item m="1" x="2198"/>
        <item m="1" x="2813"/>
        <item m="1" x="2824"/>
        <item m="1" x="2835"/>
        <item m="1" x="2846"/>
        <item m="1" x="2857"/>
        <item m="1" x="2868"/>
        <item m="1" x="2879"/>
        <item m="1" x="2890"/>
        <item m="1" x="2901"/>
        <item m="1" x="3396"/>
        <item m="1" x="3407"/>
        <item m="1" x="3418"/>
        <item m="1" x="3429"/>
        <item m="1" x="3440"/>
        <item m="1" x="3451"/>
        <item m="1" x="3462"/>
        <item m="1" x="3473"/>
        <item m="1" x="4089"/>
        <item m="1" x="4100"/>
        <item m="1" x="4111"/>
        <item m="1" x="4122"/>
        <item m="1" x="4133"/>
        <item m="1" x="4144"/>
        <item m="1" x="1135"/>
        <item m="1" x="1146"/>
        <item m="1" x="1157"/>
        <item m="1" x="1168"/>
        <item m="1" x="1179"/>
        <item m="1" x="1190"/>
        <item m="1" x="1201"/>
        <item m="1" x="1212"/>
        <item m="1" x="1223"/>
        <item m="1" x="1729"/>
        <item m="1" x="2928"/>
        <item m="1" x="2950"/>
        <item m="1" x="2972"/>
        <item m="1" x="2989"/>
        <item m="1" x="3005"/>
        <item m="1" x="3022"/>
        <item m="1" x="3033"/>
        <item m="1" x="3044"/>
        <item m="1" x="3066"/>
        <item m="1" x="3484"/>
        <item m="1" x="4182"/>
        <item m="1" x="4204"/>
        <item m="1" x="4226"/>
        <item m="1" x="1250"/>
        <item m="1" x="1272"/>
        <item m="1" x="1294"/>
        <item m="1" x="1316"/>
        <item m="1" x="1338"/>
        <item m="1" x="1355"/>
        <item m="1" x="1366"/>
        <item m="1" x="1377"/>
        <item m="1" x="1388"/>
        <item m="1" x="2155"/>
        <item m="1" x="2177"/>
        <item m="1" x="2199"/>
        <item m="1" x="2216"/>
        <item m="1" x="2227"/>
        <item m="1" x="2238"/>
        <item m="1" x="2249"/>
        <item m="1" x="2260"/>
        <item m="1" x="3077"/>
        <item m="1" x="3088"/>
        <item m="1" x="3099"/>
        <item m="1" x="3110"/>
        <item m="1" x="3121"/>
        <item m="1" x="3132"/>
        <item m="1" x="3143"/>
        <item m="1" x="3154"/>
        <item m="1" x="3165"/>
        <item m="1" x="3506"/>
        <item m="1" x="3517"/>
        <item m="1" x="3528"/>
        <item m="1" x="4313"/>
        <item m="1" x="4331"/>
        <item m="1" x="4342"/>
        <item m="1" x="4353"/>
        <item m="1" x="4364"/>
        <item m="1" x="4375"/>
        <item m="1" x="4386"/>
        <item m="1" x="1421"/>
        <item m="1" x="1432"/>
        <item m="1" x="1443"/>
        <item m="1" x="1454"/>
        <item m="1" x="1465"/>
        <item m="1" x="1476"/>
        <item m="1" x="1487"/>
        <item m="1" x="1498"/>
        <item m="1" x="1509"/>
        <item m="1" x="1751"/>
        <item m="1" x="1762"/>
        <item m="1" x="1773"/>
        <item m="1" x="1784"/>
        <item m="1" x="1795"/>
        <item m="1" x="3176"/>
        <item m="1" x="3187"/>
        <item m="1" x="3198"/>
        <item m="1" x="3209"/>
        <item m="1" x="3220"/>
        <item m="1" x="3231"/>
        <item m="1" x="3242"/>
        <item m="1" x="3253"/>
        <item m="1" x="3275"/>
        <item m="1" x="3539"/>
        <item m="1" x="3550"/>
        <item m="1" x="3561"/>
        <item m="1" x="3572"/>
        <item m="1" x="3583"/>
        <item m="1" x="3594"/>
        <item m="1" x="3605"/>
        <item m="1" x="3616"/>
        <item m="1" x="3627"/>
        <item m="1" x="3649"/>
        <item m="1" x="4298"/>
        <item m="1" x="4314"/>
        <item m="1" x="4397"/>
        <item m="1" x="4408"/>
        <item m="1" x="4419"/>
        <item m="1" x="4430"/>
        <item m="1" x="4441"/>
        <item m="1" x="4452"/>
        <item m="1" x="4463"/>
        <item m="1" x="4474"/>
        <item m="1" x="4485"/>
        <item m="1" x="716"/>
        <item m="1" x="727"/>
        <item m="1" x="783"/>
        <item m="1" x="849"/>
        <item m="1" x="883"/>
        <item m="1" x="916"/>
        <item m="1" x="1004"/>
        <item m="1" x="1125"/>
        <item m="1" x="1411"/>
        <item m="1" x="1543"/>
        <item m="1" x="1576"/>
        <item m="1" x="1554"/>
        <item m="1" x="1609"/>
        <item m="1" x="1642"/>
        <item m="1" x="1675"/>
        <item m="1" x="1708"/>
        <item m="1" x="1719"/>
        <item m="1" x="1741"/>
        <item m="1" x="1807"/>
        <item m="1" x="1829"/>
        <item m="1" x="1521"/>
        <item m="1" x="1818"/>
        <item m="1" x="1873"/>
        <item m="1" x="1931"/>
        <item m="1" x="1964"/>
        <item m="1" x="2041"/>
        <item m="1" x="2063"/>
        <item m="1" x="2129"/>
        <item m="1" x="2272"/>
        <item m="1" x="2306"/>
        <item m="1" x="2352"/>
        <item m="1" x="2396"/>
        <item m="1" x="2517"/>
        <item m="1" x="2528"/>
        <item m="1" x="1862"/>
        <item m="1" x="1920"/>
        <item m="1" x="2294"/>
        <item m="1" x="2341"/>
        <item m="1" x="2385"/>
        <item m="1" x="2429"/>
        <item m="1" x="2462"/>
        <item m="1" x="2506"/>
        <item m="1" x="3298"/>
        <item m="1" x="3331"/>
        <item m="1" x="2451"/>
        <item m="1" x="2495"/>
        <item m="1" x="2550"/>
        <item m="1" x="2649"/>
        <item m="1" x="3309"/>
        <item m="1" x="3705"/>
        <item m="1" x="3782"/>
        <item m="1" x="3848"/>
        <item m="1" x="4563"/>
        <item m="1" x="4618"/>
        <item m="1" x="3727"/>
        <item m="1" x="3793"/>
        <item m="1" x="3859"/>
        <item m="1" x="3958"/>
        <item m="1" x="4057"/>
        <item m="1" x="4266"/>
        <item m="1" x="4497"/>
        <item m="1" x="4530"/>
        <item m="1" x="4585"/>
        <item m="1" x="3672"/>
        <item m="1" x="3738"/>
        <item m="1" x="3804"/>
        <item m="1" x="3870"/>
        <item m="1" x="3969"/>
        <item m="1" x="4068"/>
        <item m="1" x="4277"/>
        <item m="1" x="4508"/>
        <item m="1" x="4541"/>
        <item m="1" x="4596"/>
        <item m="1" x="3683"/>
        <item m="1" x="3749"/>
        <item m="1" x="3815"/>
        <item m="1" x="3881"/>
        <item m="1" x="3980"/>
        <item m="1" x="4079"/>
        <item m="1" x="4288"/>
        <item m="1" x="4519"/>
        <item m="1" x="4552"/>
        <item m="1" x="4607"/>
        <item m="1" x="3694"/>
        <item m="1" x="3760"/>
        <item m="1" x="3826"/>
        <item m="1" x="4574"/>
        <item m="1" x="4633"/>
        <item m="1" x="662"/>
        <item m="1" x="805"/>
        <item m="1" x="861"/>
        <item m="1" x="894"/>
        <item m="1" x="1587"/>
        <item m="1" x="1620"/>
        <item m="1" x="1653"/>
        <item m="1" x="1686"/>
        <item m="1" x="1851"/>
        <item m="1" x="1903"/>
        <item m="1" x="1947"/>
        <item m="1" x="2030"/>
        <item m="1" x="2052"/>
        <item m="1" x="2283"/>
        <item m="1" x="2324"/>
        <item m="1" x="2368"/>
        <item m="1" x="2407"/>
        <item m="1" x="2418"/>
        <item m="1" x="1975"/>
        <item m="1" x="1986"/>
        <item m="1" x="1997"/>
        <item m="1" x="2008"/>
        <item m="1" x="2019"/>
        <item m="1" x="838"/>
        <item m="1" x="872"/>
        <item m="1" x="905"/>
        <item m="1" x="993"/>
        <item m="1" x="1114"/>
        <item m="1" x="1400"/>
        <item m="1" x="1532"/>
        <item m="1" x="1565"/>
        <item m="1" x="1598"/>
        <item m="1" x="1631"/>
        <item m="1" x="1664"/>
        <item m="1" x="1697"/>
        <item m="1" x="1904"/>
        <item m="1" x="1948"/>
        <item m="1" x="2325"/>
        <item m="1" x="2369"/>
        <item m="1" x="2484"/>
        <item m="1" x="2539"/>
        <item m="1" x="2638"/>
        <item m="1" x="2792"/>
        <item m="1" x="3056"/>
        <item m="1" x="3265"/>
        <item m="1" x="3287"/>
        <item m="1" x="3320"/>
        <item m="1" x="3353"/>
        <item m="1" x="3342"/>
        <item m="1" x="3364"/>
        <item m="1" x="3375"/>
        <item m="1" x="3386"/>
        <item m="1" x="3496"/>
        <item m="1" x="3639"/>
        <item m="1" x="3661"/>
        <item m="1" x="3771"/>
        <item m="1" x="3837"/>
        <item m="1" x="3925"/>
        <item m="1" x="4035"/>
        <item m="1" x="4156"/>
        <item m="1" x="2561"/>
        <item m="1" x="2572"/>
        <item m="1" x="2583"/>
        <item m="1" x="2594"/>
        <item m="1" x="3892"/>
        <item m="1" x="3903"/>
        <item m="1" x="3914"/>
        <item m="1" x="927"/>
        <item m="1" x="938"/>
        <item m="1" x="2605"/>
        <item m="1" x="2616"/>
        <item m="1" x="2627"/>
        <item m="1" x="3936"/>
        <item m="1" x="3947"/>
        <item m="1" x="949"/>
        <item m="1" x="960"/>
        <item m="1" x="971"/>
        <item m="1" x="982"/>
        <item m="1" x="2660"/>
        <item m="1" x="2671"/>
        <item m="1" x="2682"/>
        <item m="1" x="2693"/>
        <item m="1" x="2704"/>
        <item m="1" x="2715"/>
        <item m="1" x="3991"/>
        <item m="1" x="4002"/>
        <item m="1" x="4013"/>
        <item m="1" x="4024"/>
        <item m="1" x="1015"/>
        <item m="1" x="1026"/>
        <item m="1" x="1037"/>
        <item m="1" x="1048"/>
        <item m="1" x="1059"/>
        <item m="1" x="2726"/>
        <item m="1" x="2737"/>
        <item m="1" x="2748"/>
        <item m="1" x="2759"/>
        <item m="1" x="2770"/>
        <item m="1" x="2781"/>
        <item m="1" x="2803"/>
        <item m="1" x="4046"/>
        <item m="1" x="1070"/>
        <item m="1" x="1081"/>
        <item m="1" x="1092"/>
        <item m="1" x="1103"/>
        <item m="1" x="2074"/>
        <item m="1" x="2085"/>
        <item m="1" x="2096"/>
        <item m="1" x="2107"/>
        <item m="1" x="2118"/>
        <item m="1" x="2913"/>
        <item m="1" x="2929"/>
        <item m="1" x="2951"/>
        <item m="1" x="2973"/>
        <item m="1" x="3006"/>
        <item m="1" x="4167"/>
        <item m="1" x="4183"/>
        <item m="1" x="4205"/>
        <item m="1" x="4227"/>
        <item m="1" x="4244"/>
        <item m="1" x="4255"/>
        <item m="1" x="1235"/>
        <item m="1" x="1251"/>
        <item m="1" x="1273"/>
        <item m="1" x="1295"/>
        <item m="1" x="1317"/>
        <item m="1" x="1339"/>
        <item m="1" x="2140"/>
        <item m="1" x="2156"/>
        <item m="1" x="2178"/>
        <item m="1" x="2200"/>
        <item m="1" x="2814"/>
        <item m="1" x="2825"/>
        <item m="1" x="2836"/>
        <item m="1" x="2847"/>
        <item m="1" x="2858"/>
        <item m="1" x="2869"/>
        <item m="1" x="2880"/>
        <item m="1" x="2891"/>
        <item m="1" x="2902"/>
        <item m="1" x="3397"/>
        <item m="1" x="3408"/>
        <item m="1" x="3419"/>
        <item m="1" x="3430"/>
        <item m="1" x="3441"/>
        <item m="1" x="3452"/>
        <item m="1" x="3463"/>
        <item m="1" x="3474"/>
        <item m="1" x="4090"/>
        <item m="1" x="4101"/>
        <item m="1" x="4112"/>
        <item m="1" x="4123"/>
        <item m="1" x="4134"/>
        <item m="1" x="4145"/>
        <item m="1" x="1136"/>
        <item m="1" x="1147"/>
        <item m="1" x="1158"/>
        <item m="1" x="1169"/>
        <item m="1" x="1180"/>
        <item m="1" x="1191"/>
        <item m="1" x="1202"/>
        <item m="1" x="1213"/>
        <item m="1" x="1224"/>
        <item m="1" x="1730"/>
        <item m="1" x="2930"/>
        <item m="1" x="2952"/>
        <item m="1" x="2974"/>
        <item m="1" x="2990"/>
        <item m="1" x="3007"/>
        <item m="1" x="3023"/>
        <item m="1" x="3034"/>
        <item m="1" x="3045"/>
        <item m="1" x="3067"/>
        <item m="1" x="3485"/>
        <item m="1" x="4184"/>
        <item m="1" x="4206"/>
        <item m="1" x="4228"/>
        <item m="1" x="1252"/>
        <item m="1" x="1274"/>
        <item m="1" x="1296"/>
        <item m="1" x="1318"/>
        <item m="1" x="1340"/>
        <item m="1" x="1356"/>
        <item m="1" x="1367"/>
        <item m="1" x="1378"/>
        <item m="1" x="1389"/>
        <item m="1" x="2157"/>
        <item m="1" x="2179"/>
        <item m="1" x="2201"/>
        <item m="1" x="2217"/>
        <item m="1" x="2228"/>
        <item m="1" x="2239"/>
        <item m="1" x="2250"/>
        <item m="1" x="2261"/>
        <item m="1" x="3078"/>
        <item m="1" x="3089"/>
        <item m="1" x="3100"/>
        <item m="1" x="3111"/>
        <item m="1" x="3122"/>
        <item m="1" x="3133"/>
        <item m="1" x="3144"/>
        <item m="1" x="3155"/>
        <item m="1" x="3166"/>
        <item m="1" x="3507"/>
        <item m="1" x="3518"/>
        <item m="1" x="3529"/>
        <item m="1" x="4315"/>
        <item m="1" x="4332"/>
        <item m="1" x="4343"/>
        <item m="1" x="4354"/>
        <item m="1" x="4365"/>
        <item m="1" x="4376"/>
        <item m="1" x="4387"/>
        <item m="1" x="1422"/>
        <item m="1" x="1433"/>
        <item m="1" x="1444"/>
        <item m="1" x="1455"/>
        <item m="1" x="1466"/>
        <item m="1" x="1477"/>
        <item m="1" x="1488"/>
        <item m="1" x="1499"/>
        <item m="1" x="1510"/>
        <item m="1" x="1752"/>
        <item m="1" x="1763"/>
        <item m="1" x="1774"/>
        <item m="1" x="1785"/>
        <item m="1" x="1796"/>
        <item m="1" x="3177"/>
        <item m="1" x="3188"/>
        <item m="1" x="3199"/>
        <item m="1" x="3210"/>
        <item m="1" x="3221"/>
        <item m="1" x="3232"/>
        <item m="1" x="3243"/>
        <item m="1" x="3254"/>
        <item m="1" x="3276"/>
        <item m="1" x="3540"/>
        <item m="1" x="3551"/>
        <item m="1" x="3562"/>
        <item m="1" x="3573"/>
        <item m="1" x="3584"/>
        <item m="1" x="3595"/>
        <item m="1" x="3606"/>
        <item m="1" x="3617"/>
        <item m="1" x="3628"/>
        <item m="1" x="3650"/>
        <item m="1" x="4299"/>
        <item m="1" x="4316"/>
        <item m="1" x="4398"/>
        <item m="1" x="4409"/>
        <item m="1" x="4420"/>
        <item m="1" x="4431"/>
        <item m="1" x="4442"/>
        <item m="1" x="4453"/>
        <item m="1" x="4464"/>
        <item m="1" x="4475"/>
        <item m="1" x="4486"/>
        <item m="1" x="717"/>
        <item m="1" x="728"/>
        <item m="1" x="784"/>
        <item m="1" x="850"/>
        <item m="1" x="884"/>
        <item m="1" x="917"/>
        <item m="1" x="1005"/>
        <item m="1" x="1126"/>
        <item m="1" x="1412"/>
        <item m="1" x="1544"/>
        <item m="1" x="1577"/>
        <item m="1" x="1555"/>
        <item m="1" x="1610"/>
        <item m="1" x="1643"/>
        <item m="1" x="1676"/>
        <item m="1" x="1709"/>
        <item m="1" x="1720"/>
        <item m="1" x="1742"/>
        <item m="1" x="1808"/>
        <item m="1" x="1830"/>
        <item m="1" x="1522"/>
        <item m="1" x="1819"/>
        <item m="1" x="1874"/>
        <item m="1" x="1932"/>
        <item m="1" x="1965"/>
        <item m="1" x="2042"/>
        <item m="1" x="2064"/>
        <item m="1" x="2130"/>
        <item m="1" x="2273"/>
        <item m="1" x="2307"/>
        <item m="1" x="2353"/>
        <item m="1" x="2397"/>
        <item m="1" x="2518"/>
        <item m="1" x="2529"/>
        <item m="1" x="1863"/>
        <item m="1" x="1921"/>
        <item m="1" x="2295"/>
        <item m="1" x="2342"/>
        <item m="1" x="2386"/>
        <item m="1" x="2430"/>
        <item m="1" x="2463"/>
        <item m="1" x="2507"/>
        <item m="1" x="3299"/>
        <item m="1" x="3332"/>
        <item m="1" x="2452"/>
        <item m="1" x="2496"/>
        <item m="1" x="2551"/>
        <item m="1" x="2650"/>
        <item m="1" x="3310"/>
        <item m="1" x="3706"/>
        <item m="1" x="3783"/>
        <item m="1" x="3849"/>
        <item m="1" x="4564"/>
        <item m="1" x="4619"/>
        <item m="1" x="3728"/>
        <item m="1" x="3794"/>
        <item m="1" x="3860"/>
        <item m="1" x="3959"/>
        <item m="1" x="4058"/>
        <item m="1" x="4267"/>
        <item m="1" x="4498"/>
        <item m="1" x="4531"/>
        <item m="1" x="4586"/>
        <item m="1" x="3673"/>
        <item m="1" x="3739"/>
        <item m="1" x="3805"/>
        <item m="1" x="3871"/>
        <item m="1" x="3970"/>
        <item m="1" x="4069"/>
        <item m="1" x="4278"/>
        <item m="1" x="4509"/>
        <item m="1" x="4542"/>
        <item m="1" x="4597"/>
        <item m="1" x="3684"/>
        <item m="1" x="3750"/>
        <item m="1" x="3816"/>
        <item m="1" x="3882"/>
        <item m="1" x="3981"/>
        <item m="1" x="4080"/>
        <item m="1" x="4289"/>
        <item m="1" x="4520"/>
        <item m="1" x="4553"/>
        <item m="1" x="4608"/>
        <item m="1" x="3695"/>
        <item m="1" x="3761"/>
        <item m="1" x="3827"/>
        <item m="1" x="4575"/>
        <item m="1" x="4634"/>
        <item m="1" x="663"/>
        <item m="1" x="806"/>
        <item m="1" x="862"/>
        <item m="1" x="895"/>
        <item m="1" x="1588"/>
        <item m="1" x="1621"/>
        <item m="1" x="1654"/>
        <item m="1" x="1687"/>
        <item m="1" x="1852"/>
        <item m="1" x="1905"/>
        <item m="1" x="1949"/>
        <item m="1" x="2031"/>
        <item m="1" x="2053"/>
        <item m="1" x="2284"/>
        <item m="1" x="2326"/>
        <item m="1" x="2370"/>
        <item m="1" x="2408"/>
        <item m="1" x="2419"/>
        <item m="1" x="1976"/>
        <item m="1" x="1987"/>
        <item m="1" x="1998"/>
        <item m="1" x="2009"/>
        <item m="1" x="2020"/>
        <item m="1" x="839"/>
        <item m="1" x="873"/>
        <item m="1" x="906"/>
        <item m="1" x="994"/>
        <item m="1" x="1115"/>
        <item m="1" x="1401"/>
        <item m="1" x="1533"/>
        <item m="1" x="1566"/>
        <item m="1" x="1599"/>
        <item m="1" x="1632"/>
        <item m="1" x="1665"/>
        <item m="1" x="1698"/>
        <item m="1" x="1906"/>
        <item m="1" x="1950"/>
        <item m="1" x="2327"/>
        <item m="1" x="2371"/>
        <item m="1" x="2485"/>
        <item m="1" x="2540"/>
        <item m="1" x="2639"/>
        <item m="1" x="2793"/>
        <item m="1" x="3057"/>
        <item m="1" x="3266"/>
        <item m="1" x="3288"/>
        <item m="1" x="3321"/>
        <item m="1" x="3354"/>
        <item m="1" x="3343"/>
        <item m="1" x="3365"/>
        <item m="1" x="3376"/>
        <item m="1" x="3387"/>
        <item m="1" x="3497"/>
        <item m="1" x="3640"/>
        <item m="1" x="3662"/>
        <item m="1" x="3772"/>
        <item m="1" x="3838"/>
        <item m="1" x="3926"/>
        <item m="1" x="4036"/>
        <item m="1" x="4157"/>
        <item m="1" x="2562"/>
        <item m="1" x="2573"/>
        <item m="1" x="2584"/>
        <item m="1" x="2595"/>
        <item m="1" x="3893"/>
        <item m="1" x="3904"/>
        <item m="1" x="3915"/>
        <item m="1" x="928"/>
        <item m="1" x="939"/>
        <item m="1" x="2606"/>
        <item m="1" x="2617"/>
        <item m="1" x="2628"/>
        <item m="1" x="3937"/>
        <item m="1" x="3948"/>
        <item m="1" x="950"/>
        <item m="1" x="961"/>
        <item m="1" x="972"/>
        <item m="1" x="983"/>
        <item m="1" x="2661"/>
        <item m="1" x="2672"/>
        <item m="1" x="2683"/>
        <item m="1" x="2694"/>
        <item m="1" x="2705"/>
        <item m="1" x="2716"/>
        <item m="1" x="3992"/>
        <item m="1" x="4003"/>
        <item m="1" x="4014"/>
        <item m="1" x="4025"/>
        <item m="1" x="1016"/>
        <item m="1" x="1027"/>
        <item m="1" x="1038"/>
        <item m="1" x="1049"/>
        <item m="1" x="1060"/>
        <item m="1" x="2727"/>
        <item m="1" x="2738"/>
        <item m="1" x="2749"/>
        <item m="1" x="2760"/>
        <item m="1" x="2771"/>
        <item m="1" x="2782"/>
        <item m="1" x="2804"/>
        <item m="1" x="4047"/>
        <item m="1" x="1071"/>
        <item m="1" x="1082"/>
        <item m="1" x="1093"/>
        <item m="1" x="1104"/>
        <item m="1" x="2075"/>
        <item m="1" x="2086"/>
        <item m="1" x="2097"/>
        <item m="1" x="2108"/>
        <item m="1" x="2119"/>
        <item m="1" x="2914"/>
        <item m="1" x="2931"/>
        <item m="1" x="2953"/>
        <item m="1" x="2975"/>
        <item m="1" x="3008"/>
        <item m="1" x="4168"/>
        <item m="1" x="4185"/>
        <item m="1" x="4207"/>
        <item m="1" x="4229"/>
        <item m="1" x="4245"/>
        <item m="1" x="4256"/>
        <item m="1" x="1236"/>
        <item m="1" x="1253"/>
        <item m="1" x="1275"/>
        <item m="1" x="1297"/>
        <item m="1" x="1319"/>
        <item m="1" x="1341"/>
        <item m="1" x="2141"/>
        <item m="1" x="2158"/>
        <item m="1" x="2180"/>
        <item m="1" x="2202"/>
        <item m="1" x="2815"/>
        <item m="1" x="2826"/>
        <item m="1" x="2837"/>
        <item m="1" x="2848"/>
        <item m="1" x="2859"/>
        <item m="1" x="2870"/>
        <item m="1" x="2881"/>
        <item m="1" x="2892"/>
        <item m="1" x="2903"/>
        <item m="1" x="3398"/>
        <item m="1" x="3409"/>
        <item m="1" x="3420"/>
        <item m="1" x="3431"/>
        <item m="1" x="3442"/>
        <item m="1" x="3453"/>
        <item m="1" x="3464"/>
        <item m="1" x="3475"/>
        <item m="1" x="4091"/>
        <item m="1" x="4102"/>
        <item m="1" x="4113"/>
        <item m="1" x="4124"/>
        <item m="1" x="4135"/>
        <item m="1" x="4146"/>
        <item m="1" x="1137"/>
        <item m="1" x="1148"/>
        <item m="1" x="1159"/>
        <item m="1" x="1170"/>
        <item m="1" x="1181"/>
        <item m="1" x="1192"/>
        <item m="1" x="1203"/>
        <item m="1" x="1214"/>
        <item m="1" x="1225"/>
        <item m="1" x="1731"/>
        <item m="1" x="2932"/>
        <item m="1" x="2954"/>
        <item m="1" x="2976"/>
        <item m="1" x="2991"/>
        <item m="1" x="3009"/>
        <item m="1" x="3024"/>
        <item m="1" x="3035"/>
        <item m="1" x="3046"/>
        <item m="1" x="3068"/>
        <item m="1" x="3486"/>
        <item m="1" x="4186"/>
        <item m="1" x="4208"/>
        <item m="1" x="4230"/>
        <item m="1" x="1254"/>
        <item m="1" x="1276"/>
        <item m="1" x="1298"/>
        <item m="1" x="1320"/>
        <item m="1" x="1342"/>
        <item m="1" x="1357"/>
        <item m="1" x="1368"/>
        <item m="1" x="1379"/>
        <item m="1" x="1390"/>
        <item m="1" x="2159"/>
        <item m="1" x="2181"/>
        <item m="1" x="2203"/>
        <item m="1" x="2218"/>
        <item m="1" x="2229"/>
        <item m="1" x="2240"/>
        <item m="1" x="2251"/>
        <item m="1" x="2262"/>
        <item m="1" x="3079"/>
        <item m="1" x="3090"/>
        <item m="1" x="3101"/>
        <item m="1" x="3112"/>
        <item m="1" x="3123"/>
        <item m="1" x="3134"/>
        <item m="1" x="3145"/>
        <item m="1" x="3156"/>
        <item m="1" x="3167"/>
        <item m="1" x="3508"/>
        <item m="1" x="3519"/>
        <item m="1" x="3530"/>
        <item m="1" x="4317"/>
        <item m="1" x="4333"/>
        <item m="1" x="4344"/>
        <item m="1" x="4355"/>
        <item m="1" x="4366"/>
        <item m="1" x="4377"/>
        <item m="1" x="4388"/>
        <item m="1" x="1423"/>
        <item m="1" x="1434"/>
        <item m="1" x="1445"/>
        <item m="1" x="1456"/>
        <item m="1" x="1467"/>
        <item m="1" x="1478"/>
        <item m="1" x="1489"/>
        <item m="1" x="1500"/>
        <item m="1" x="1511"/>
        <item m="1" x="1753"/>
        <item m="1" x="1764"/>
        <item m="1" x="1775"/>
        <item m="1" x="1786"/>
        <item m="1" x="1797"/>
        <item m="1" x="3178"/>
        <item m="1" x="3189"/>
        <item m="1" x="3200"/>
        <item m="1" x="3211"/>
        <item m="1" x="3222"/>
        <item m="1" x="3233"/>
        <item m="1" x="3244"/>
        <item m="1" x="3255"/>
        <item m="1" x="3277"/>
        <item m="1" x="3541"/>
        <item m="1" x="3552"/>
        <item m="1" x="3563"/>
        <item m="1" x="3574"/>
        <item m="1" x="3585"/>
        <item m="1" x="3596"/>
        <item m="1" x="3607"/>
        <item m="1" x="3618"/>
        <item m="1" x="3629"/>
        <item m="1" x="3651"/>
        <item m="1" x="4300"/>
        <item m="1" x="4318"/>
        <item m="1" x="4399"/>
        <item m="1" x="4410"/>
        <item m="1" x="4421"/>
        <item m="1" x="4432"/>
        <item m="1" x="4443"/>
        <item m="1" x="4454"/>
        <item m="1" x="4465"/>
        <item m="1" x="4476"/>
        <item m="1" x="4487"/>
        <item m="1" x="718"/>
        <item m="1" x="729"/>
        <item m="1" x="785"/>
        <item m="1" x="851"/>
        <item m="1" x="885"/>
        <item m="1" x="918"/>
        <item m="1" x="1006"/>
        <item m="1" x="1127"/>
        <item m="1" x="1413"/>
        <item m="1" x="1545"/>
        <item m="1" x="1578"/>
        <item m="1" x="1556"/>
        <item m="1" x="1611"/>
        <item m="1" x="1644"/>
        <item m="1" x="1677"/>
        <item m="1" x="1710"/>
        <item m="1" x="1721"/>
        <item m="1" x="1743"/>
        <item m="1" x="1809"/>
        <item m="1" x="1831"/>
        <item m="1" x="1523"/>
        <item m="1" x="1820"/>
        <item m="1" x="1875"/>
        <item m="1" x="1933"/>
        <item m="1" x="1966"/>
        <item m="1" x="2043"/>
        <item m="1" x="2065"/>
        <item m="1" x="2131"/>
        <item m="1" x="2274"/>
        <item m="1" x="2308"/>
        <item m="1" x="2354"/>
        <item m="1" x="2398"/>
        <item m="1" x="2519"/>
        <item m="1" x="2530"/>
        <item m="1" x="1864"/>
        <item m="1" x="1922"/>
        <item m="1" x="2296"/>
        <item m="1" x="2343"/>
        <item m="1" x="2387"/>
        <item m="1" x="2431"/>
        <item m="1" x="2464"/>
        <item m="1" x="2508"/>
        <item m="1" x="3300"/>
        <item m="1" x="3333"/>
        <item m="1" x="2453"/>
        <item m="1" x="2497"/>
        <item m="1" x="2552"/>
        <item m="1" x="2651"/>
        <item m="1" x="3311"/>
        <item m="1" x="3707"/>
        <item m="1" x="3784"/>
        <item m="1" x="3850"/>
        <item m="1" x="4565"/>
        <item m="1" x="4620"/>
        <item m="1" x="3729"/>
        <item m="1" x="3795"/>
        <item m="1" x="3861"/>
        <item m="1" x="3960"/>
        <item m="1" x="4059"/>
        <item m="1" x="4268"/>
        <item m="1" x="4499"/>
        <item m="1" x="4532"/>
        <item m="1" x="4587"/>
        <item m="1" x="3674"/>
        <item m="1" x="3740"/>
        <item m="1" x="3806"/>
        <item m="1" x="3872"/>
        <item m="1" x="3971"/>
        <item m="1" x="4070"/>
        <item m="1" x="4279"/>
        <item m="1" x="4510"/>
        <item m="1" x="4543"/>
        <item m="1" x="4598"/>
        <item m="1" x="3685"/>
        <item m="1" x="3751"/>
        <item m="1" x="3817"/>
        <item m="1" x="3883"/>
        <item m="1" x="3982"/>
        <item m="1" x="4081"/>
        <item m="1" x="4290"/>
        <item m="1" x="4521"/>
        <item m="1" x="4554"/>
        <item m="1" x="4609"/>
        <item m="1" x="3696"/>
        <item m="1" x="3762"/>
        <item m="1" x="3828"/>
        <item m="1" x="4576"/>
        <item m="1" x="4635"/>
        <item m="1" x="664"/>
        <item m="1" x="807"/>
        <item m="1" x="863"/>
        <item m="1" x="896"/>
        <item m="1" x="1589"/>
        <item m="1" x="1622"/>
        <item m="1" x="1655"/>
        <item m="1" x="1688"/>
        <item m="1" x="1853"/>
        <item m="1" x="1907"/>
        <item m="1" x="1951"/>
        <item m="1" x="2032"/>
        <item m="1" x="2054"/>
        <item m="1" x="2285"/>
        <item m="1" x="2328"/>
        <item m="1" x="2372"/>
        <item m="1" x="2409"/>
        <item m="1" x="2420"/>
        <item m="1" x="1977"/>
        <item m="1" x="1988"/>
        <item m="1" x="1999"/>
        <item m="1" x="2010"/>
        <item m="1" x="2021"/>
        <item m="1" x="840"/>
        <item m="1" x="874"/>
        <item m="1" x="907"/>
        <item m="1" x="995"/>
        <item m="1" x="1116"/>
        <item m="1" x="1402"/>
        <item m="1" x="1534"/>
        <item m="1" x="1567"/>
        <item m="1" x="1600"/>
        <item m="1" x="1633"/>
        <item m="1" x="1666"/>
        <item m="1" x="1699"/>
        <item m="1" x="1908"/>
        <item m="1" x="1952"/>
        <item m="1" x="2329"/>
        <item m="1" x="2373"/>
        <item m="1" x="2486"/>
        <item m="1" x="2541"/>
        <item m="1" x="2640"/>
        <item m="1" x="2794"/>
        <item m="1" x="3058"/>
        <item m="1" x="3267"/>
        <item m="1" x="3289"/>
        <item m="1" x="3322"/>
        <item m="1" x="3355"/>
        <item m="1" x="3344"/>
        <item m="1" x="3366"/>
        <item m="1" x="3377"/>
        <item m="1" x="3388"/>
        <item m="1" x="3498"/>
        <item m="1" x="3641"/>
        <item m="1" x="3663"/>
        <item m="1" x="3773"/>
        <item m="1" x="3839"/>
        <item m="1" x="3927"/>
        <item m="1" x="4037"/>
        <item m="1" x="4158"/>
        <item m="1" x="2563"/>
        <item m="1" x="2574"/>
        <item m="1" x="2585"/>
        <item m="1" x="2596"/>
        <item m="1" x="3894"/>
        <item m="1" x="3905"/>
        <item m="1" x="3916"/>
        <item m="1" x="929"/>
        <item m="1" x="940"/>
        <item m="1" x="2607"/>
        <item m="1" x="2618"/>
        <item m="1" x="2629"/>
        <item m="1" x="3938"/>
        <item m="1" x="3949"/>
        <item m="1" x="951"/>
        <item m="1" x="962"/>
        <item m="1" x="973"/>
        <item m="1" x="984"/>
        <item m="1" x="2662"/>
        <item m="1" x="2673"/>
        <item m="1" x="2684"/>
        <item m="1" x="2695"/>
        <item m="1" x="2706"/>
        <item m="1" x="2717"/>
        <item m="1" x="3993"/>
        <item m="1" x="4004"/>
        <item m="1" x="4015"/>
        <item m="1" x="4026"/>
        <item m="1" x="1017"/>
        <item m="1" x="1028"/>
        <item m="1" x="1039"/>
        <item m="1" x="1050"/>
        <item m="1" x="1061"/>
        <item m="1" x="2728"/>
        <item m="1" x="2739"/>
        <item m="1" x="2750"/>
        <item m="1" x="2761"/>
        <item m="1" x="2772"/>
        <item m="1" x="2783"/>
        <item m="1" x="2805"/>
        <item m="1" x="4048"/>
        <item m="1" x="1072"/>
        <item m="1" x="1083"/>
        <item m="1" x="1094"/>
        <item m="1" x="1105"/>
        <item m="1" x="2076"/>
        <item m="1" x="2087"/>
        <item m="1" x="2098"/>
        <item m="1" x="2109"/>
        <item m="1" x="2120"/>
        <item m="1" x="2915"/>
        <item m="1" x="2933"/>
        <item m="1" x="2955"/>
        <item m="1" x="2977"/>
        <item m="1" x="3010"/>
        <item m="1" x="4169"/>
        <item m="1" x="4187"/>
        <item m="1" x="4209"/>
        <item m="1" x="4231"/>
        <item m="1" x="4246"/>
        <item m="1" x="4257"/>
        <item m="1" x="1237"/>
        <item m="1" x="1255"/>
        <item m="1" x="1277"/>
        <item m="1" x="1299"/>
        <item m="1" x="1321"/>
        <item m="1" x="1343"/>
        <item m="1" x="2142"/>
        <item m="1" x="2160"/>
        <item m="1" x="2182"/>
        <item m="1" x="2204"/>
        <item m="1" x="2816"/>
        <item m="1" x="2827"/>
        <item m="1" x="2838"/>
        <item m="1" x="2849"/>
        <item m="1" x="2860"/>
        <item m="1" x="2871"/>
        <item m="1" x="2882"/>
        <item m="1" x="2893"/>
        <item m="1" x="2904"/>
        <item m="1" x="3399"/>
        <item m="1" x="3410"/>
        <item m="1" x="3421"/>
        <item m="1" x="3432"/>
        <item m="1" x="3443"/>
        <item m="1" x="3454"/>
        <item m="1" x="3465"/>
        <item m="1" x="3476"/>
        <item m="1" x="4092"/>
        <item m="1" x="4103"/>
        <item m="1" x="4114"/>
        <item m="1" x="4125"/>
        <item m="1" x="4136"/>
        <item m="1" x="4147"/>
        <item m="1" x="1138"/>
        <item m="1" x="1149"/>
        <item m="1" x="1160"/>
        <item m="1" x="1171"/>
        <item m="1" x="1182"/>
        <item m="1" x="1193"/>
        <item m="1" x="1204"/>
        <item m="1" x="1215"/>
        <item m="1" x="1226"/>
        <item m="1" x="1732"/>
        <item m="1" x="2934"/>
        <item m="1" x="2956"/>
        <item m="1" x="2978"/>
        <item m="1" x="2992"/>
        <item m="1" x="3011"/>
        <item m="1" x="3025"/>
        <item m="1" x="3036"/>
        <item m="1" x="3047"/>
        <item m="1" x="3069"/>
        <item m="1" x="3487"/>
        <item m="1" x="4188"/>
        <item m="1" x="4210"/>
        <item m="1" x="4232"/>
        <item m="1" x="1256"/>
        <item m="1" x="1278"/>
        <item m="1" x="1300"/>
        <item m="1" x="1322"/>
        <item m="1" x="1344"/>
        <item m="1" x="1358"/>
        <item m="1" x="1369"/>
        <item m="1" x="1380"/>
        <item m="1" x="1391"/>
        <item m="1" x="2161"/>
        <item m="1" x="2183"/>
        <item m="1" x="2205"/>
        <item m="1" x="2219"/>
        <item m="1" x="2230"/>
        <item m="1" x="2241"/>
        <item m="1" x="2252"/>
        <item m="1" x="2263"/>
        <item m="1" x="3080"/>
        <item m="1" x="3091"/>
        <item m="1" x="3102"/>
        <item m="1" x="3113"/>
        <item m="1" x="3124"/>
        <item m="1" x="3135"/>
        <item m="1" x="3146"/>
        <item m="1" x="3157"/>
        <item m="1" x="3168"/>
        <item m="1" x="3509"/>
        <item m="1" x="3520"/>
        <item m="1" x="3531"/>
        <item m="1" x="4319"/>
        <item m="1" x="4334"/>
        <item m="1" x="4345"/>
        <item m="1" x="4356"/>
        <item m="1" x="4367"/>
        <item m="1" x="4378"/>
        <item m="1" x="4389"/>
        <item m="1" x="1424"/>
        <item m="1" x="1435"/>
        <item m="1" x="1446"/>
        <item m="1" x="1457"/>
        <item m="1" x="1468"/>
        <item m="1" x="1479"/>
        <item m="1" x="1490"/>
        <item m="1" x="1501"/>
        <item m="1" x="1512"/>
        <item m="1" x="1754"/>
        <item m="1" x="1765"/>
        <item m="1" x="1776"/>
        <item m="1" x="1787"/>
        <item m="1" x="1798"/>
        <item m="1" x="3179"/>
        <item m="1" x="3190"/>
        <item m="1" x="3201"/>
        <item m="1" x="3212"/>
        <item m="1" x="3223"/>
        <item m="1" x="3234"/>
        <item m="1" x="3245"/>
        <item m="1" x="3256"/>
        <item m="1" x="3278"/>
        <item m="1" x="3542"/>
        <item m="1" x="3553"/>
        <item m="1" x="3564"/>
        <item m="1" x="3575"/>
        <item m="1" x="3586"/>
        <item m="1" x="3597"/>
        <item m="1" x="3608"/>
        <item m="1" x="3619"/>
        <item m="1" x="3630"/>
        <item m="1" x="3652"/>
        <item m="1" x="4301"/>
        <item m="1" x="4320"/>
        <item m="1" x="4400"/>
        <item m="1" x="4411"/>
        <item m="1" x="4422"/>
        <item m="1" x="4433"/>
        <item m="1" x="4444"/>
        <item m="1" x="4455"/>
        <item m="1" x="4466"/>
        <item m="1" x="4477"/>
        <item m="1" x="4488"/>
        <item m="1" x="719"/>
        <item m="1" x="730"/>
        <item m="1" x="786"/>
        <item m="1" x="852"/>
        <item m="1" x="886"/>
        <item m="1" x="919"/>
        <item m="1" x="1007"/>
        <item m="1" x="1128"/>
        <item m="1" x="1414"/>
        <item m="1" x="1546"/>
        <item m="1" x="1579"/>
        <item m="1" x="1557"/>
        <item m="1" x="1612"/>
        <item m="1" x="1645"/>
        <item m="1" x="1678"/>
        <item m="1" x="1711"/>
        <item m="1" x="1722"/>
        <item m="1" x="1744"/>
        <item m="1" x="1810"/>
        <item m="1" x="1832"/>
        <item m="1" x="1524"/>
        <item m="1" x="1821"/>
        <item m="1" x="1876"/>
        <item m="1" x="1934"/>
        <item m="1" x="1967"/>
        <item m="1" x="2044"/>
        <item m="1" x="2066"/>
        <item m="1" x="2132"/>
        <item m="1" x="2275"/>
        <item m="1" x="2309"/>
        <item m="1" x="2355"/>
        <item m="1" x="2399"/>
        <item m="1" x="2520"/>
        <item m="1" x="2531"/>
        <item m="1" x="1865"/>
        <item m="1" x="1923"/>
        <item m="1" x="2297"/>
        <item m="1" x="2344"/>
        <item m="1" x="2388"/>
        <item m="1" x="2432"/>
        <item m="1" x="2465"/>
        <item m="1" x="2509"/>
        <item m="1" x="3301"/>
        <item m="1" x="3334"/>
        <item m="1" x="2454"/>
        <item m="1" x="2498"/>
        <item m="1" x="2553"/>
        <item m="1" x="2652"/>
        <item m="1" x="3312"/>
        <item m="1" x="3708"/>
        <item m="1" x="3785"/>
        <item m="1" x="3851"/>
        <item m="1" x="4566"/>
        <item m="1" x="4621"/>
        <item m="1" x="3730"/>
        <item m="1" x="3796"/>
        <item m="1" x="3862"/>
        <item m="1" x="3961"/>
        <item m="1" x="4060"/>
        <item m="1" x="4269"/>
        <item m="1" x="4500"/>
        <item m="1" x="4533"/>
        <item m="1" x="4588"/>
        <item m="1" x="3675"/>
        <item m="1" x="3741"/>
        <item m="1" x="3807"/>
        <item m="1" x="3873"/>
        <item m="1" x="3972"/>
        <item m="1" x="4071"/>
        <item m="1" x="4280"/>
        <item m="1" x="4511"/>
        <item m="1" x="4544"/>
        <item m="1" x="4599"/>
        <item m="1" x="3686"/>
        <item m="1" x="3752"/>
        <item m="1" x="3818"/>
        <item m="1" x="3884"/>
        <item m="1" x="3983"/>
        <item m="1" x="4082"/>
        <item m="1" x="4291"/>
        <item m="1" x="4522"/>
        <item m="1" x="4555"/>
        <item m="1" x="4610"/>
        <item m="1" x="3697"/>
        <item m="1" x="3763"/>
        <item m="1" x="3829"/>
        <item m="1" x="4577"/>
        <item m="1" x="4636"/>
        <item m="1" x="665"/>
        <item m="1" x="808"/>
        <item m="1" x="864"/>
        <item m="1" x="897"/>
        <item m="1" x="1590"/>
        <item m="1" x="1623"/>
        <item m="1" x="1656"/>
        <item m="1" x="1689"/>
        <item m="1" x="1854"/>
        <item m="1" x="1909"/>
        <item m="1" x="1953"/>
        <item m="1" x="2033"/>
        <item m="1" x="2055"/>
        <item m="1" x="2286"/>
        <item m="1" x="2330"/>
        <item m="1" x="2374"/>
        <item m="1" x="2410"/>
        <item m="1" x="2421"/>
        <item m="1" x="1978"/>
        <item m="1" x="1989"/>
        <item m="1" x="2000"/>
        <item m="1" x="2011"/>
        <item m="1" x="2022"/>
        <item m="1" x="841"/>
        <item m="1" x="875"/>
        <item m="1" x="908"/>
        <item m="1" x="996"/>
        <item m="1" x="1117"/>
        <item m="1" x="1403"/>
        <item m="1" x="1535"/>
        <item m="1" x="1568"/>
        <item m="1" x="1601"/>
        <item m="1" x="1634"/>
        <item m="1" x="1667"/>
        <item m="1" x="1700"/>
        <item m="1" x="1910"/>
        <item m="1" x="1954"/>
        <item m="1" x="2331"/>
        <item m="1" x="2375"/>
        <item m="1" x="2487"/>
        <item m="1" x="2542"/>
        <item m="1" x="2641"/>
        <item m="1" x="2795"/>
        <item m="1" x="3059"/>
        <item m="1" x="3268"/>
        <item m="1" x="3290"/>
        <item m="1" x="3323"/>
        <item m="1" x="3356"/>
        <item m="1" x="3345"/>
        <item m="1" x="3367"/>
        <item m="1" x="3378"/>
        <item m="1" x="3389"/>
        <item m="1" x="3499"/>
        <item m="1" x="3642"/>
        <item m="1" x="3664"/>
        <item m="1" x="3774"/>
        <item m="1" x="3840"/>
        <item m="1" x="3928"/>
        <item m="1" x="4038"/>
        <item m="1" x="4159"/>
        <item m="1" x="2564"/>
        <item m="1" x="2575"/>
        <item m="1" x="2586"/>
        <item m="1" x="2597"/>
        <item m="1" x="3895"/>
        <item m="1" x="3906"/>
        <item m="1" x="3917"/>
        <item m="1" x="930"/>
        <item m="1" x="941"/>
        <item m="1" x="2608"/>
        <item m="1" x="2619"/>
        <item m="1" x="2630"/>
        <item m="1" x="3939"/>
        <item m="1" x="3950"/>
        <item m="1" x="952"/>
        <item m="1" x="963"/>
        <item m="1" x="974"/>
        <item m="1" x="985"/>
        <item m="1" x="2663"/>
        <item m="1" x="2674"/>
        <item m="1" x="2685"/>
        <item m="1" x="2696"/>
        <item m="1" x="2707"/>
        <item m="1" x="2718"/>
        <item m="1" x="3994"/>
        <item m="1" x="4005"/>
        <item m="1" x="4016"/>
        <item m="1" x="4027"/>
        <item m="1" x="1018"/>
        <item m="1" x="1029"/>
        <item m="1" x="1040"/>
        <item m="1" x="1051"/>
        <item m="1" x="1062"/>
        <item m="1" x="2729"/>
        <item m="1" x="2740"/>
        <item m="1" x="2751"/>
        <item m="1" x="2762"/>
        <item m="1" x="2773"/>
        <item m="1" x="2784"/>
        <item m="1" x="2806"/>
        <item m="1" x="4049"/>
        <item m="1" x="1073"/>
        <item m="1" x="1084"/>
        <item m="1" x="1095"/>
        <item m="1" x="1106"/>
        <item m="1" x="2077"/>
        <item m="1" x="2088"/>
        <item m="1" x="2099"/>
        <item m="1" x="2110"/>
        <item m="1" x="2121"/>
        <item m="1" x="2916"/>
        <item m="1" x="2935"/>
        <item m="1" x="2957"/>
        <item m="1" x="2979"/>
        <item m="1" x="3012"/>
        <item m="1" x="4170"/>
        <item m="1" x="4189"/>
        <item m="1" x="4211"/>
        <item m="1" x="4233"/>
        <item m="1" x="4247"/>
        <item m="1" x="4258"/>
        <item m="1" x="1238"/>
        <item m="1" x="1257"/>
        <item m="1" x="1279"/>
        <item m="1" x="1301"/>
        <item m="1" x="1323"/>
        <item m="1" x="1345"/>
        <item m="1" x="2143"/>
        <item m="1" x="2162"/>
        <item m="1" x="2184"/>
        <item m="1" x="2206"/>
        <item m="1" x="2817"/>
        <item m="1" x="2828"/>
        <item m="1" x="2839"/>
        <item m="1" x="2850"/>
        <item m="1" x="2861"/>
        <item m="1" x="2872"/>
        <item m="1" x="2883"/>
        <item m="1" x="2894"/>
        <item m="1" x="2905"/>
        <item m="1" x="3400"/>
        <item m="1" x="3411"/>
        <item m="1" x="3422"/>
        <item m="1" x="3433"/>
        <item m="1" x="3444"/>
        <item m="1" x="3455"/>
        <item m="1" x="3466"/>
        <item m="1" x="3477"/>
        <item m="1" x="4093"/>
        <item m="1" x="4104"/>
        <item m="1" x="4115"/>
        <item m="1" x="4126"/>
        <item m="1" x="4137"/>
        <item m="1" x="4148"/>
        <item m="1" x="1139"/>
        <item m="1" x="1150"/>
        <item m="1" x="1161"/>
        <item m="1" x="1172"/>
        <item m="1" x="1183"/>
        <item m="1" x="1194"/>
        <item m="1" x="1205"/>
        <item m="1" x="1216"/>
        <item m="1" x="1227"/>
        <item m="1" x="1733"/>
        <item m="1" x="2936"/>
        <item m="1" x="2958"/>
        <item m="1" x="2980"/>
        <item m="1" x="2993"/>
        <item m="1" x="3013"/>
        <item m="1" x="3026"/>
        <item m="1" x="3037"/>
        <item m="1" x="3048"/>
        <item m="1" x="3070"/>
        <item m="1" x="3488"/>
        <item m="1" x="4190"/>
        <item m="1" x="4212"/>
        <item m="1" x="4234"/>
        <item m="1" x="1258"/>
        <item m="1" x="1280"/>
        <item m="1" x="1302"/>
        <item m="1" x="1324"/>
        <item m="1" x="1346"/>
        <item m="1" x="1359"/>
        <item m="1" x="1370"/>
        <item m="1" x="1381"/>
        <item m="1" x="1392"/>
        <item m="1" x="2163"/>
        <item m="1" x="2185"/>
        <item m="1" x="2207"/>
        <item m="1" x="2220"/>
        <item m="1" x="2231"/>
        <item m="1" x="2242"/>
        <item m="1" x="2253"/>
        <item m="1" x="2264"/>
        <item m="1" x="3081"/>
        <item m="1" x="3092"/>
        <item m="1" x="3103"/>
        <item m="1" x="3114"/>
        <item m="1" x="3125"/>
        <item m="1" x="3136"/>
        <item m="1" x="3147"/>
        <item m="1" x="3158"/>
        <item m="1" x="3169"/>
        <item m="1" x="3510"/>
        <item m="1" x="3521"/>
        <item m="1" x="3532"/>
        <item m="1" x="4321"/>
        <item m="1" x="4335"/>
        <item m="1" x="4346"/>
        <item m="1" x="4357"/>
        <item m="1" x="4368"/>
        <item m="1" x="4379"/>
        <item m="1" x="4390"/>
        <item m="1" x="1425"/>
        <item m="1" x="1436"/>
        <item m="1" x="1447"/>
        <item m="1" x="1458"/>
        <item m="1" x="1469"/>
        <item m="1" x="1480"/>
        <item m="1" x="1491"/>
        <item m="1" x="1502"/>
        <item m="1" x="1513"/>
        <item m="1" x="1755"/>
        <item m="1" x="1766"/>
        <item m="1" x="1777"/>
        <item m="1" x="1788"/>
        <item m="1" x="1799"/>
        <item m="1" x="3180"/>
        <item m="1" x="3191"/>
        <item m="1" x="3202"/>
        <item m="1" x="3213"/>
        <item m="1" x="3224"/>
        <item m="1" x="3235"/>
        <item m="1" x="3246"/>
        <item m="1" x="3257"/>
        <item m="1" x="3279"/>
        <item m="1" x="3543"/>
        <item m="1" x="3554"/>
        <item m="1" x="3565"/>
        <item m="1" x="3576"/>
        <item m="1" x="3587"/>
        <item m="1" x="3598"/>
        <item m="1" x="3609"/>
        <item m="1" x="3620"/>
        <item m="1" x="3631"/>
        <item m="1" x="3653"/>
        <item m="1" x="4302"/>
        <item m="1" x="4322"/>
        <item m="1" x="4401"/>
        <item m="1" x="4412"/>
        <item m="1" x="4423"/>
        <item m="1" x="4434"/>
        <item m="1" x="4445"/>
        <item m="1" x="4456"/>
        <item m="1" x="4467"/>
        <item m="1" x="4478"/>
        <item m="1" x="4489"/>
        <item m="1" x="720"/>
        <item m="1" x="731"/>
        <item m="1" x="787"/>
        <item m="1" x="853"/>
        <item m="1" x="887"/>
        <item m="1" x="920"/>
        <item m="1" x="1008"/>
        <item m="1" x="1129"/>
        <item m="1" x="1415"/>
        <item m="1" x="1547"/>
        <item m="1" x="1580"/>
        <item m="1" x="1558"/>
        <item m="1" x="1613"/>
        <item m="1" x="1646"/>
        <item m="1" x="1679"/>
        <item m="1" x="1712"/>
        <item m="1" x="1723"/>
        <item m="1" x="1745"/>
        <item m="1" x="1811"/>
        <item m="1" x="1833"/>
        <item m="1" x="1525"/>
        <item m="1" x="1822"/>
        <item m="1" x="1877"/>
        <item m="1" x="1935"/>
        <item m="1" x="1968"/>
        <item m="1" x="2045"/>
        <item m="1" x="2067"/>
        <item m="1" x="2133"/>
        <item m="1" x="2276"/>
        <item m="1" x="2310"/>
        <item m="1" x="2356"/>
        <item m="1" x="2400"/>
        <item m="1" x="2521"/>
        <item m="1" x="2532"/>
        <item m="1" x="1866"/>
        <item m="1" x="1924"/>
        <item m="1" x="2298"/>
        <item m="1" x="2345"/>
        <item m="1" x="2389"/>
        <item m="1" x="2433"/>
        <item m="1" x="2466"/>
        <item m="1" x="2510"/>
        <item m="1" x="3302"/>
        <item m="1" x="3335"/>
        <item m="1" x="2455"/>
        <item m="1" x="2499"/>
        <item m="1" x="2554"/>
        <item m="1" x="2653"/>
        <item m="1" x="3313"/>
        <item m="1" x="3709"/>
        <item m="1" x="3786"/>
        <item m="1" x="3852"/>
        <item m="1" x="4567"/>
        <item m="1" x="4622"/>
        <item m="1" x="3731"/>
        <item m="1" x="3797"/>
        <item m="1" x="3863"/>
        <item m="1" x="3962"/>
        <item m="1" x="4061"/>
        <item m="1" x="4270"/>
        <item m="1" x="4501"/>
        <item m="1" x="4534"/>
        <item m="1" x="4589"/>
        <item m="1" x="3676"/>
        <item m="1" x="3742"/>
        <item m="1" x="3808"/>
        <item m="1" x="3874"/>
        <item m="1" x="3973"/>
        <item m="1" x="4072"/>
        <item m="1" x="4281"/>
        <item m="1" x="4512"/>
        <item m="1" x="4545"/>
        <item m="1" x="4600"/>
        <item m="1" x="3687"/>
        <item m="1" x="3753"/>
        <item m="1" x="3819"/>
        <item m="1" x="3885"/>
        <item m="1" x="3984"/>
        <item m="1" x="4083"/>
        <item m="1" x="4292"/>
        <item m="1" x="4523"/>
        <item m="1" x="4556"/>
        <item m="1" x="4611"/>
        <item m="1" x="3698"/>
        <item m="1" x="3764"/>
        <item m="1" x="3830"/>
        <item m="1" x="4578"/>
        <item m="1" x="4637"/>
        <item m="1" x="666"/>
        <item m="1" x="809"/>
        <item m="1" x="865"/>
        <item m="1" x="898"/>
        <item m="1" x="1591"/>
        <item m="1" x="1624"/>
        <item m="1" x="1657"/>
        <item m="1" x="1690"/>
        <item m="1" x="1855"/>
        <item m="1" x="1911"/>
        <item m="1" x="1955"/>
        <item m="1" x="2034"/>
        <item m="1" x="2056"/>
        <item m="1" x="2287"/>
        <item m="1" x="2332"/>
        <item m="1" x="2376"/>
        <item m="1" x="2411"/>
        <item m="1" x="2422"/>
        <item m="1" x="1979"/>
        <item m="1" x="1990"/>
        <item m="1" x="2001"/>
        <item m="1" x="2012"/>
        <item m="1" x="2023"/>
        <item m="1" x="842"/>
        <item m="1" x="876"/>
        <item m="1" x="909"/>
        <item m="1" x="997"/>
        <item m="1" x="1118"/>
        <item m="1" x="1404"/>
        <item m="1" x="1536"/>
        <item m="1" x="1569"/>
        <item m="1" x="1602"/>
        <item m="1" x="1635"/>
        <item m="1" x="1668"/>
        <item m="1" x="1701"/>
        <item m="1" x="1912"/>
        <item m="1" x="1956"/>
        <item m="1" x="2333"/>
        <item m="1" x="2377"/>
        <item m="1" x="2488"/>
        <item m="1" x="2543"/>
        <item m="1" x="2642"/>
        <item m="1" x="2796"/>
        <item m="1" x="3060"/>
        <item m="1" x="3269"/>
        <item m="1" x="3291"/>
        <item m="1" x="3324"/>
        <item m="1" x="3357"/>
        <item m="1" x="3346"/>
        <item m="1" x="3368"/>
        <item m="1" x="3379"/>
        <item m="1" x="3390"/>
        <item m="1" x="3500"/>
        <item m="1" x="3643"/>
        <item m="1" x="3665"/>
        <item m="1" x="3775"/>
        <item m="1" x="3841"/>
        <item m="1" x="3929"/>
        <item m="1" x="4039"/>
        <item m="1" x="4160"/>
        <item m="1" x="2565"/>
        <item m="1" x="2576"/>
        <item m="1" x="2587"/>
        <item m="1" x="2598"/>
        <item m="1" x="3896"/>
        <item m="1" x="3907"/>
        <item m="1" x="3918"/>
        <item m="1" x="931"/>
        <item m="1" x="942"/>
        <item m="1" x="2609"/>
        <item m="1" x="2620"/>
        <item m="1" x="2631"/>
        <item m="1" x="3940"/>
        <item m="1" x="3951"/>
        <item m="1" x="953"/>
        <item m="1" x="964"/>
        <item m="1" x="975"/>
        <item m="1" x="986"/>
        <item m="1" x="2664"/>
        <item m="1" x="2675"/>
        <item m="1" x="2686"/>
        <item m="1" x="2697"/>
        <item m="1" x="2708"/>
        <item m="1" x="2719"/>
        <item m="1" x="3995"/>
        <item m="1" x="4006"/>
        <item m="1" x="4017"/>
        <item m="1" x="4028"/>
        <item m="1" x="1019"/>
        <item m="1" x="1030"/>
        <item m="1" x="1041"/>
        <item m="1" x="1052"/>
        <item m="1" x="1063"/>
        <item m="1" x="2730"/>
        <item m="1" x="2741"/>
        <item m="1" x="2752"/>
        <item m="1" x="2763"/>
        <item m="1" x="2774"/>
        <item m="1" x="2785"/>
        <item m="1" x="2807"/>
        <item m="1" x="4050"/>
        <item m="1" x="1074"/>
        <item m="1" x="1085"/>
        <item m="1" x="1096"/>
        <item m="1" x="1107"/>
        <item m="1" x="2078"/>
        <item m="1" x="2089"/>
        <item m="1" x="2100"/>
        <item m="1" x="2111"/>
        <item m="1" x="2122"/>
        <item m="1" x="2917"/>
        <item m="1" x="2937"/>
        <item m="1" x="2959"/>
        <item m="1" x="2981"/>
        <item m="1" x="3014"/>
        <item m="1" x="4171"/>
        <item m="1" x="4191"/>
        <item m="1" x="4213"/>
        <item m="1" x="4235"/>
        <item m="1" x="4248"/>
        <item m="1" x="4259"/>
        <item m="1" x="1239"/>
        <item m="1" x="1259"/>
        <item m="1" x="1281"/>
        <item m="1" x="1303"/>
        <item m="1" x="1325"/>
        <item m="1" x="1347"/>
        <item m="1" x="2144"/>
        <item m="1" x="2164"/>
        <item m="1" x="2186"/>
        <item m="1" x="2208"/>
        <item m="1" x="2818"/>
        <item m="1" x="2829"/>
        <item m="1" x="2840"/>
        <item m="1" x="2851"/>
        <item m="1" x="2862"/>
        <item m="1" x="2873"/>
        <item m="1" x="2884"/>
        <item m="1" x="2895"/>
        <item m="1" x="2906"/>
        <item m="1" x="3401"/>
        <item m="1" x="3412"/>
        <item m="1" x="3423"/>
        <item m="1" x="3434"/>
        <item m="1" x="3445"/>
        <item m="1" x="3456"/>
        <item m="1" x="3467"/>
        <item m="1" x="3478"/>
        <item m="1" x="4094"/>
        <item m="1" x="4105"/>
        <item m="1" x="4116"/>
        <item m="1" x="4127"/>
        <item m="1" x="4138"/>
        <item m="1" x="4149"/>
        <item m="1" x="1140"/>
        <item m="1" x="1151"/>
        <item m="1" x="1162"/>
        <item m="1" x="1173"/>
        <item m="1" x="1184"/>
        <item m="1" x="1195"/>
        <item m="1" x="1206"/>
        <item m="1" x="1217"/>
        <item m="1" x="1228"/>
        <item m="1" x="1734"/>
        <item m="1" x="2938"/>
        <item m="1" x="2960"/>
        <item m="1" x="2982"/>
        <item m="1" x="2994"/>
        <item m="1" x="3015"/>
        <item m="1" x="3027"/>
        <item m="1" x="3038"/>
        <item m="1" x="3049"/>
        <item m="1" x="3071"/>
        <item m="1" x="3489"/>
        <item m="1" x="4192"/>
        <item m="1" x="4214"/>
        <item m="1" x="4236"/>
        <item m="1" x="1260"/>
        <item m="1" x="1282"/>
        <item m="1" x="1304"/>
        <item m="1" x="1326"/>
        <item m="1" x="1348"/>
        <item m="1" x="1360"/>
        <item m="1" x="1371"/>
        <item m="1" x="1382"/>
        <item m="1" x="1393"/>
        <item m="1" x="2165"/>
        <item m="1" x="2187"/>
        <item m="1" x="2209"/>
        <item m="1" x="2221"/>
        <item m="1" x="2232"/>
        <item m="1" x="2243"/>
        <item m="1" x="2254"/>
        <item m="1" x="2265"/>
        <item m="1" x="3082"/>
        <item m="1" x="3093"/>
        <item m="1" x="3104"/>
        <item m="1" x="3115"/>
        <item m="1" x="3126"/>
        <item m="1" x="3137"/>
        <item m="1" x="3148"/>
        <item m="1" x="3159"/>
        <item m="1" x="3170"/>
        <item m="1" x="3511"/>
        <item m="1" x="3522"/>
        <item m="1" x="3533"/>
        <item m="1" x="4323"/>
        <item m="1" x="4336"/>
        <item m="1" x="4347"/>
        <item m="1" x="4358"/>
        <item m="1" x="4369"/>
        <item m="1" x="4380"/>
        <item m="1" x="4391"/>
        <item m="1" x="1426"/>
        <item m="1" x="1437"/>
        <item m="1" x="1448"/>
        <item m="1" x="1459"/>
        <item m="1" x="1470"/>
        <item m="1" x="1481"/>
        <item m="1" x="1492"/>
        <item m="1" x="1503"/>
        <item m="1" x="1514"/>
        <item m="1" x="1756"/>
        <item m="1" x="1767"/>
        <item m="1" x="1778"/>
        <item m="1" x="1789"/>
        <item m="1" x="1800"/>
        <item m="1" x="3181"/>
        <item m="1" x="3192"/>
        <item m="1" x="3203"/>
        <item m="1" x="3214"/>
        <item m="1" x="3225"/>
        <item m="1" x="3236"/>
        <item m="1" x="3247"/>
        <item m="1" x="3258"/>
        <item m="1" x="3280"/>
        <item m="1" x="3544"/>
        <item m="1" x="3555"/>
        <item m="1" x="3566"/>
        <item m="1" x="3577"/>
        <item m="1" x="3588"/>
        <item m="1" x="3599"/>
        <item m="1" x="3610"/>
        <item m="1" x="3621"/>
        <item m="1" x="3632"/>
        <item m="1" x="3654"/>
        <item m="1" x="4303"/>
        <item m="1" x="4324"/>
        <item m="1" x="4402"/>
        <item m="1" x="4413"/>
        <item m="1" x="4424"/>
        <item m="1" x="4435"/>
        <item m="1" x="4446"/>
        <item m="1" x="4457"/>
        <item m="1" x="4468"/>
        <item m="1" x="4479"/>
        <item m="1" x="4490"/>
        <item m="1" x="721"/>
        <item m="1" x="732"/>
        <item m="1" x="788"/>
        <item m="1" x="854"/>
        <item m="1" x="888"/>
        <item m="1" x="921"/>
        <item m="1" x="1009"/>
        <item m="1" x="1130"/>
        <item m="1" x="1416"/>
        <item m="1" x="1548"/>
        <item m="1" x="1581"/>
        <item m="1" x="1559"/>
        <item m="1" x="1614"/>
        <item m="1" x="1647"/>
        <item m="1" x="1680"/>
        <item m="1" x="1713"/>
        <item m="1" x="1724"/>
        <item m="1" x="1746"/>
        <item m="1" x="1812"/>
        <item m="1" x="1834"/>
        <item m="1" x="1526"/>
        <item m="1" x="1823"/>
        <item m="1" x="1878"/>
        <item m="1" x="1936"/>
        <item m="1" x="1969"/>
        <item m="1" x="2046"/>
        <item m="1" x="2068"/>
        <item m="1" x="2134"/>
        <item m="1" x="2277"/>
        <item m="1" x="2311"/>
        <item m="1" x="2357"/>
        <item m="1" x="2401"/>
        <item m="1" x="2522"/>
        <item m="1" x="2533"/>
        <item m="1" x="1867"/>
        <item m="1" x="1925"/>
        <item m="1" x="2299"/>
        <item m="1" x="2346"/>
        <item m="1" x="2390"/>
        <item m="1" x="2434"/>
        <item m="1" x="2467"/>
        <item m="1" x="2511"/>
        <item m="1" x="3303"/>
        <item m="1" x="3336"/>
        <item m="1" x="2456"/>
        <item m="1" x="2500"/>
        <item m="1" x="2555"/>
        <item m="1" x="2654"/>
        <item m="1" x="3314"/>
        <item m="1" x="3710"/>
        <item m="1" x="3787"/>
        <item m="1" x="3853"/>
        <item m="1" x="4568"/>
        <item m="1" x="4623"/>
        <item m="1" x="3732"/>
        <item m="1" x="3798"/>
        <item m="1" x="3864"/>
        <item m="1" x="3963"/>
        <item m="1" x="4062"/>
        <item m="1" x="4271"/>
        <item m="1" x="4502"/>
        <item m="1" x="4535"/>
        <item m="1" x="4590"/>
        <item m="1" x="3677"/>
        <item m="1" x="3743"/>
        <item m="1" x="3809"/>
        <item m="1" x="3875"/>
        <item m="1" x="3974"/>
        <item m="1" x="4073"/>
        <item m="1" x="4282"/>
        <item m="1" x="4513"/>
        <item m="1" x="4546"/>
        <item m="1" x="4601"/>
        <item m="1" x="3688"/>
        <item m="1" x="3754"/>
        <item m="1" x="3820"/>
        <item m="1" x="3886"/>
        <item m="1" x="3985"/>
        <item m="1" x="4084"/>
        <item m="1" x="4293"/>
        <item m="1" x="4524"/>
        <item m="1" x="4557"/>
        <item m="1" x="4612"/>
        <item m="1" x="3699"/>
        <item m="1" x="3765"/>
        <item m="1" x="3831"/>
        <item m="1" x="4579"/>
        <item m="1" x="4638"/>
        <item m="1" x="667"/>
        <item m="1" x="810"/>
        <item m="1" x="866"/>
        <item m="1" x="899"/>
        <item m="1" x="1592"/>
        <item m="1" x="1625"/>
        <item m="1" x="1658"/>
        <item m="1" x="1691"/>
        <item m="1" x="1856"/>
        <item m="1" x="1913"/>
        <item m="1" x="1957"/>
        <item m="1" x="2035"/>
        <item m="1" x="2057"/>
        <item m="1" x="2288"/>
        <item m="1" x="2334"/>
        <item m="1" x="2378"/>
        <item m="1" x="2412"/>
        <item m="1" x="2423"/>
        <item m="1" x="1980"/>
        <item m="1" x="1991"/>
        <item m="1" x="2002"/>
        <item m="1" x="2013"/>
        <item m="1" x="2024"/>
        <item m="1" x="843"/>
        <item m="1" x="877"/>
        <item m="1" x="910"/>
        <item m="1" x="998"/>
        <item m="1" x="1119"/>
        <item m="1" x="1405"/>
        <item m="1" x="1537"/>
        <item m="1" x="1570"/>
        <item m="1" x="1603"/>
        <item m="1" x="1636"/>
        <item m="1" x="1669"/>
        <item m="1" x="1702"/>
        <item m="1" x="1914"/>
        <item m="1" x="1958"/>
        <item m="1" x="2335"/>
        <item m="1" x="2379"/>
        <item m="1" x="2489"/>
        <item m="1" x="2544"/>
        <item m="1" x="2643"/>
        <item m="1" x="2797"/>
        <item m="1" x="3061"/>
        <item m="1" x="3270"/>
        <item m="1" x="3292"/>
        <item m="1" x="3325"/>
        <item m="1" x="3358"/>
        <item m="1" x="3347"/>
        <item m="1" x="3369"/>
        <item m="1" x="3380"/>
        <item m="1" x="3391"/>
        <item m="1" x="3501"/>
        <item m="1" x="3644"/>
        <item m="1" x="3666"/>
        <item m="1" x="3776"/>
        <item m="1" x="3842"/>
        <item m="1" x="3930"/>
        <item m="1" x="4040"/>
        <item m="1" x="4161"/>
        <item m="1" x="2566"/>
        <item m="1" x="2577"/>
        <item m="1" x="2588"/>
        <item m="1" x="2599"/>
        <item m="1" x="3897"/>
        <item m="1" x="3908"/>
        <item m="1" x="3919"/>
        <item m="1" x="932"/>
        <item m="1" x="943"/>
        <item m="1" x="2610"/>
        <item m="1" x="2621"/>
        <item m="1" x="2632"/>
        <item m="1" x="3941"/>
        <item m="1" x="3952"/>
        <item m="1" x="954"/>
        <item m="1" x="965"/>
        <item m="1" x="976"/>
        <item m="1" x="987"/>
        <item m="1" x="2665"/>
        <item m="1" x="2676"/>
        <item m="1" x="2687"/>
        <item m="1" x="2698"/>
        <item m="1" x="2709"/>
        <item m="1" x="2720"/>
        <item m="1" x="3996"/>
        <item m="1" x="4007"/>
        <item m="1" x="4018"/>
        <item m="1" x="4029"/>
        <item m="1" x="1020"/>
        <item m="1" x="1031"/>
        <item m="1" x="1042"/>
        <item m="1" x="1053"/>
        <item m="1" x="1064"/>
        <item m="1" x="2731"/>
        <item m="1" x="2742"/>
        <item m="1" x="2753"/>
        <item m="1" x="2764"/>
        <item m="1" x="2775"/>
        <item m="1" x="2786"/>
        <item m="1" x="2808"/>
        <item m="1" x="4051"/>
        <item m="1" x="1075"/>
        <item m="1" x="1086"/>
        <item m="1" x="1097"/>
        <item m="1" x="1108"/>
        <item m="1" x="2079"/>
        <item m="1" x="2090"/>
        <item m="1" x="2101"/>
        <item m="1" x="2112"/>
        <item m="1" x="2123"/>
        <item m="1" x="2918"/>
        <item m="1" x="2939"/>
        <item m="1" x="2961"/>
        <item m="1" x="2983"/>
        <item m="1" x="3016"/>
        <item m="1" x="4172"/>
        <item m="1" x="4193"/>
        <item m="1" x="4215"/>
        <item m="1" x="4237"/>
        <item m="1" x="4249"/>
        <item m="1" x="4260"/>
        <item m="1" x="1240"/>
        <item m="1" x="1261"/>
        <item m="1" x="1283"/>
        <item m="1" x="1305"/>
        <item m="1" x="1327"/>
        <item m="1" x="1349"/>
        <item m="1" x="2145"/>
        <item m="1" x="2166"/>
        <item m="1" x="2188"/>
        <item m="1" x="2210"/>
        <item m="1" x="2819"/>
        <item m="1" x="2830"/>
        <item m="1" x="2841"/>
        <item m="1" x="2852"/>
        <item m="1" x="2863"/>
        <item m="1" x="2874"/>
        <item m="1" x="2885"/>
        <item m="1" x="2896"/>
        <item m="1" x="2907"/>
        <item m="1" x="3402"/>
        <item m="1" x="3413"/>
        <item m="1" x="3424"/>
        <item m="1" x="3435"/>
        <item m="1" x="3446"/>
        <item m="1" x="3457"/>
        <item m="1" x="3468"/>
        <item m="1" x="3479"/>
        <item m="1" x="4095"/>
        <item m="1" x="4106"/>
        <item m="1" x="4117"/>
        <item m="1" x="4128"/>
        <item m="1" x="4139"/>
        <item m="1" x="4150"/>
        <item m="1" x="1141"/>
        <item m="1" x="1152"/>
        <item m="1" x="1163"/>
        <item m="1" x="1174"/>
        <item m="1" x="1185"/>
        <item m="1" x="1196"/>
        <item m="1" x="1207"/>
        <item m="1" x="1218"/>
        <item m="1" x="1229"/>
        <item m="1" x="1735"/>
        <item m="1" x="2940"/>
        <item m="1" x="2962"/>
        <item m="1" x="2984"/>
        <item m="1" x="2995"/>
        <item m="1" x="3017"/>
        <item m="1" x="3028"/>
        <item m="1" x="3039"/>
        <item m="1" x="3050"/>
        <item m="1" x="3072"/>
        <item m="1" x="3490"/>
        <item m="1" x="4194"/>
        <item m="1" x="4216"/>
        <item m="1" x="4238"/>
        <item m="1" x="1262"/>
        <item m="1" x="1284"/>
        <item m="1" x="1306"/>
        <item m="1" x="1328"/>
        <item m="1" x="1350"/>
        <item m="1" x="1361"/>
        <item m="1" x="1372"/>
        <item m="1" x="1383"/>
        <item m="1" x="1394"/>
        <item m="1" x="2167"/>
        <item m="1" x="2189"/>
        <item m="1" x="2211"/>
        <item m="1" x="2222"/>
        <item m="1" x="2233"/>
        <item m="1" x="2244"/>
        <item m="1" x="2255"/>
        <item m="1" x="2266"/>
        <item m="1" x="3083"/>
        <item m="1" x="3094"/>
        <item m="1" x="3105"/>
        <item m="1" x="3116"/>
        <item m="1" x="3127"/>
        <item m="1" x="3138"/>
        <item m="1" x="3149"/>
        <item m="1" x="3160"/>
        <item m="1" x="3171"/>
        <item m="1" x="3512"/>
        <item m="1" x="3523"/>
        <item m="1" x="3534"/>
        <item m="1" x="4325"/>
        <item m="1" x="4337"/>
        <item m="1" x="4348"/>
        <item m="1" x="4359"/>
        <item m="1" x="4370"/>
        <item m="1" x="4381"/>
        <item m="1" x="4392"/>
        <item m="1" x="1427"/>
        <item m="1" x="1438"/>
        <item m="1" x="1449"/>
        <item m="1" x="1460"/>
        <item m="1" x="1471"/>
        <item m="1" x="1482"/>
        <item m="1" x="1493"/>
        <item m="1" x="1504"/>
        <item m="1" x="1515"/>
        <item m="1" x="1757"/>
        <item m="1" x="1768"/>
        <item m="1" x="1779"/>
        <item m="1" x="1790"/>
        <item m="1" x="1801"/>
        <item m="1" x="3182"/>
        <item m="1" x="3193"/>
        <item m="1" x="3204"/>
        <item m="1" x="3215"/>
        <item m="1" x="3226"/>
        <item m="1" x="3237"/>
        <item m="1" x="3248"/>
        <item m="1" x="3259"/>
        <item m="1" x="3281"/>
        <item m="1" x="3545"/>
        <item m="1" x="3556"/>
        <item m="1" x="3567"/>
        <item m="1" x="3578"/>
        <item m="1" x="3589"/>
        <item m="1" x="3600"/>
        <item m="1" x="3611"/>
        <item m="1" x="3622"/>
        <item m="1" x="3633"/>
        <item m="1" x="3655"/>
        <item m="1" x="4304"/>
        <item m="1" x="4326"/>
        <item m="1" x="4403"/>
        <item m="1" x="4414"/>
        <item m="1" x="4425"/>
        <item m="1" x="4436"/>
        <item m="1" x="4447"/>
        <item m="1" x="4458"/>
        <item m="1" x="4469"/>
        <item m="1" x="4480"/>
        <item m="1" x="4491"/>
        <item m="1" x="722"/>
        <item m="1" x="7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7">
    <field x="0"/>
    <field x="5"/>
    <field x="7"/>
    <field x="6"/>
    <field x="8"/>
    <field x="14"/>
    <field x="18"/>
  </rowFields>
  <rowItems count="657">
    <i>
      <x/>
      <x v="3"/>
      <x v="1"/>
      <x v="11"/>
      <x v="41"/>
      <x v="3982"/>
      <x v="3982"/>
    </i>
    <i>
      <x v="1"/>
      <x v="3"/>
      <x v="2"/>
      <x v="11"/>
      <x v="276"/>
      <x v="3983"/>
      <x v="3983"/>
    </i>
    <i>
      <x v="2"/>
      <x v="3"/>
      <x v="2"/>
      <x v="11"/>
      <x v="264"/>
      <x v="3984"/>
      <x v="3984"/>
    </i>
    <i>
      <x v="3"/>
      <x v="3"/>
      <x v="2"/>
      <x v="11"/>
      <x v="266"/>
      <x v="3985"/>
      <x v="3985"/>
    </i>
    <i>
      <x v="4"/>
      <x v="3"/>
      <x v="2"/>
      <x v="11"/>
      <x v="268"/>
      <x v="3986"/>
      <x v="3986"/>
    </i>
    <i>
      <x v="5"/>
      <x v="3"/>
      <x v="2"/>
      <x v="11"/>
      <x v="277"/>
      <x v="3987"/>
      <x v="3987"/>
    </i>
    <i>
      <x v="6"/>
      <x v="3"/>
      <x v="2"/>
      <x v="11"/>
      <x v="275"/>
      <x v="3988"/>
      <x v="3988"/>
    </i>
    <i>
      <x v="7"/>
      <x v="3"/>
      <x v="2"/>
      <x v="11"/>
      <x v="273"/>
      <x v="3989"/>
      <x v="3989"/>
    </i>
    <i>
      <x v="8"/>
      <x v="3"/>
      <x v="2"/>
      <x v="11"/>
      <x v="278"/>
      <x v="3990"/>
      <x v="3990"/>
    </i>
    <i>
      <x v="9"/>
      <x v="3"/>
      <x v="2"/>
      <x v="11"/>
      <x v="269"/>
      <x v="3991"/>
      <x v="3991"/>
    </i>
    <i>
      <x v="10"/>
      <x v="3"/>
      <x v="2"/>
      <x v="11"/>
      <x v="270"/>
      <x v="3992"/>
      <x v="3992"/>
    </i>
    <i>
      <x v="11"/>
      <x v="3"/>
      <x v="2"/>
      <x v="11"/>
      <x v="267"/>
      <x v="3993"/>
      <x v="3993"/>
    </i>
    <i>
      <x v="12"/>
      <x v="3"/>
      <x v="2"/>
      <x v="11"/>
      <x v="272"/>
      <x v="3994"/>
      <x v="3994"/>
    </i>
    <i>
      <x v="13"/>
      <x v="3"/>
      <x v="2"/>
      <x v="11"/>
      <x v="279"/>
      <x v="3995"/>
      <x v="3995"/>
    </i>
    <i>
      <x v="14"/>
      <x v="3"/>
      <x v="2"/>
      <x v="11"/>
      <x v="271"/>
      <x v="3996"/>
      <x v="3996"/>
    </i>
    <i>
      <x v="15"/>
      <x v="3"/>
      <x v="2"/>
      <x v="11"/>
      <x v="265"/>
      <x v="3997"/>
      <x v="3997"/>
    </i>
    <i>
      <x v="16"/>
      <x v="3"/>
      <x v="2"/>
      <x v="11"/>
      <x v="274"/>
      <x v="3998"/>
      <x v="3998"/>
    </i>
    <i>
      <x v="17"/>
      <x v="3"/>
      <x v="2"/>
      <x v="11"/>
      <x v="276"/>
      <x v="3999"/>
      <x v="3999"/>
    </i>
    <i>
      <x v="18"/>
      <x v="3"/>
      <x v="2"/>
      <x v="11"/>
      <x v="264"/>
      <x v="4000"/>
      <x v="4000"/>
    </i>
    <i>
      <x v="19"/>
      <x v="3"/>
      <x v="2"/>
      <x v="11"/>
      <x v="266"/>
      <x v="4001"/>
      <x v="4001"/>
    </i>
    <i>
      <x v="20"/>
      <x v="3"/>
      <x v="2"/>
      <x v="11"/>
      <x v="268"/>
      <x v="4002"/>
      <x v="4002"/>
    </i>
    <i>
      <x v="21"/>
      <x v="3"/>
      <x v="2"/>
      <x v="11"/>
      <x v="277"/>
      <x v="4003"/>
      <x v="4003"/>
    </i>
    <i>
      <x v="22"/>
      <x v="3"/>
      <x v="2"/>
      <x v="11"/>
      <x v="275"/>
      <x v="4004"/>
      <x v="4004"/>
    </i>
    <i>
      <x v="23"/>
      <x v="3"/>
      <x v="2"/>
      <x v="11"/>
      <x v="273"/>
      <x v="4005"/>
      <x v="4005"/>
    </i>
    <i>
      <x v="24"/>
      <x v="3"/>
      <x v="2"/>
      <x v="11"/>
      <x v="278"/>
      <x v="4006"/>
      <x v="4006"/>
    </i>
    <i>
      <x v="25"/>
      <x v="3"/>
      <x v="2"/>
      <x v="11"/>
      <x v="269"/>
      <x v="4007"/>
      <x v="4007"/>
    </i>
    <i>
      <x v="26"/>
      <x v="3"/>
      <x v="2"/>
      <x v="11"/>
      <x v="270"/>
      <x v="4008"/>
      <x v="4008"/>
    </i>
    <i>
      <x v="27"/>
      <x v="3"/>
      <x v="2"/>
      <x v="11"/>
      <x v="267"/>
      <x v="4009"/>
      <x v="4009"/>
    </i>
    <i>
      <x v="28"/>
      <x v="3"/>
      <x v="2"/>
      <x v="11"/>
      <x v="272"/>
      <x v="4010"/>
      <x v="4010"/>
    </i>
    <i>
      <x v="29"/>
      <x v="3"/>
      <x v="2"/>
      <x v="11"/>
      <x v="279"/>
      <x v="4011"/>
      <x v="4011"/>
    </i>
    <i>
      <x v="30"/>
      <x v="3"/>
      <x v="2"/>
      <x v="11"/>
      <x v="271"/>
      <x v="4012"/>
      <x v="4012"/>
    </i>
    <i>
      <x v="31"/>
      <x v="3"/>
      <x v="2"/>
      <x v="11"/>
      <x v="265"/>
      <x v="4013"/>
      <x v="4013"/>
    </i>
    <i>
      <x v="32"/>
      <x v="3"/>
      <x v="2"/>
      <x v="11"/>
      <x v="274"/>
      <x v="4014"/>
      <x v="4014"/>
    </i>
    <i>
      <x v="33"/>
      <x v="4"/>
      <x v="2"/>
      <x v="11"/>
      <x v="277"/>
      <x v="4015"/>
      <x v="4015"/>
    </i>
    <i>
      <x v="34"/>
      <x v="4"/>
      <x v="2"/>
      <x v="11"/>
      <x v="279"/>
      <x v="4016"/>
      <x v="4016"/>
    </i>
    <i>
      <x v="35"/>
      <x v="4"/>
      <x v="2"/>
      <x v="11"/>
      <x v="278"/>
      <x v="4017"/>
      <x v="4017"/>
    </i>
    <i>
      <x v="36"/>
      <x v="4"/>
      <x v="1"/>
      <x v="11"/>
      <x v="41"/>
      <x v="4018"/>
      <x v="4018"/>
    </i>
    <i>
      <x v="37"/>
      <x v="4"/>
      <x v="1"/>
      <x v="11"/>
      <x v="41"/>
      <x v="4019"/>
      <x v="4019"/>
    </i>
    <i>
      <x v="38"/>
      <x v="4"/>
      <x v="1"/>
      <x v="11"/>
      <x v="41"/>
      <x v="4020"/>
      <x v="4020"/>
    </i>
    <i>
      <x v="39"/>
      <x v="5"/>
      <x v="1"/>
      <x v="11"/>
      <x v="41"/>
      <x v="4021"/>
      <x v="4021"/>
    </i>
    <i>
      <x v="40"/>
      <x v="3"/>
      <x v="1"/>
      <x v="11"/>
      <x v="41"/>
      <x v="4022"/>
      <x v="4022"/>
    </i>
    <i>
      <x v="41"/>
      <x v="6"/>
      <x v="1"/>
      <x v="11"/>
      <x v="41"/>
      <x v="4023"/>
      <x v="4023"/>
    </i>
    <i>
      <x v="42"/>
      <x v="3"/>
      <x v="1"/>
      <x v="11"/>
      <x v="41"/>
      <x v="4024"/>
      <x v="4024"/>
    </i>
    <i>
      <x v="43"/>
      <x v="6"/>
      <x v="1"/>
      <x v="11"/>
      <x v="41"/>
      <x v="4025"/>
      <x v="4025"/>
    </i>
    <i>
      <x v="44"/>
      <x v="7"/>
      <x v="1"/>
      <x v="11"/>
      <x v="41"/>
      <x v="4540"/>
      <x v="4026"/>
    </i>
    <i>
      <x v="45"/>
      <x v="7"/>
      <x v="1"/>
      <x v="11"/>
      <x v="41"/>
      <x v="4541"/>
      <x v="4027"/>
    </i>
    <i>
      <x v="46"/>
      <x v="7"/>
      <x v="1"/>
      <x v="11"/>
      <x v="41"/>
      <x v="4542"/>
      <x v="4028"/>
    </i>
    <i>
      <x v="47"/>
      <x v="7"/>
      <x v="1"/>
      <x v="11"/>
      <x v="41"/>
      <x v="4543"/>
      <x v="4029"/>
    </i>
    <i>
      <x v="48"/>
      <x v="3"/>
      <x v="1"/>
      <x v="11"/>
      <x v="41"/>
      <x v="4030"/>
      <x v="4030"/>
    </i>
    <i>
      <x v="49"/>
      <x v="3"/>
      <x v="1"/>
      <x v="11"/>
      <x v="41"/>
      <x v="4031"/>
      <x v="4031"/>
    </i>
    <i>
      <x v="50"/>
      <x v="8"/>
      <x v="1"/>
      <x v="9"/>
      <x v="41"/>
      <x v="4032"/>
      <x v="4032"/>
    </i>
    <i>
      <x v="51"/>
      <x v="8"/>
      <x v="1"/>
      <x v="9"/>
      <x v="41"/>
      <x v="4033"/>
      <x v="4033"/>
    </i>
    <i>
      <x v="52"/>
      <x v="8"/>
      <x v="1"/>
      <x v="9"/>
      <x v="41"/>
      <x v="4034"/>
      <x v="4034"/>
    </i>
    <i>
      <x v="53"/>
      <x v="8"/>
      <x v="2"/>
      <x v="9"/>
      <x v="276"/>
      <x v="4035"/>
      <x v="4035"/>
    </i>
    <i>
      <x v="54"/>
      <x v="8"/>
      <x v="2"/>
      <x v="9"/>
      <x v="264"/>
      <x v="4036"/>
      <x v="4036"/>
    </i>
    <i>
      <x v="55"/>
      <x v="8"/>
      <x v="2"/>
      <x v="9"/>
      <x v="266"/>
      <x v="4037"/>
      <x v="4037"/>
    </i>
    <i>
      <x v="56"/>
      <x v="8"/>
      <x v="2"/>
      <x v="9"/>
      <x v="268"/>
      <x v="4038"/>
      <x v="4038"/>
    </i>
    <i>
      <x v="57"/>
      <x v="8"/>
      <x v="2"/>
      <x v="9"/>
      <x v="277"/>
      <x v="4039"/>
      <x v="4039"/>
    </i>
    <i>
      <x v="58"/>
      <x v="8"/>
      <x v="2"/>
      <x v="9"/>
      <x v="275"/>
      <x v="4040"/>
      <x v="4040"/>
    </i>
    <i>
      <x v="59"/>
      <x v="8"/>
      <x v="2"/>
      <x v="9"/>
      <x v="273"/>
      <x v="4041"/>
      <x v="4041"/>
    </i>
    <i>
      <x v="60"/>
      <x v="8"/>
      <x v="2"/>
      <x v="9"/>
      <x v="278"/>
      <x v="4042"/>
      <x v="4042"/>
    </i>
    <i>
      <x v="61"/>
      <x v="8"/>
      <x v="2"/>
      <x v="9"/>
      <x v="269"/>
      <x v="4043"/>
      <x v="4043"/>
    </i>
    <i>
      <x v="62"/>
      <x v="8"/>
      <x v="2"/>
      <x v="9"/>
      <x v="270"/>
      <x v="4044"/>
      <x v="4044"/>
    </i>
    <i>
      <x v="63"/>
      <x v="8"/>
      <x v="2"/>
      <x v="9"/>
      <x v="267"/>
      <x v="4045"/>
      <x v="4045"/>
    </i>
    <i>
      <x v="64"/>
      <x v="8"/>
      <x v="2"/>
      <x v="9"/>
      <x v="272"/>
      <x v="4046"/>
      <x v="4046"/>
    </i>
    <i>
      <x v="65"/>
      <x v="8"/>
      <x v="2"/>
      <x v="9"/>
      <x v="279"/>
      <x v="4047"/>
      <x v="4047"/>
    </i>
    <i>
      <x v="66"/>
      <x v="8"/>
      <x v="2"/>
      <x v="9"/>
      <x v="271"/>
      <x v="4048"/>
      <x v="4048"/>
    </i>
    <i>
      <x v="67"/>
      <x v="8"/>
      <x v="2"/>
      <x v="9"/>
      <x v="265"/>
      <x v="4049"/>
      <x v="4049"/>
    </i>
    <i>
      <x v="68"/>
      <x v="8"/>
      <x v="2"/>
      <x v="9"/>
      <x v="274"/>
      <x v="4050"/>
      <x v="4050"/>
    </i>
    <i>
      <x v="69"/>
      <x v="8"/>
      <x v="2"/>
      <x v="9"/>
      <x v="276"/>
      <x v="4051"/>
      <x v="4051"/>
    </i>
    <i>
      <x v="70"/>
      <x v="8"/>
      <x v="2"/>
      <x v="9"/>
      <x v="264"/>
      <x v="4052"/>
      <x v="4052"/>
    </i>
    <i>
      <x v="71"/>
      <x v="8"/>
      <x v="2"/>
      <x v="9"/>
      <x v="266"/>
      <x v="4053"/>
      <x v="4053"/>
    </i>
    <i>
      <x v="72"/>
      <x v="8"/>
      <x v="2"/>
      <x v="9"/>
      <x v="268"/>
      <x v="4054"/>
      <x v="4054"/>
    </i>
    <i>
      <x v="73"/>
      <x v="8"/>
      <x v="2"/>
      <x v="9"/>
      <x v="277"/>
      <x v="4055"/>
      <x v="4055"/>
    </i>
    <i>
      <x v="74"/>
      <x v="8"/>
      <x v="2"/>
      <x v="9"/>
      <x v="275"/>
      <x v="4056"/>
      <x v="4056"/>
    </i>
    <i>
      <x v="75"/>
      <x v="8"/>
      <x v="2"/>
      <x v="9"/>
      <x v="273"/>
      <x v="4057"/>
      <x v="4057"/>
    </i>
    <i>
      <x v="76"/>
      <x v="8"/>
      <x v="2"/>
      <x v="9"/>
      <x v="278"/>
      <x v="4058"/>
      <x v="4058"/>
    </i>
    <i>
      <x v="77"/>
      <x v="8"/>
      <x v="2"/>
      <x v="9"/>
      <x v="269"/>
      <x v="4059"/>
      <x v="4059"/>
    </i>
    <i>
      <x v="78"/>
      <x v="8"/>
      <x v="2"/>
      <x v="9"/>
      <x v="270"/>
      <x v="4060"/>
      <x v="4060"/>
    </i>
    <i>
      <x v="79"/>
      <x v="8"/>
      <x v="2"/>
      <x v="9"/>
      <x v="267"/>
      <x v="4061"/>
      <x v="4061"/>
    </i>
    <i>
      <x v="80"/>
      <x v="8"/>
      <x v="2"/>
      <x v="9"/>
      <x v="272"/>
      <x v="4062"/>
      <x v="4062"/>
    </i>
    <i>
      <x v="81"/>
      <x v="8"/>
      <x v="2"/>
      <x v="9"/>
      <x v="279"/>
      <x v="4063"/>
      <x v="4063"/>
    </i>
    <i>
      <x v="82"/>
      <x v="8"/>
      <x v="2"/>
      <x v="9"/>
      <x v="271"/>
      <x v="4064"/>
      <x v="4064"/>
    </i>
    <i>
      <x v="83"/>
      <x v="8"/>
      <x v="2"/>
      <x v="9"/>
      <x v="265"/>
      <x v="4065"/>
      <x v="4065"/>
    </i>
    <i>
      <x v="84"/>
      <x v="8"/>
      <x v="2"/>
      <x v="9"/>
      <x v="274"/>
      <x v="4066"/>
      <x v="4066"/>
    </i>
    <i>
      <x v="85"/>
      <x v="8"/>
      <x v="2"/>
      <x v="9"/>
      <x v="276"/>
      <x v="4067"/>
      <x v="4067"/>
    </i>
    <i>
      <x v="86"/>
      <x v="8"/>
      <x v="2"/>
      <x v="9"/>
      <x v="264"/>
      <x v="4068"/>
      <x v="4068"/>
    </i>
    <i>
      <x v="87"/>
      <x v="8"/>
      <x v="2"/>
      <x v="9"/>
      <x v="266"/>
      <x v="4069"/>
      <x v="4069"/>
    </i>
    <i>
      <x v="88"/>
      <x v="8"/>
      <x v="2"/>
      <x v="9"/>
      <x v="268"/>
      <x v="4070"/>
      <x v="4070"/>
    </i>
    <i>
      <x v="89"/>
      <x v="8"/>
      <x v="2"/>
      <x v="9"/>
      <x v="277"/>
      <x v="4071"/>
      <x v="4071"/>
    </i>
    <i>
      <x v="90"/>
      <x v="8"/>
      <x v="2"/>
      <x v="9"/>
      <x v="275"/>
      <x v="4072"/>
      <x v="4072"/>
    </i>
    <i>
      <x v="91"/>
      <x v="8"/>
      <x v="2"/>
      <x v="9"/>
      <x v="273"/>
      <x v="4073"/>
      <x v="4073"/>
    </i>
    <i>
      <x v="92"/>
      <x v="8"/>
      <x v="2"/>
      <x v="9"/>
      <x v="278"/>
      <x v="4074"/>
      <x v="4074"/>
    </i>
    <i>
      <x v="93"/>
      <x v="8"/>
      <x v="2"/>
      <x v="9"/>
      <x v="269"/>
      <x v="4075"/>
      <x v="4075"/>
    </i>
    <i>
      <x v="94"/>
      <x v="8"/>
      <x v="2"/>
      <x v="9"/>
      <x v="270"/>
      <x v="4076"/>
      <x v="4076"/>
    </i>
    <i>
      <x v="95"/>
      <x v="8"/>
      <x v="2"/>
      <x v="9"/>
      <x v="267"/>
      <x v="4077"/>
      <x v="4077"/>
    </i>
    <i>
      <x v="96"/>
      <x v="8"/>
      <x v="2"/>
      <x v="9"/>
      <x v="272"/>
      <x v="4078"/>
      <x v="4078"/>
    </i>
    <i>
      <x v="97"/>
      <x v="8"/>
      <x v="2"/>
      <x v="9"/>
      <x v="279"/>
      <x v="4079"/>
      <x v="4079"/>
    </i>
    <i>
      <x v="98"/>
      <x v="8"/>
      <x v="2"/>
      <x v="9"/>
      <x v="271"/>
      <x v="4080"/>
      <x v="4080"/>
    </i>
    <i>
      <x v="99"/>
      <x v="8"/>
      <x v="2"/>
      <x v="9"/>
      <x v="265"/>
      <x v="4081"/>
      <x v="4081"/>
    </i>
    <i>
      <x v="100"/>
      <x v="8"/>
      <x v="2"/>
      <x v="9"/>
      <x v="274"/>
      <x v="4082"/>
      <x v="4082"/>
    </i>
    <i>
      <x v="101"/>
      <x v="8"/>
      <x/>
      <x v="9"/>
      <x v="113"/>
      <x v="4083"/>
      <x v="4083"/>
    </i>
    <i>
      <x v="102"/>
      <x v="8"/>
      <x/>
      <x v="9"/>
      <x v="9"/>
      <x v="4084"/>
      <x v="4084"/>
    </i>
    <i>
      <x v="103"/>
      <x v="8"/>
      <x/>
      <x v="9"/>
      <x v="18"/>
      <x v="4085"/>
      <x v="4085"/>
    </i>
    <i>
      <x v="104"/>
      <x v="8"/>
      <x/>
      <x v="9"/>
      <x v="338"/>
      <x v="4086"/>
      <x v="4086"/>
    </i>
    <i>
      <x v="105"/>
      <x v="8"/>
      <x/>
      <x v="9"/>
      <x v="362"/>
      <x v="4087"/>
      <x v="4087"/>
    </i>
    <i>
      <x v="106"/>
      <x v="8"/>
      <x/>
      <x v="9"/>
      <x v="81"/>
      <x v="4088"/>
      <x v="4088"/>
    </i>
    <i>
      <x v="107"/>
      <x v="8"/>
      <x/>
      <x v="9"/>
      <x v="347"/>
      <x v="4089"/>
      <x v="4089"/>
    </i>
    <i>
      <x v="108"/>
      <x v="8"/>
      <x/>
      <x v="9"/>
      <x v="69"/>
      <x v="4090"/>
      <x v="4090"/>
    </i>
    <i>
      <x v="109"/>
      <x v="8"/>
      <x/>
      <x v="9"/>
      <x v="111"/>
      <x v="4091"/>
      <x v="4091"/>
    </i>
    <i>
      <x v="110"/>
      <x v="8"/>
      <x/>
      <x v="9"/>
      <x v="126"/>
      <x v="4092"/>
      <x v="4092"/>
    </i>
    <i>
      <x v="111"/>
      <x v="8"/>
      <x/>
      <x v="9"/>
      <x v="193"/>
      <x v="4093"/>
      <x v="4093"/>
    </i>
    <i>
      <x v="112"/>
      <x v="8"/>
      <x/>
      <x v="9"/>
      <x v="351"/>
      <x v="4093"/>
      <x v="4094"/>
    </i>
    <i>
      <x v="113"/>
      <x v="8"/>
      <x/>
      <x v="9"/>
      <x v="21"/>
      <x v="4093"/>
      <x v="4095"/>
    </i>
    <i>
      <x v="114"/>
      <x v="8"/>
      <x/>
      <x v="9"/>
      <x v="123"/>
      <x v="4093"/>
      <x v="4096"/>
    </i>
    <i>
      <x v="115"/>
      <x v="8"/>
      <x/>
      <x v="9"/>
      <x v="139"/>
      <x v="4093"/>
      <x v="4097"/>
    </i>
    <i>
      <x v="116"/>
      <x v="8"/>
      <x/>
      <x v="9"/>
      <x v="152"/>
      <x v="4093"/>
      <x v="4098"/>
    </i>
    <i>
      <x v="117"/>
      <x v="8"/>
      <x/>
      <x v="9"/>
      <x v="253"/>
      <x v="4093"/>
      <x v="4099"/>
    </i>
    <i>
      <x v="118"/>
      <x v="8"/>
      <x/>
      <x v="9"/>
      <x v="363"/>
      <x v="4093"/>
      <x v="4100"/>
    </i>
    <i>
      <x v="119"/>
      <x v="8"/>
      <x/>
      <x v="9"/>
      <x v="302"/>
      <x v="4093"/>
      <x v="4101"/>
    </i>
    <i>
      <x v="120"/>
      <x v="8"/>
      <x/>
      <x v="9"/>
      <x v="364"/>
      <x v="4093"/>
      <x v="4102"/>
    </i>
    <i>
      <x v="121"/>
      <x v="8"/>
      <x/>
      <x v="9"/>
      <x v="354"/>
      <x v="4093"/>
      <x v="4103"/>
    </i>
    <i>
      <x v="122"/>
      <x v="8"/>
      <x/>
      <x v="9"/>
      <x v="356"/>
      <x v="4093"/>
      <x v="4104"/>
    </i>
    <i>
      <x v="123"/>
      <x v="8"/>
      <x/>
      <x v="9"/>
      <x v="101"/>
      <x v="4093"/>
      <x v="4105"/>
    </i>
    <i>
      <x v="124"/>
      <x v="8"/>
      <x/>
      <x v="9"/>
      <x v="260"/>
      <x v="4093"/>
      <x v="4106"/>
    </i>
    <i>
      <x v="125"/>
      <x v="8"/>
      <x/>
      <x v="9"/>
      <x v="282"/>
      <x v="4093"/>
      <x v="4107"/>
    </i>
    <i>
      <x v="126"/>
      <x v="8"/>
      <x/>
      <x v="9"/>
      <x v="303"/>
      <x v="4094"/>
      <x v="4108"/>
    </i>
    <i>
      <x v="127"/>
      <x v="8"/>
      <x/>
      <x v="9"/>
      <x v="319"/>
      <x v="4095"/>
      <x v="4109"/>
    </i>
    <i>
      <x v="128"/>
      <x v="8"/>
      <x/>
      <x v="9"/>
      <x v="321"/>
      <x v="4096"/>
      <x v="4110"/>
    </i>
    <i>
      <x v="129"/>
      <x v="8"/>
      <x/>
      <x v="9"/>
      <x v="33"/>
      <x v="4097"/>
      <x v="4111"/>
    </i>
    <i>
      <x v="130"/>
      <x v="8"/>
      <x/>
      <x v="9"/>
      <x v="365"/>
      <x v="4098"/>
      <x v="4112"/>
    </i>
    <i>
      <x v="131"/>
      <x v="8"/>
      <x/>
      <x v="9"/>
      <x v="366"/>
      <x v="4099"/>
      <x v="4113"/>
    </i>
    <i>
      <x v="132"/>
      <x v="8"/>
      <x/>
      <x v="9"/>
      <x v="140"/>
      <x v="4100"/>
      <x v="4114"/>
    </i>
    <i>
      <x v="133"/>
      <x v="8"/>
      <x/>
      <x v="9"/>
      <x v="174"/>
      <x v="4101"/>
      <x v="4115"/>
    </i>
    <i>
      <x v="134"/>
      <x v="8"/>
      <x/>
      <x v="9"/>
      <x v="205"/>
      <x v="4102"/>
      <x v="4116"/>
    </i>
    <i>
      <x v="135"/>
      <x v="8"/>
      <x/>
      <x v="9"/>
      <x v="306"/>
      <x v="4103"/>
      <x v="4117"/>
    </i>
    <i>
      <x v="136"/>
      <x v="8"/>
      <x/>
      <x v="9"/>
      <x v="328"/>
      <x v="4104"/>
      <x v="4118"/>
    </i>
    <i>
      <x v="137"/>
      <x v="8"/>
      <x/>
      <x v="9"/>
      <x v="11"/>
      <x v="4105"/>
      <x v="4119"/>
    </i>
    <i>
      <x v="138"/>
      <x v="8"/>
      <x/>
      <x v="9"/>
      <x v="27"/>
      <x v="4106"/>
      <x v="4120"/>
    </i>
    <i>
      <x v="139"/>
      <x v="8"/>
      <x/>
      <x v="9"/>
      <x v="40"/>
      <x v="4107"/>
      <x v="4121"/>
    </i>
    <i>
      <x v="140"/>
      <x v="8"/>
      <x/>
      <x v="9"/>
      <x v="367"/>
      <x v="4108"/>
      <x v="4122"/>
    </i>
    <i>
      <x v="141"/>
      <x v="8"/>
      <x/>
      <x v="9"/>
      <x v="70"/>
      <x v="4109"/>
      <x v="4123"/>
    </i>
    <i>
      <x v="142"/>
      <x v="8"/>
      <x/>
      <x v="9"/>
      <x v="153"/>
      <x v="4110"/>
      <x v="4124"/>
    </i>
    <i>
      <x v="143"/>
      <x v="8"/>
      <x/>
      <x v="9"/>
      <x v="329"/>
      <x v="4111"/>
      <x v="4125"/>
    </i>
    <i>
      <x v="144"/>
      <x v="8"/>
      <x/>
      <x v="9"/>
      <x v="368"/>
      <x v="4112"/>
      <x v="4126"/>
    </i>
    <i>
      <x v="145"/>
      <x v="8"/>
      <x/>
      <x v="9"/>
      <x v="8"/>
      <x v="4113"/>
      <x v="4127"/>
    </i>
    <i>
      <x v="146"/>
      <x v="8"/>
      <x/>
      <x v="9"/>
      <x v="136"/>
      <x v="4114"/>
      <x v="4128"/>
    </i>
    <i>
      <x v="147"/>
      <x v="8"/>
      <x/>
      <x v="9"/>
      <x v="148"/>
      <x v="4115"/>
      <x v="4129"/>
    </i>
    <i>
      <x v="148"/>
      <x v="8"/>
      <x/>
      <x v="9"/>
      <x v="185"/>
      <x v="4116"/>
      <x v="4130"/>
    </i>
    <i>
      <x v="149"/>
      <x v="8"/>
      <x/>
      <x v="9"/>
      <x v="369"/>
      <x v="4117"/>
      <x v="4131"/>
    </i>
    <i>
      <x v="150"/>
      <x v="8"/>
      <x/>
      <x v="9"/>
      <x v="331"/>
      <x v="4118"/>
      <x v="4132"/>
    </i>
    <i>
      <x v="151"/>
      <x v="8"/>
      <x/>
      <x v="9"/>
      <x v="350"/>
      <x v="4119"/>
      <x v="4133"/>
    </i>
    <i>
      <x v="152"/>
      <x v="8"/>
      <x/>
      <x v="9"/>
      <x v="355"/>
      <x v="4120"/>
      <x v="4134"/>
    </i>
    <i>
      <x v="153"/>
      <x v="8"/>
      <x/>
      <x v="9"/>
      <x v="6"/>
      <x v="4121"/>
      <x v="4135"/>
    </i>
    <i>
      <x v="154"/>
      <x v="8"/>
      <x/>
      <x v="9"/>
      <x v="31"/>
      <x v="4122"/>
      <x v="4136"/>
    </i>
    <i>
      <x v="155"/>
      <x v="8"/>
      <x/>
      <x v="9"/>
      <x v="192"/>
      <x v="4123"/>
      <x v="4137"/>
    </i>
    <i>
      <x v="156"/>
      <x v="8"/>
      <x/>
      <x v="9"/>
      <x v="234"/>
      <x v="4124"/>
      <x v="4138"/>
    </i>
    <i>
      <x v="157"/>
      <x v="8"/>
      <x/>
      <x v="9"/>
      <x v="236"/>
      <x v="4125"/>
      <x v="4139"/>
    </i>
    <i>
      <x v="158"/>
      <x v="8"/>
      <x/>
      <x v="9"/>
      <x v="370"/>
      <x v="4126"/>
      <x v="4140"/>
    </i>
    <i>
      <x v="159"/>
      <x v="8"/>
      <x/>
      <x v="9"/>
      <x v="371"/>
      <x v="4127"/>
      <x v="4141"/>
    </i>
    <i>
      <x v="160"/>
      <x v="8"/>
      <x/>
      <x v="9"/>
      <x v="239"/>
      <x v="4128"/>
      <x v="4142"/>
    </i>
    <i>
      <x v="161"/>
      <x v="8"/>
      <x/>
      <x v="9"/>
      <x v="324"/>
      <x v="4129"/>
      <x v="4143"/>
    </i>
    <i>
      <x v="162"/>
      <x v="8"/>
      <x/>
      <x v="9"/>
      <x v="324"/>
      <x v="4130"/>
      <x v="4144"/>
    </i>
    <i>
      <x v="163"/>
      <x v="8"/>
      <x/>
      <x v="9"/>
      <x v="324"/>
      <x v="4131"/>
      <x v="4145"/>
    </i>
    <i>
      <x v="164"/>
      <x v="8"/>
      <x/>
      <x v="9"/>
      <x v="324"/>
      <x v="4132"/>
      <x v="4146"/>
    </i>
    <i>
      <x v="165"/>
      <x v="8"/>
      <x/>
      <x v="9"/>
      <x v="324"/>
      <x v="4133"/>
      <x v="4147"/>
    </i>
    <i>
      <x v="166"/>
      <x v="8"/>
      <x/>
      <x v="9"/>
      <x v="324"/>
      <x v="4134"/>
      <x v="4148"/>
    </i>
    <i>
      <x v="167"/>
      <x v="8"/>
      <x/>
      <x v="9"/>
      <x v="324"/>
      <x v="4135"/>
      <x v="4149"/>
    </i>
    <i>
      <x v="168"/>
      <x v="8"/>
      <x/>
      <x v="9"/>
      <x v="324"/>
      <x v="4136"/>
      <x v="4150"/>
    </i>
    <i>
      <x v="169"/>
      <x v="8"/>
      <x/>
      <x v="9"/>
      <x v="324"/>
      <x v="4137"/>
      <x v="4151"/>
    </i>
    <i>
      <x v="170"/>
      <x v="8"/>
      <x/>
      <x v="9"/>
      <x v="324"/>
      <x v="4138"/>
      <x v="4152"/>
    </i>
    <i>
      <x v="171"/>
      <x v="8"/>
      <x/>
      <x v="9"/>
      <x v="324"/>
      <x v="4139"/>
      <x v="4153"/>
    </i>
    <i>
      <x v="172"/>
      <x v="8"/>
      <x/>
      <x v="9"/>
      <x v="324"/>
      <x v="4140"/>
      <x v="4154"/>
    </i>
    <i>
      <x v="173"/>
      <x v="8"/>
      <x/>
      <x v="9"/>
      <x v="324"/>
      <x v="4141"/>
      <x v="4155"/>
    </i>
    <i>
      <x v="174"/>
      <x v="8"/>
      <x/>
      <x v="9"/>
      <x v="324"/>
      <x v="4142"/>
      <x v="4156"/>
    </i>
    <i>
      <x v="175"/>
      <x v="8"/>
      <x/>
      <x v="9"/>
      <x v="324"/>
      <x v="4143"/>
      <x v="4157"/>
    </i>
    <i>
      <x v="176"/>
      <x v="8"/>
      <x/>
      <x v="9"/>
      <x v="154"/>
      <x v="4144"/>
      <x v="4158"/>
    </i>
    <i>
      <x v="177"/>
      <x v="8"/>
      <x/>
      <x v="9"/>
      <x v="168"/>
      <x v="4145"/>
      <x v="4159"/>
    </i>
    <i>
      <x v="178"/>
      <x v="8"/>
      <x/>
      <x v="9"/>
      <x v="346"/>
      <x v="4146"/>
      <x v="4160"/>
    </i>
    <i>
      <x v="179"/>
      <x v="8"/>
      <x/>
      <x v="9"/>
      <x v="12"/>
      <x v="4147"/>
      <x v="4161"/>
    </i>
    <i>
      <x v="180"/>
      <x v="8"/>
      <x/>
      <x v="9"/>
      <x v="372"/>
      <x v="4148"/>
      <x v="4162"/>
    </i>
    <i>
      <x v="181"/>
      <x v="8"/>
      <x/>
      <x v="9"/>
      <x v="298"/>
      <x v="4149"/>
      <x v="4163"/>
    </i>
    <i>
      <x v="182"/>
      <x v="8"/>
      <x/>
      <x v="9"/>
      <x v="360"/>
      <x v="4150"/>
      <x v="4164"/>
    </i>
    <i>
      <x v="183"/>
      <x v="8"/>
      <x/>
      <x v="9"/>
      <x v="113"/>
      <x v="4151"/>
      <x v="4165"/>
    </i>
    <i>
      <x v="184"/>
      <x v="8"/>
      <x/>
      <x v="9"/>
      <x v="9"/>
      <x v="4152"/>
      <x v="4166"/>
    </i>
    <i>
      <x v="185"/>
      <x v="8"/>
      <x/>
      <x v="9"/>
      <x v="18"/>
      <x v="4153"/>
      <x v="4167"/>
    </i>
    <i>
      <x v="186"/>
      <x v="8"/>
      <x/>
      <x v="9"/>
      <x v="338"/>
      <x v="4154"/>
      <x v="4168"/>
    </i>
    <i>
      <x v="187"/>
      <x v="8"/>
      <x/>
      <x v="9"/>
      <x v="362"/>
      <x v="4155"/>
      <x v="4169"/>
    </i>
    <i>
      <x v="188"/>
      <x v="8"/>
      <x/>
      <x v="9"/>
      <x v="81"/>
      <x v="4156"/>
      <x v="4170"/>
    </i>
    <i>
      <x v="189"/>
      <x v="8"/>
      <x/>
      <x v="9"/>
      <x v="347"/>
      <x v="4157"/>
      <x v="4171"/>
    </i>
    <i>
      <x v="190"/>
      <x v="8"/>
      <x/>
      <x v="9"/>
      <x v="69"/>
      <x v="4158"/>
      <x v="4172"/>
    </i>
    <i>
      <x v="191"/>
      <x v="8"/>
      <x/>
      <x v="9"/>
      <x v="111"/>
      <x v="4159"/>
      <x v="4173"/>
    </i>
    <i>
      <x v="192"/>
      <x v="8"/>
      <x/>
      <x v="9"/>
      <x v="126"/>
      <x v="4160"/>
      <x v="4174"/>
    </i>
    <i>
      <x v="193"/>
      <x v="8"/>
      <x/>
      <x v="9"/>
      <x v="193"/>
      <x v="4161"/>
      <x v="4175"/>
    </i>
    <i>
      <x v="194"/>
      <x v="8"/>
      <x/>
      <x v="9"/>
      <x v="351"/>
      <x v="4161"/>
      <x v="4176"/>
    </i>
    <i>
      <x v="195"/>
      <x v="8"/>
      <x/>
      <x v="9"/>
      <x v="21"/>
      <x v="4161"/>
      <x v="4177"/>
    </i>
    <i>
      <x v="196"/>
      <x v="8"/>
      <x/>
      <x v="9"/>
      <x v="123"/>
      <x v="4161"/>
      <x v="4178"/>
    </i>
    <i>
      <x v="197"/>
      <x v="8"/>
      <x/>
      <x v="9"/>
      <x v="139"/>
      <x v="4161"/>
      <x v="4179"/>
    </i>
    <i>
      <x v="198"/>
      <x v="8"/>
      <x/>
      <x v="9"/>
      <x v="152"/>
      <x v="4161"/>
      <x v="4180"/>
    </i>
    <i>
      <x v="199"/>
      <x v="8"/>
      <x/>
      <x v="9"/>
      <x v="253"/>
      <x v="4161"/>
      <x v="4181"/>
    </i>
    <i>
      <x v="200"/>
      <x v="8"/>
      <x/>
      <x v="9"/>
      <x v="363"/>
      <x v="4161"/>
      <x v="4182"/>
    </i>
    <i>
      <x v="201"/>
      <x v="8"/>
      <x/>
      <x v="9"/>
      <x v="302"/>
      <x v="4161"/>
      <x v="4183"/>
    </i>
    <i>
      <x v="202"/>
      <x v="8"/>
      <x/>
      <x v="9"/>
      <x v="364"/>
      <x v="4161"/>
      <x v="4184"/>
    </i>
    <i>
      <x v="203"/>
      <x v="8"/>
      <x/>
      <x v="9"/>
      <x v="354"/>
      <x v="4161"/>
      <x v="4185"/>
    </i>
    <i>
      <x v="204"/>
      <x v="8"/>
      <x/>
      <x v="9"/>
      <x v="356"/>
      <x v="4161"/>
      <x v="4186"/>
    </i>
    <i>
      <x v="205"/>
      <x v="8"/>
      <x/>
      <x v="9"/>
      <x v="101"/>
      <x v="4161"/>
      <x v="4187"/>
    </i>
    <i>
      <x v="206"/>
      <x v="8"/>
      <x/>
      <x v="9"/>
      <x v="260"/>
      <x v="4161"/>
      <x v="4188"/>
    </i>
    <i>
      <x v="207"/>
      <x v="8"/>
      <x/>
      <x v="9"/>
      <x v="282"/>
      <x v="4161"/>
      <x v="4189"/>
    </i>
    <i>
      <x v="208"/>
      <x v="8"/>
      <x/>
      <x v="9"/>
      <x v="303"/>
      <x v="4162"/>
      <x v="4190"/>
    </i>
    <i>
      <x v="209"/>
      <x v="8"/>
      <x/>
      <x v="9"/>
      <x v="319"/>
      <x v="4163"/>
      <x v="4191"/>
    </i>
    <i>
      <x v="210"/>
      <x v="8"/>
      <x/>
      <x v="9"/>
      <x v="321"/>
      <x v="4164"/>
      <x v="4192"/>
    </i>
    <i>
      <x v="211"/>
      <x v="8"/>
      <x/>
      <x v="9"/>
      <x v="33"/>
      <x v="4165"/>
      <x v="4193"/>
    </i>
    <i>
      <x v="212"/>
      <x v="8"/>
      <x/>
      <x v="9"/>
      <x v="365"/>
      <x v="4166"/>
      <x v="4194"/>
    </i>
    <i>
      <x v="213"/>
      <x v="8"/>
      <x/>
      <x v="9"/>
      <x v="366"/>
      <x v="4167"/>
      <x v="4195"/>
    </i>
    <i>
      <x v="214"/>
      <x v="8"/>
      <x/>
      <x v="9"/>
      <x v="140"/>
      <x v="4168"/>
      <x v="4196"/>
    </i>
    <i>
      <x v="215"/>
      <x v="8"/>
      <x/>
      <x v="9"/>
      <x v="174"/>
      <x v="4169"/>
      <x v="4197"/>
    </i>
    <i>
      <x v="216"/>
      <x v="8"/>
      <x/>
      <x v="9"/>
      <x v="205"/>
      <x v="4169"/>
      <x v="4198"/>
    </i>
    <i>
      <x v="217"/>
      <x v="8"/>
      <x/>
      <x v="9"/>
      <x v="306"/>
      <x v="4169"/>
      <x v="4199"/>
    </i>
    <i>
      <x v="218"/>
      <x v="8"/>
      <x/>
      <x v="9"/>
      <x v="328"/>
      <x v="4169"/>
      <x v="4200"/>
    </i>
    <i>
      <x v="219"/>
      <x v="8"/>
      <x/>
      <x v="9"/>
      <x v="11"/>
      <x v="4169"/>
      <x v="4201"/>
    </i>
    <i>
      <x v="220"/>
      <x v="8"/>
      <x/>
      <x v="9"/>
      <x v="27"/>
      <x v="4169"/>
      <x v="4202"/>
    </i>
    <i>
      <x v="221"/>
      <x v="8"/>
      <x/>
      <x v="9"/>
      <x v="40"/>
      <x v="4169"/>
      <x v="4203"/>
    </i>
    <i>
      <x v="222"/>
      <x v="8"/>
      <x/>
      <x v="9"/>
      <x v="367"/>
      <x v="4169"/>
      <x v="4204"/>
    </i>
    <i>
      <x v="223"/>
      <x v="8"/>
      <x/>
      <x v="9"/>
      <x v="70"/>
      <x v="4169"/>
      <x v="4205"/>
    </i>
    <i>
      <x v="224"/>
      <x v="8"/>
      <x/>
      <x v="9"/>
      <x v="153"/>
      <x v="4169"/>
      <x v="4206"/>
    </i>
    <i>
      <x v="225"/>
      <x v="8"/>
      <x/>
      <x v="9"/>
      <x v="329"/>
      <x v="4169"/>
      <x v="4207"/>
    </i>
    <i>
      <x v="226"/>
      <x v="8"/>
      <x/>
      <x v="9"/>
      <x v="368"/>
      <x v="4169"/>
      <x v="4208"/>
    </i>
    <i>
      <x v="227"/>
      <x v="8"/>
      <x/>
      <x v="9"/>
      <x v="8"/>
      <x v="4169"/>
      <x v="4209"/>
    </i>
    <i>
      <x v="228"/>
      <x v="8"/>
      <x/>
      <x v="9"/>
      <x v="136"/>
      <x v="4169"/>
      <x v="4210"/>
    </i>
    <i>
      <x v="229"/>
      <x v="8"/>
      <x/>
      <x v="9"/>
      <x v="148"/>
      <x v="4170"/>
      <x v="4211"/>
    </i>
    <i>
      <x v="230"/>
      <x v="8"/>
      <x/>
      <x v="9"/>
      <x v="185"/>
      <x v="4171"/>
      <x v="4212"/>
    </i>
    <i>
      <x v="231"/>
      <x v="8"/>
      <x/>
      <x v="9"/>
      <x v="369"/>
      <x v="4172"/>
      <x v="4213"/>
    </i>
    <i>
      <x v="232"/>
      <x v="8"/>
      <x/>
      <x v="9"/>
      <x v="331"/>
      <x v="4173"/>
      <x v="4214"/>
    </i>
    <i>
      <x v="233"/>
      <x v="8"/>
      <x/>
      <x v="9"/>
      <x v="350"/>
      <x v="4174"/>
      <x v="4215"/>
    </i>
    <i>
      <x v="234"/>
      <x v="8"/>
      <x/>
      <x v="9"/>
      <x v="355"/>
      <x v="4175"/>
      <x v="4216"/>
    </i>
    <i>
      <x v="235"/>
      <x v="8"/>
      <x/>
      <x v="9"/>
      <x v="6"/>
      <x v="4176"/>
      <x v="4217"/>
    </i>
    <i>
      <x v="236"/>
      <x v="8"/>
      <x/>
      <x v="9"/>
      <x v="31"/>
      <x v="4177"/>
      <x v="4218"/>
    </i>
    <i>
      <x v="237"/>
      <x v="8"/>
      <x/>
      <x v="9"/>
      <x v="192"/>
      <x v="4178"/>
      <x v="4219"/>
    </i>
    <i>
      <x v="238"/>
      <x v="8"/>
      <x/>
      <x v="9"/>
      <x v="234"/>
      <x v="4179"/>
      <x v="4220"/>
    </i>
    <i>
      <x v="239"/>
      <x v="8"/>
      <x/>
      <x v="9"/>
      <x v="236"/>
      <x v="4180"/>
      <x v="4221"/>
    </i>
    <i>
      <x v="240"/>
      <x v="8"/>
      <x/>
      <x v="9"/>
      <x v="370"/>
      <x v="4181"/>
      <x v="4222"/>
    </i>
    <i>
      <x v="241"/>
      <x v="8"/>
      <x/>
      <x v="9"/>
      <x v="371"/>
      <x v="4182"/>
      <x v="4223"/>
    </i>
    <i>
      <x v="242"/>
      <x v="8"/>
      <x/>
      <x v="9"/>
      <x v="239"/>
      <x v="4183"/>
      <x v="4224"/>
    </i>
    <i>
      <x v="243"/>
      <x v="8"/>
      <x/>
      <x v="9"/>
      <x v="324"/>
      <x v="4184"/>
      <x v="4225"/>
    </i>
    <i>
      <x v="244"/>
      <x v="8"/>
      <x/>
      <x v="9"/>
      <x v="324"/>
      <x v="4185"/>
      <x v="4226"/>
    </i>
    <i>
      <x v="245"/>
      <x v="8"/>
      <x/>
      <x v="9"/>
      <x v="324"/>
      <x v="4186"/>
      <x v="4227"/>
    </i>
    <i>
      <x v="246"/>
      <x v="8"/>
      <x/>
      <x v="9"/>
      <x v="324"/>
      <x v="4187"/>
      <x v="4228"/>
    </i>
    <i>
      <x v="247"/>
      <x v="8"/>
      <x/>
      <x v="9"/>
      <x v="324"/>
      <x v="4188"/>
      <x v="4229"/>
    </i>
    <i>
      <x v="248"/>
      <x v="8"/>
      <x/>
      <x v="9"/>
      <x v="324"/>
      <x v="4189"/>
      <x v="4230"/>
    </i>
    <i>
      <x v="249"/>
      <x v="8"/>
      <x/>
      <x v="9"/>
      <x v="324"/>
      <x v="4190"/>
      <x v="4231"/>
    </i>
    <i>
      <x v="250"/>
      <x v="8"/>
      <x/>
      <x v="9"/>
      <x v="324"/>
      <x v="4191"/>
      <x v="4232"/>
    </i>
    <i>
      <x v="251"/>
      <x v="8"/>
      <x/>
      <x v="9"/>
      <x v="324"/>
      <x v="4192"/>
      <x v="4233"/>
    </i>
    <i>
      <x v="252"/>
      <x v="8"/>
      <x/>
      <x v="9"/>
      <x v="324"/>
      <x v="4193"/>
      <x v="4234"/>
    </i>
    <i>
      <x v="253"/>
      <x v="8"/>
      <x/>
      <x v="9"/>
      <x v="324"/>
      <x v="4194"/>
      <x v="4235"/>
    </i>
    <i>
      <x v="254"/>
      <x v="8"/>
      <x/>
      <x v="9"/>
      <x v="324"/>
      <x v="4195"/>
      <x v="4236"/>
    </i>
    <i>
      <x v="255"/>
      <x v="8"/>
      <x/>
      <x v="9"/>
      <x v="324"/>
      <x v="4196"/>
      <x v="4237"/>
    </i>
    <i>
      <x v="256"/>
      <x v="8"/>
      <x/>
      <x v="9"/>
      <x v="324"/>
      <x v="4197"/>
      <x v="4238"/>
    </i>
    <i>
      <x v="257"/>
      <x v="8"/>
      <x/>
      <x v="9"/>
      <x v="324"/>
      <x v="4198"/>
      <x v="4239"/>
    </i>
    <i>
      <x v="258"/>
      <x v="8"/>
      <x/>
      <x v="9"/>
      <x v="154"/>
      <x v="4199"/>
      <x v="4240"/>
    </i>
    <i>
      <x v="259"/>
      <x v="8"/>
      <x/>
      <x v="9"/>
      <x v="168"/>
      <x v="4200"/>
      <x v="4241"/>
    </i>
    <i>
      <x v="260"/>
      <x v="8"/>
      <x/>
      <x v="9"/>
      <x v="346"/>
      <x v="4201"/>
      <x v="4242"/>
    </i>
    <i>
      <x v="261"/>
      <x v="8"/>
      <x/>
      <x v="9"/>
      <x v="12"/>
      <x v="4202"/>
      <x v="4243"/>
    </i>
    <i>
      <x v="262"/>
      <x v="8"/>
      <x/>
      <x v="9"/>
      <x v="372"/>
      <x v="4203"/>
      <x v="4244"/>
    </i>
    <i>
      <x v="263"/>
      <x v="8"/>
      <x/>
      <x v="9"/>
      <x v="298"/>
      <x v="4204"/>
      <x v="4245"/>
    </i>
    <i>
      <x v="264"/>
      <x v="8"/>
      <x/>
      <x v="9"/>
      <x v="360"/>
      <x v="4205"/>
      <x v="4246"/>
    </i>
    <i>
      <x v="265"/>
      <x v="8"/>
      <x v="1"/>
      <x v="9"/>
      <x v="41"/>
      <x v="4206"/>
      <x v="4247"/>
    </i>
    <i>
      <x v="266"/>
      <x v="8"/>
      <x v="1"/>
      <x v="9"/>
      <x v="41"/>
      <x v="4207"/>
      <x v="4248"/>
    </i>
    <i>
      <x v="267"/>
      <x v="8"/>
      <x v="1"/>
      <x v="9"/>
      <x v="41"/>
      <x v="4208"/>
      <x v="4249"/>
    </i>
    <i>
      <x v="268"/>
      <x v="8"/>
      <x v="1"/>
      <x v="9"/>
      <x v="41"/>
      <x v="4209"/>
      <x v="4250"/>
    </i>
    <i>
      <x v="269"/>
      <x v="8"/>
      <x v="1"/>
      <x v="9"/>
      <x v="41"/>
      <x v="4210"/>
      <x v="4251"/>
    </i>
    <i>
      <x v="270"/>
      <x v="8"/>
      <x v="1"/>
      <x v="9"/>
      <x v="41"/>
      <x v="4211"/>
      <x v="4252"/>
    </i>
    <i>
      <x v="271"/>
      <x v="8"/>
      <x v="1"/>
      <x v="9"/>
      <x v="41"/>
      <x v="4212"/>
      <x v="4253"/>
    </i>
    <i>
      <x v="272"/>
      <x v="8"/>
      <x v="1"/>
      <x v="9"/>
      <x v="41"/>
      <x v="4213"/>
      <x v="4254"/>
    </i>
    <i>
      <x v="273"/>
      <x v="8"/>
      <x v="1"/>
      <x v="9"/>
      <x v="41"/>
      <x v="4214"/>
      <x v="4255"/>
    </i>
    <i>
      <x v="274"/>
      <x v="8"/>
      <x v="1"/>
      <x v="9"/>
      <x v="41"/>
      <x v="4215"/>
      <x v="4256"/>
    </i>
    <i>
      <x v="275"/>
      <x v="8"/>
      <x v="1"/>
      <x v="9"/>
      <x v="41"/>
      <x v="4216"/>
      <x v="4257"/>
    </i>
    <i>
      <x v="276"/>
      <x v="8"/>
      <x v="1"/>
      <x v="9"/>
      <x v="41"/>
      <x v="4217"/>
      <x v="4258"/>
    </i>
    <i>
      <x v="277"/>
      <x v="8"/>
      <x v="1"/>
      <x v="9"/>
      <x v="41"/>
      <x v="4218"/>
      <x v="4259"/>
    </i>
    <i>
      <x v="278"/>
      <x v="8"/>
      <x v="1"/>
      <x v="9"/>
      <x v="41"/>
      <x v="4219"/>
      <x v="4260"/>
    </i>
    <i>
      <x v="279"/>
      <x v="8"/>
      <x v="2"/>
      <x v="9"/>
      <x v="276"/>
      <x v="4220"/>
      <x v="4261"/>
    </i>
    <i>
      <x v="280"/>
      <x v="8"/>
      <x v="2"/>
      <x v="9"/>
      <x v="264"/>
      <x v="4220"/>
      <x v="4262"/>
    </i>
    <i>
      <x v="281"/>
      <x v="8"/>
      <x v="2"/>
      <x v="9"/>
      <x v="266"/>
      <x v="4220"/>
      <x v="4263"/>
    </i>
    <i>
      <x v="282"/>
      <x v="8"/>
      <x v="2"/>
      <x v="9"/>
      <x v="268"/>
      <x v="4220"/>
      <x v="4264"/>
    </i>
    <i>
      <x v="283"/>
      <x v="8"/>
      <x v="2"/>
      <x v="9"/>
      <x v="277"/>
      <x v="4220"/>
      <x v="4265"/>
    </i>
    <i>
      <x v="284"/>
      <x v="8"/>
      <x v="2"/>
      <x v="9"/>
      <x v="275"/>
      <x v="4220"/>
      <x v="4266"/>
    </i>
    <i>
      <x v="285"/>
      <x v="8"/>
      <x v="2"/>
      <x v="9"/>
      <x v="273"/>
      <x v="4220"/>
      <x v="4267"/>
    </i>
    <i>
      <x v="286"/>
      <x v="8"/>
      <x v="2"/>
      <x v="9"/>
      <x v="278"/>
      <x v="4220"/>
      <x v="4268"/>
    </i>
    <i>
      <x v="287"/>
      <x v="8"/>
      <x v="2"/>
      <x v="9"/>
      <x v="269"/>
      <x v="4220"/>
      <x v="4269"/>
    </i>
    <i>
      <x v="288"/>
      <x v="8"/>
      <x v="2"/>
      <x v="9"/>
      <x v="270"/>
      <x v="4220"/>
      <x v="4270"/>
    </i>
    <i>
      <x v="289"/>
      <x v="8"/>
      <x v="2"/>
      <x v="9"/>
      <x v="267"/>
      <x v="4220"/>
      <x v="4271"/>
    </i>
    <i>
      <x v="290"/>
      <x v="8"/>
      <x v="2"/>
      <x v="9"/>
      <x v="272"/>
      <x v="4220"/>
      <x v="4272"/>
    </i>
    <i>
      <x v="291"/>
      <x v="8"/>
      <x v="2"/>
      <x v="9"/>
      <x v="279"/>
      <x v="4220"/>
      <x v="4273"/>
    </i>
    <i>
      <x v="292"/>
      <x v="8"/>
      <x v="2"/>
      <x v="9"/>
      <x v="271"/>
      <x v="4220"/>
      <x v="4274"/>
    </i>
    <i>
      <x v="293"/>
      <x v="8"/>
      <x v="2"/>
      <x v="9"/>
      <x v="265"/>
      <x v="4220"/>
      <x v="4275"/>
    </i>
    <i>
      <x v="294"/>
      <x v="8"/>
      <x v="2"/>
      <x v="9"/>
      <x v="274"/>
      <x v="4220"/>
      <x v="4276"/>
    </i>
    <i>
      <x v="295"/>
      <x v="8"/>
      <x v="2"/>
      <x v="9"/>
      <x v="276"/>
      <x v="4221"/>
      <x v="4277"/>
    </i>
    <i>
      <x v="296"/>
      <x v="8"/>
      <x v="2"/>
      <x v="9"/>
      <x v="264"/>
      <x v="4221"/>
      <x v="4278"/>
    </i>
    <i>
      <x v="297"/>
      <x v="8"/>
      <x v="2"/>
      <x v="9"/>
      <x v="266"/>
      <x v="4221"/>
      <x v="4279"/>
    </i>
    <i>
      <x v="298"/>
      <x v="8"/>
      <x v="2"/>
      <x v="9"/>
      <x v="268"/>
      <x v="4221"/>
      <x v="4280"/>
    </i>
    <i>
      <x v="299"/>
      <x v="8"/>
      <x v="2"/>
      <x v="9"/>
      <x v="277"/>
      <x v="4221"/>
      <x v="4281"/>
    </i>
    <i>
      <x v="300"/>
      <x v="8"/>
      <x v="2"/>
      <x v="9"/>
      <x v="275"/>
      <x v="4221"/>
      <x v="4282"/>
    </i>
    <i>
      <x v="301"/>
      <x v="8"/>
      <x v="2"/>
      <x v="9"/>
      <x v="273"/>
      <x v="4221"/>
      <x v="4283"/>
    </i>
    <i>
      <x v="302"/>
      <x v="8"/>
      <x v="2"/>
      <x v="9"/>
      <x v="278"/>
      <x v="4221"/>
      <x v="4284"/>
    </i>
    <i>
      <x v="303"/>
      <x v="8"/>
      <x v="2"/>
      <x v="9"/>
      <x v="269"/>
      <x v="4221"/>
      <x v="4285"/>
    </i>
    <i>
      <x v="304"/>
      <x v="8"/>
      <x v="2"/>
      <x v="9"/>
      <x v="270"/>
      <x v="4221"/>
      <x v="4286"/>
    </i>
    <i>
      <x v="305"/>
      <x v="8"/>
      <x v="2"/>
      <x v="9"/>
      <x v="267"/>
      <x v="4221"/>
      <x v="4287"/>
    </i>
    <i>
      <x v="306"/>
      <x v="8"/>
      <x v="2"/>
      <x v="9"/>
      <x v="272"/>
      <x v="4221"/>
      <x v="4288"/>
    </i>
    <i>
      <x v="307"/>
      <x v="8"/>
      <x v="2"/>
      <x v="9"/>
      <x v="279"/>
      <x v="4221"/>
      <x v="4289"/>
    </i>
    <i>
      <x v="308"/>
      <x v="8"/>
      <x v="2"/>
      <x v="9"/>
      <x v="271"/>
      <x v="4221"/>
      <x v="4290"/>
    </i>
    <i>
      <x v="309"/>
      <x v="8"/>
      <x v="2"/>
      <x v="9"/>
      <x v="265"/>
      <x v="4221"/>
      <x v="4291"/>
    </i>
    <i>
      <x v="310"/>
      <x v="8"/>
      <x v="2"/>
      <x v="9"/>
      <x v="274"/>
      <x v="4221"/>
      <x v="4292"/>
    </i>
    <i>
      <x v="311"/>
      <x v="8"/>
      <x v="2"/>
      <x v="9"/>
      <x v="276"/>
      <x v="4222"/>
      <x v="4293"/>
    </i>
    <i>
      <x v="312"/>
      <x v="8"/>
      <x v="2"/>
      <x v="9"/>
      <x v="264"/>
      <x v="4223"/>
      <x v="4294"/>
    </i>
    <i>
      <x v="313"/>
      <x v="8"/>
      <x v="2"/>
      <x v="9"/>
      <x v="266"/>
      <x v="4224"/>
      <x v="4295"/>
    </i>
    <i>
      <x v="314"/>
      <x v="8"/>
      <x v="2"/>
      <x v="9"/>
      <x v="268"/>
      <x v="4225"/>
      <x v="4296"/>
    </i>
    <i>
      <x v="315"/>
      <x v="8"/>
      <x v="2"/>
      <x v="9"/>
      <x v="277"/>
      <x v="4226"/>
      <x v="4297"/>
    </i>
    <i>
      <x v="316"/>
      <x v="8"/>
      <x v="2"/>
      <x v="9"/>
      <x v="275"/>
      <x v="4227"/>
      <x v="4298"/>
    </i>
    <i>
      <x v="317"/>
      <x v="8"/>
      <x v="2"/>
      <x v="9"/>
      <x v="273"/>
      <x v="4228"/>
      <x v="4299"/>
    </i>
    <i>
      <x v="318"/>
      <x v="8"/>
      <x v="2"/>
      <x v="9"/>
      <x v="278"/>
      <x v="4229"/>
      <x v="4300"/>
    </i>
    <i>
      <x v="319"/>
      <x v="8"/>
      <x v="2"/>
      <x v="9"/>
      <x v="269"/>
      <x v="4230"/>
      <x v="4301"/>
    </i>
    <i>
      <x v="320"/>
      <x v="8"/>
      <x v="2"/>
      <x v="9"/>
      <x v="270"/>
      <x v="4231"/>
      <x v="4302"/>
    </i>
    <i>
      <x v="321"/>
      <x v="8"/>
      <x v="2"/>
      <x v="9"/>
      <x v="267"/>
      <x v="4232"/>
      <x v="4303"/>
    </i>
    <i>
      <x v="322"/>
      <x v="8"/>
      <x v="2"/>
      <x v="9"/>
      <x v="272"/>
      <x v="4233"/>
      <x v="4304"/>
    </i>
    <i>
      <x v="323"/>
      <x v="8"/>
      <x v="2"/>
      <x v="9"/>
      <x v="279"/>
      <x v="4234"/>
      <x v="4305"/>
    </i>
    <i>
      <x v="324"/>
      <x v="8"/>
      <x v="2"/>
      <x v="9"/>
      <x v="271"/>
      <x v="4235"/>
      <x v="4306"/>
    </i>
    <i>
      <x v="325"/>
      <x v="8"/>
      <x v="2"/>
      <x v="9"/>
      <x v="265"/>
      <x v="4236"/>
      <x v="4307"/>
    </i>
    <i>
      <x v="326"/>
      <x v="8"/>
      <x v="2"/>
      <x v="9"/>
      <x v="274"/>
      <x v="4237"/>
      <x v="4308"/>
    </i>
    <i>
      <x v="327"/>
      <x v="8"/>
      <x v="1"/>
      <x v="9"/>
      <x v="41"/>
      <x v="4238"/>
      <x v="4309"/>
    </i>
    <i>
      <x v="328"/>
      <x v="8"/>
      <x v="1"/>
      <x v="9"/>
      <x v="41"/>
      <x v="4239"/>
      <x v="4310"/>
    </i>
    <i>
      <x v="329"/>
      <x v="8"/>
      <x v="1"/>
      <x v="9"/>
      <x v="41"/>
      <x v="4240"/>
      <x v="4311"/>
    </i>
    <i>
      <x v="330"/>
      <x v="8"/>
      <x v="1"/>
      <x v="9"/>
      <x v="41"/>
      <x v="4241"/>
      <x v="4312"/>
    </i>
    <i>
      <x v="331"/>
      <x v="8"/>
      <x v="1"/>
      <x v="9"/>
      <x v="41"/>
      <x v="4242"/>
      <x v="4313"/>
    </i>
    <i>
      <x v="332"/>
      <x v="8"/>
      <x v="1"/>
      <x v="9"/>
      <x v="41"/>
      <x v="4243"/>
      <x v="4314"/>
    </i>
    <i>
      <x v="333"/>
      <x v="8"/>
      <x v="1"/>
      <x v="9"/>
      <x v="41"/>
      <x v="4244"/>
      <x v="4315"/>
    </i>
    <i>
      <x v="334"/>
      <x v="8"/>
      <x v="1"/>
      <x v="9"/>
      <x v="41"/>
      <x v="4245"/>
      <x v="4316"/>
    </i>
    <i>
      <x v="335"/>
      <x v="8"/>
      <x v="1"/>
      <x v="9"/>
      <x v="41"/>
      <x v="4246"/>
      <x v="4317"/>
    </i>
    <i>
      <x v="336"/>
      <x v="8"/>
      <x v="1"/>
      <x v="9"/>
      <x v="41"/>
      <x v="4247"/>
      <x v="4318"/>
    </i>
    <i>
      <x v="337"/>
      <x v="8"/>
      <x v="1"/>
      <x v="9"/>
      <x v="41"/>
      <x v="4248"/>
      <x v="4319"/>
    </i>
    <i>
      <x v="338"/>
      <x v="8"/>
      <x v="1"/>
      <x v="9"/>
      <x v="41"/>
      <x v="4249"/>
      <x v="4320"/>
    </i>
    <i>
      <x v="339"/>
      <x v="8"/>
      <x v="1"/>
      <x v="9"/>
      <x v="41"/>
      <x v="4250"/>
      <x v="4321"/>
    </i>
    <i>
      <x v="340"/>
      <x v="8"/>
      <x v="1"/>
      <x v="9"/>
      <x v="41"/>
      <x v="4251"/>
      <x v="4322"/>
    </i>
    <i>
      <x v="341"/>
      <x v="8"/>
      <x v="1"/>
      <x v="9"/>
      <x v="41"/>
      <x v="4252"/>
      <x v="4323"/>
    </i>
    <i>
      <x v="342"/>
      <x v="8"/>
      <x v="1"/>
      <x v="9"/>
      <x v="41"/>
      <x v="4253"/>
      <x v="4324"/>
    </i>
    <i>
      <x v="343"/>
      <x v="8"/>
      <x v="1"/>
      <x v="9"/>
      <x v="41"/>
      <x v="4254"/>
      <x v="4325"/>
    </i>
    <i>
      <x v="344"/>
      <x v="8"/>
      <x v="1"/>
      <x v="9"/>
      <x v="41"/>
      <x v="4255"/>
      <x v="4326"/>
    </i>
    <i>
      <x v="345"/>
      <x v="8"/>
      <x v="1"/>
      <x v="9"/>
      <x v="41"/>
      <x v="4256"/>
      <x v="4327"/>
    </i>
    <i>
      <x v="346"/>
      <x v="8"/>
      <x v="1"/>
      <x v="9"/>
      <x v="41"/>
      <x v="4257"/>
      <x v="4328"/>
    </i>
    <i>
      <x v="347"/>
      <x v="8"/>
      <x v="1"/>
      <x v="9"/>
      <x v="41"/>
      <x v="4258"/>
      <x v="4329"/>
    </i>
    <i>
      <x v="348"/>
      <x v="8"/>
      <x v="1"/>
      <x v="9"/>
      <x v="41"/>
      <x v="4259"/>
      <x v="4330"/>
    </i>
    <i>
      <x v="349"/>
      <x v="8"/>
      <x v="1"/>
      <x v="9"/>
      <x v="41"/>
      <x v="4260"/>
      <x v="4331"/>
    </i>
    <i>
      <x v="350"/>
      <x v="8"/>
      <x v="1"/>
      <x v="9"/>
      <x v="41"/>
      <x v="4261"/>
      <x v="4332"/>
    </i>
    <i>
      <x v="351"/>
      <x v="8"/>
      <x v="1"/>
      <x v="9"/>
      <x v="41"/>
      <x v="4262"/>
      <x v="4333"/>
    </i>
    <i>
      <x v="352"/>
      <x v="8"/>
      <x v="1"/>
      <x v="9"/>
      <x v="41"/>
      <x v="4263"/>
      <x v="4334"/>
    </i>
    <i>
      <x v="353"/>
      <x v="8"/>
      <x v="1"/>
      <x v="9"/>
      <x v="41"/>
      <x v="4264"/>
      <x v="4335"/>
    </i>
    <i>
      <x v="354"/>
      <x v="8"/>
      <x v="1"/>
      <x v="9"/>
      <x v="41"/>
      <x v="4265"/>
      <x v="4336"/>
    </i>
    <i>
      <x v="355"/>
      <x v="8"/>
      <x v="1"/>
      <x v="9"/>
      <x v="41"/>
      <x v="4266"/>
      <x v="4337"/>
    </i>
    <i>
      <x v="356"/>
      <x v="8"/>
      <x v="1"/>
      <x v="9"/>
      <x v="41"/>
      <x v="4267"/>
      <x v="4338"/>
    </i>
    <i>
      <x v="357"/>
      <x v="8"/>
      <x v="1"/>
      <x v="9"/>
      <x v="41"/>
      <x v="4268"/>
      <x v="4339"/>
    </i>
    <i>
      <x v="358"/>
      <x v="8"/>
      <x v="1"/>
      <x v="9"/>
      <x v="41"/>
      <x v="4269"/>
      <x v="4340"/>
    </i>
    <i>
      <x v="359"/>
      <x v="8"/>
      <x v="1"/>
      <x v="9"/>
      <x v="41"/>
      <x v="4270"/>
      <x v="4341"/>
    </i>
    <i>
      <x v="360"/>
      <x v="8"/>
      <x v="1"/>
      <x v="9"/>
      <x v="41"/>
      <x v="4271"/>
      <x v="4342"/>
    </i>
    <i>
      <x v="361"/>
      <x v="10"/>
      <x v="1"/>
      <x v="12"/>
      <x v="41"/>
      <x v="4272"/>
      <x v="4343"/>
    </i>
    <i>
      <x v="362"/>
      <x v="11"/>
      <x v="1"/>
      <x v="12"/>
      <x v="41"/>
      <x v="4273"/>
      <x v="4344"/>
    </i>
    <i>
      <x v="363"/>
      <x v="12"/>
      <x v="1"/>
      <x v="12"/>
      <x v="41"/>
      <x v="4274"/>
      <x v="4345"/>
    </i>
    <i>
      <x v="364"/>
      <x v="13"/>
      <x v="2"/>
      <x v="12"/>
      <x v="276"/>
      <x v="4275"/>
      <x v="4346"/>
    </i>
    <i>
      <x v="365"/>
      <x v="13"/>
      <x v="2"/>
      <x v="12"/>
      <x v="264"/>
      <x v="4276"/>
      <x v="4347"/>
    </i>
    <i>
      <x v="366"/>
      <x v="13"/>
      <x v="2"/>
      <x v="12"/>
      <x v="266"/>
      <x v="4277"/>
      <x v="4348"/>
    </i>
    <i>
      <x v="367"/>
      <x v="13"/>
      <x v="2"/>
      <x v="12"/>
      <x v="268"/>
      <x v="4278"/>
      <x v="4349"/>
    </i>
    <i>
      <x v="368"/>
      <x v="13"/>
      <x v="2"/>
      <x v="12"/>
      <x v="277"/>
      <x v="4279"/>
      <x v="4350"/>
    </i>
    <i>
      <x v="369"/>
      <x v="13"/>
      <x v="2"/>
      <x v="12"/>
      <x v="275"/>
      <x v="4280"/>
      <x v="4351"/>
    </i>
    <i>
      <x v="370"/>
      <x v="13"/>
      <x v="2"/>
      <x v="12"/>
      <x v="273"/>
      <x v="4281"/>
      <x v="4352"/>
    </i>
    <i>
      <x v="371"/>
      <x v="13"/>
      <x v="2"/>
      <x v="12"/>
      <x v="278"/>
      <x v="4282"/>
      <x v="4353"/>
    </i>
    <i>
      <x v="372"/>
      <x v="13"/>
      <x v="2"/>
      <x v="12"/>
      <x v="269"/>
      <x v="4283"/>
      <x v="4354"/>
    </i>
    <i>
      <x v="373"/>
      <x v="13"/>
      <x v="2"/>
      <x v="12"/>
      <x v="270"/>
      <x v="4284"/>
      <x v="4355"/>
    </i>
    <i>
      <x v="374"/>
      <x v="13"/>
      <x v="2"/>
      <x v="12"/>
      <x v="267"/>
      <x v="4285"/>
      <x v="4356"/>
    </i>
    <i>
      <x v="375"/>
      <x v="13"/>
      <x v="2"/>
      <x v="12"/>
      <x v="272"/>
      <x v="4286"/>
      <x v="4357"/>
    </i>
    <i>
      <x v="376"/>
      <x v="13"/>
      <x v="2"/>
      <x v="12"/>
      <x v="279"/>
      <x v="4287"/>
      <x v="4358"/>
    </i>
    <i>
      <x v="377"/>
      <x v="13"/>
      <x v="2"/>
      <x v="12"/>
      <x v="271"/>
      <x v="4288"/>
      <x v="4359"/>
    </i>
    <i>
      <x v="378"/>
      <x v="13"/>
      <x v="2"/>
      <x v="12"/>
      <x v="265"/>
      <x v="4289"/>
      <x v="4360"/>
    </i>
    <i>
      <x v="379"/>
      <x v="13"/>
      <x v="2"/>
      <x v="12"/>
      <x v="274"/>
      <x v="4290"/>
      <x v="4361"/>
    </i>
    <i>
      <x v="380"/>
      <x v="13"/>
      <x v="2"/>
      <x v="12"/>
      <x v="276"/>
      <x v="4291"/>
      <x v="4362"/>
    </i>
    <i>
      <x v="381"/>
      <x v="13"/>
      <x v="2"/>
      <x v="12"/>
      <x v="264"/>
      <x v="4292"/>
      <x v="4363"/>
    </i>
    <i>
      <x v="382"/>
      <x v="13"/>
      <x v="2"/>
      <x v="12"/>
      <x v="266"/>
      <x v="4293"/>
      <x v="4364"/>
    </i>
    <i>
      <x v="383"/>
      <x v="13"/>
      <x v="2"/>
      <x v="12"/>
      <x v="268"/>
      <x v="4294"/>
      <x v="4365"/>
    </i>
    <i>
      <x v="384"/>
      <x v="13"/>
      <x v="2"/>
      <x v="12"/>
      <x v="277"/>
      <x v="4295"/>
      <x v="4366"/>
    </i>
    <i>
      <x v="385"/>
      <x v="13"/>
      <x v="2"/>
      <x v="12"/>
      <x v="275"/>
      <x v="4296"/>
      <x v="4367"/>
    </i>
    <i>
      <x v="386"/>
      <x v="13"/>
      <x v="2"/>
      <x v="12"/>
      <x v="273"/>
      <x v="4297"/>
      <x v="4368"/>
    </i>
    <i>
      <x v="387"/>
      <x v="13"/>
      <x v="2"/>
      <x v="12"/>
      <x v="278"/>
      <x v="4298"/>
      <x v="4369"/>
    </i>
    <i>
      <x v="388"/>
      <x v="13"/>
      <x v="2"/>
      <x v="12"/>
      <x v="269"/>
      <x v="4299"/>
      <x v="4370"/>
    </i>
    <i>
      <x v="389"/>
      <x v="13"/>
      <x v="2"/>
      <x v="12"/>
      <x v="270"/>
      <x v="4300"/>
      <x v="4371"/>
    </i>
    <i>
      <x v="390"/>
      <x v="13"/>
      <x v="2"/>
      <x v="12"/>
      <x v="267"/>
      <x v="4301"/>
      <x v="4372"/>
    </i>
    <i>
      <x v="391"/>
      <x v="13"/>
      <x v="2"/>
      <x v="12"/>
      <x v="272"/>
      <x v="4302"/>
      <x v="4373"/>
    </i>
    <i>
      <x v="392"/>
      <x v="13"/>
      <x v="2"/>
      <x v="12"/>
      <x v="279"/>
      <x v="4303"/>
      <x v="4374"/>
    </i>
    <i>
      <x v="393"/>
      <x v="13"/>
      <x v="2"/>
      <x v="12"/>
      <x v="271"/>
      <x v="4304"/>
      <x v="4375"/>
    </i>
    <i>
      <x v="394"/>
      <x v="13"/>
      <x v="2"/>
      <x v="12"/>
      <x v="265"/>
      <x v="4305"/>
      <x v="4376"/>
    </i>
    <i>
      <x v="395"/>
      <x v="13"/>
      <x v="2"/>
      <x v="12"/>
      <x v="274"/>
      <x v="4306"/>
      <x v="4377"/>
    </i>
    <i>
      <x v="396"/>
      <x v="13"/>
      <x v="2"/>
      <x v="12"/>
      <x v="276"/>
      <x v="4307"/>
      <x v="4378"/>
    </i>
    <i>
      <x v="397"/>
      <x v="13"/>
      <x v="2"/>
      <x v="12"/>
      <x v="264"/>
      <x v="4308"/>
      <x v="4379"/>
    </i>
    <i>
      <x v="398"/>
      <x v="13"/>
      <x v="2"/>
      <x v="12"/>
      <x v="266"/>
      <x v="4309"/>
      <x v="4380"/>
    </i>
    <i>
      <x v="399"/>
      <x v="13"/>
      <x v="2"/>
      <x v="12"/>
      <x v="268"/>
      <x v="4310"/>
      <x v="4381"/>
    </i>
    <i>
      <x v="400"/>
      <x v="13"/>
      <x v="2"/>
      <x v="12"/>
      <x v="277"/>
      <x v="4311"/>
      <x v="4382"/>
    </i>
    <i>
      <x v="401"/>
      <x v="13"/>
      <x v="2"/>
      <x v="12"/>
      <x v="275"/>
      <x v="4312"/>
      <x v="4383"/>
    </i>
    <i>
      <x v="402"/>
      <x v="13"/>
      <x v="2"/>
      <x v="12"/>
      <x v="273"/>
      <x v="4313"/>
      <x v="4384"/>
    </i>
    <i>
      <x v="403"/>
      <x v="13"/>
      <x v="2"/>
      <x v="12"/>
      <x v="278"/>
      <x v="4314"/>
      <x v="4385"/>
    </i>
    <i>
      <x v="404"/>
      <x v="13"/>
      <x v="2"/>
      <x v="12"/>
      <x v="269"/>
      <x v="4315"/>
      <x v="4386"/>
    </i>
    <i>
      <x v="405"/>
      <x v="13"/>
      <x v="2"/>
      <x v="12"/>
      <x v="270"/>
      <x v="4316"/>
      <x v="4387"/>
    </i>
    <i>
      <x v="406"/>
      <x v="13"/>
      <x v="2"/>
      <x v="12"/>
      <x v="267"/>
      <x v="4317"/>
      <x v="4388"/>
    </i>
    <i>
      <x v="407"/>
      <x v="13"/>
      <x v="2"/>
      <x v="12"/>
      <x v="272"/>
      <x v="4318"/>
      <x v="4389"/>
    </i>
    <i>
      <x v="408"/>
      <x v="13"/>
      <x v="2"/>
      <x v="12"/>
      <x v="279"/>
      <x v="4319"/>
      <x v="4390"/>
    </i>
    <i>
      <x v="409"/>
      <x v="13"/>
      <x v="2"/>
      <x v="12"/>
      <x v="271"/>
      <x v="4320"/>
      <x v="4391"/>
    </i>
    <i>
      <x v="410"/>
      <x v="13"/>
      <x v="2"/>
      <x v="12"/>
      <x v="265"/>
      <x v="4321"/>
      <x v="4392"/>
    </i>
    <i>
      <x v="411"/>
      <x v="13"/>
      <x v="2"/>
      <x v="12"/>
      <x v="274"/>
      <x v="4322"/>
      <x v="4393"/>
    </i>
    <i>
      <x v="412"/>
      <x v="13"/>
      <x/>
      <x v="12"/>
      <x v="113"/>
      <x v="4323"/>
      <x v="4394"/>
    </i>
    <i>
      <x v="413"/>
      <x v="13"/>
      <x/>
      <x v="12"/>
      <x v="9"/>
      <x v="4324"/>
      <x v="4395"/>
    </i>
    <i>
      <x v="414"/>
      <x v="13"/>
      <x/>
      <x v="12"/>
      <x v="18"/>
      <x v="4325"/>
      <x v="4396"/>
    </i>
    <i>
      <x v="415"/>
      <x v="13"/>
      <x/>
      <x v="12"/>
      <x v="338"/>
      <x v="4326"/>
      <x v="4397"/>
    </i>
    <i>
      <x v="416"/>
      <x v="13"/>
      <x/>
      <x v="12"/>
      <x v="362"/>
      <x v="4327"/>
      <x v="4398"/>
    </i>
    <i>
      <x v="417"/>
      <x v="13"/>
      <x/>
      <x v="12"/>
      <x v="81"/>
      <x v="4328"/>
      <x v="4399"/>
    </i>
    <i>
      <x v="418"/>
      <x v="13"/>
      <x/>
      <x v="12"/>
      <x v="347"/>
      <x v="4329"/>
      <x v="4400"/>
    </i>
    <i>
      <x v="419"/>
      <x v="13"/>
      <x/>
      <x v="12"/>
      <x v="69"/>
      <x v="4330"/>
      <x v="4401"/>
    </i>
    <i>
      <x v="420"/>
      <x v="13"/>
      <x/>
      <x v="12"/>
      <x v="111"/>
      <x v="4331"/>
      <x v="4402"/>
    </i>
    <i>
      <x v="421"/>
      <x v="13"/>
      <x/>
      <x v="12"/>
      <x v="126"/>
      <x v="4332"/>
      <x v="4403"/>
    </i>
    <i>
      <x v="422"/>
      <x v="13"/>
      <x/>
      <x v="12"/>
      <x v="193"/>
      <x v="4333"/>
      <x v="4404"/>
    </i>
    <i>
      <x v="423"/>
      <x v="13"/>
      <x/>
      <x v="12"/>
      <x v="351"/>
      <x v="4334"/>
      <x v="4405"/>
    </i>
    <i>
      <x v="424"/>
      <x v="13"/>
      <x/>
      <x v="12"/>
      <x v="21"/>
      <x v="4335"/>
      <x v="4406"/>
    </i>
    <i>
      <x v="425"/>
      <x v="13"/>
      <x/>
      <x v="12"/>
      <x v="123"/>
      <x v="4336"/>
      <x v="4407"/>
    </i>
    <i>
      <x v="426"/>
      <x v="13"/>
      <x/>
      <x v="12"/>
      <x v="139"/>
      <x v="4337"/>
      <x v="4408"/>
    </i>
    <i>
      <x v="427"/>
      <x v="13"/>
      <x/>
      <x v="12"/>
      <x v="152"/>
      <x v="4338"/>
      <x v="4409"/>
    </i>
    <i>
      <x v="428"/>
      <x v="13"/>
      <x/>
      <x v="12"/>
      <x v="253"/>
      <x v="4339"/>
      <x v="4410"/>
    </i>
    <i>
      <x v="429"/>
      <x v="13"/>
      <x/>
      <x v="12"/>
      <x v="363"/>
      <x v="4340"/>
      <x v="4411"/>
    </i>
    <i>
      <x v="430"/>
      <x v="13"/>
      <x/>
      <x v="12"/>
      <x v="302"/>
      <x v="4341"/>
      <x v="4412"/>
    </i>
    <i>
      <x v="431"/>
      <x v="13"/>
      <x/>
      <x v="12"/>
      <x v="364"/>
      <x v="4342"/>
      <x v="4413"/>
    </i>
    <i>
      <x v="432"/>
      <x v="13"/>
      <x/>
      <x v="12"/>
      <x v="354"/>
      <x v="4343"/>
      <x v="4414"/>
    </i>
    <i>
      <x v="433"/>
      <x v="13"/>
      <x/>
      <x v="12"/>
      <x v="356"/>
      <x v="4344"/>
      <x v="4415"/>
    </i>
    <i>
      <x v="434"/>
      <x v="13"/>
      <x/>
      <x v="12"/>
      <x v="101"/>
      <x v="4345"/>
      <x v="4416"/>
    </i>
    <i>
      <x v="435"/>
      <x v="13"/>
      <x/>
      <x v="12"/>
      <x v="260"/>
      <x v="4346"/>
      <x v="4417"/>
    </i>
    <i>
      <x v="436"/>
      <x v="13"/>
      <x/>
      <x v="12"/>
      <x v="282"/>
      <x v="4347"/>
      <x v="4418"/>
    </i>
    <i>
      <x v="437"/>
      <x v="13"/>
      <x/>
      <x v="12"/>
      <x v="303"/>
      <x v="4348"/>
      <x v="4419"/>
    </i>
    <i>
      <x v="438"/>
      <x v="13"/>
      <x/>
      <x v="12"/>
      <x v="319"/>
      <x v="4349"/>
      <x v="4420"/>
    </i>
    <i>
      <x v="439"/>
      <x v="13"/>
      <x/>
      <x v="12"/>
      <x v="321"/>
      <x v="4350"/>
      <x v="4421"/>
    </i>
    <i>
      <x v="440"/>
      <x v="13"/>
      <x/>
      <x v="12"/>
      <x v="33"/>
      <x v="4351"/>
      <x v="4422"/>
    </i>
    <i>
      <x v="441"/>
      <x v="13"/>
      <x/>
      <x v="12"/>
      <x v="365"/>
      <x v="4352"/>
      <x v="4423"/>
    </i>
    <i>
      <x v="442"/>
      <x v="13"/>
      <x/>
      <x v="12"/>
      <x v="366"/>
      <x v="4353"/>
      <x v="4424"/>
    </i>
    <i>
      <x v="443"/>
      <x v="13"/>
      <x/>
      <x v="12"/>
      <x v="140"/>
      <x v="4354"/>
      <x v="4425"/>
    </i>
    <i>
      <x v="444"/>
      <x v="13"/>
      <x/>
      <x v="12"/>
      <x v="174"/>
      <x v="4355"/>
      <x v="4426"/>
    </i>
    <i>
      <x v="445"/>
      <x v="13"/>
      <x/>
      <x v="12"/>
      <x v="205"/>
      <x v="4356"/>
      <x v="4427"/>
    </i>
    <i>
      <x v="446"/>
      <x v="13"/>
      <x/>
      <x v="12"/>
      <x v="306"/>
      <x v="4357"/>
      <x v="4428"/>
    </i>
    <i>
      <x v="447"/>
      <x v="13"/>
      <x/>
      <x v="12"/>
      <x v="328"/>
      <x v="4358"/>
      <x v="4429"/>
    </i>
    <i>
      <x v="448"/>
      <x v="13"/>
      <x/>
      <x v="12"/>
      <x v="11"/>
      <x v="4359"/>
      <x v="4430"/>
    </i>
    <i>
      <x v="449"/>
      <x v="13"/>
      <x/>
      <x v="12"/>
      <x v="27"/>
      <x v="4360"/>
      <x v="4431"/>
    </i>
    <i>
      <x v="450"/>
      <x v="13"/>
      <x/>
      <x v="12"/>
      <x v="40"/>
      <x v="4361"/>
      <x v="4432"/>
    </i>
    <i>
      <x v="451"/>
      <x v="13"/>
      <x/>
      <x v="12"/>
      <x v="367"/>
      <x v="4362"/>
      <x v="4433"/>
    </i>
    <i>
      <x v="452"/>
      <x v="13"/>
      <x/>
      <x v="12"/>
      <x v="70"/>
      <x v="4363"/>
      <x v="4434"/>
    </i>
    <i>
      <x v="453"/>
      <x v="13"/>
      <x/>
      <x v="12"/>
      <x v="153"/>
      <x v="4364"/>
      <x v="4435"/>
    </i>
    <i>
      <x v="454"/>
      <x v="13"/>
      <x/>
      <x v="12"/>
      <x v="329"/>
      <x v="4365"/>
      <x v="4436"/>
    </i>
    <i>
      <x v="455"/>
      <x v="13"/>
      <x/>
      <x v="12"/>
      <x v="368"/>
      <x v="4366"/>
      <x v="4437"/>
    </i>
    <i>
      <x v="456"/>
      <x v="13"/>
      <x/>
      <x v="12"/>
      <x v="8"/>
      <x v="4367"/>
      <x v="4438"/>
    </i>
    <i>
      <x v="457"/>
      <x v="13"/>
      <x/>
      <x v="12"/>
      <x v="136"/>
      <x v="4368"/>
      <x v="4439"/>
    </i>
    <i>
      <x v="458"/>
      <x v="13"/>
      <x/>
      <x v="12"/>
      <x v="148"/>
      <x v="4369"/>
      <x v="4440"/>
    </i>
    <i>
      <x v="459"/>
      <x v="13"/>
      <x/>
      <x v="12"/>
      <x v="185"/>
      <x v="4370"/>
      <x v="4441"/>
    </i>
    <i>
      <x v="460"/>
      <x v="13"/>
      <x/>
      <x v="12"/>
      <x v="369"/>
      <x v="4371"/>
      <x v="4442"/>
    </i>
    <i>
      <x v="461"/>
      <x v="13"/>
      <x/>
      <x v="12"/>
      <x v="331"/>
      <x v="4372"/>
      <x v="4443"/>
    </i>
    <i>
      <x v="462"/>
      <x v="13"/>
      <x/>
      <x v="12"/>
      <x v="350"/>
      <x v="4373"/>
      <x v="4444"/>
    </i>
    <i>
      <x v="463"/>
      <x v="13"/>
      <x/>
      <x v="12"/>
      <x v="355"/>
      <x v="4374"/>
      <x v="4445"/>
    </i>
    <i>
      <x v="464"/>
      <x v="13"/>
      <x/>
      <x v="12"/>
      <x v="6"/>
      <x v="4375"/>
      <x v="4446"/>
    </i>
    <i>
      <x v="465"/>
      <x v="13"/>
      <x/>
      <x v="12"/>
      <x v="31"/>
      <x v="4376"/>
      <x v="4447"/>
    </i>
    <i>
      <x v="466"/>
      <x v="13"/>
      <x/>
      <x v="12"/>
      <x v="192"/>
      <x v="4377"/>
      <x v="4448"/>
    </i>
    <i>
      <x v="467"/>
      <x v="13"/>
      <x/>
      <x v="12"/>
      <x v="234"/>
      <x v="4378"/>
      <x v="4449"/>
    </i>
    <i>
      <x v="468"/>
      <x v="13"/>
      <x/>
      <x v="12"/>
      <x v="236"/>
      <x v="4379"/>
      <x v="4450"/>
    </i>
    <i>
      <x v="469"/>
      <x v="13"/>
      <x/>
      <x v="12"/>
      <x v="370"/>
      <x v="4380"/>
      <x v="4451"/>
    </i>
    <i>
      <x v="470"/>
      <x v="13"/>
      <x/>
      <x v="12"/>
      <x v="371"/>
      <x v="4381"/>
      <x v="4452"/>
    </i>
    <i>
      <x v="471"/>
      <x v="13"/>
      <x/>
      <x v="12"/>
      <x v="239"/>
      <x v="4382"/>
      <x v="4453"/>
    </i>
    <i>
      <x v="472"/>
      <x v="13"/>
      <x/>
      <x v="12"/>
      <x v="324"/>
      <x v="4383"/>
      <x v="4454"/>
    </i>
    <i>
      <x v="473"/>
      <x v="13"/>
      <x/>
      <x v="12"/>
      <x v="324"/>
      <x v="4383"/>
      <x v="4455"/>
    </i>
    <i>
      <x v="474"/>
      <x v="13"/>
      <x/>
      <x v="12"/>
      <x v="324"/>
      <x v="4383"/>
      <x v="4456"/>
    </i>
    <i>
      <x v="475"/>
      <x v="13"/>
      <x/>
      <x v="12"/>
      <x v="324"/>
      <x v="4383"/>
      <x v="4457"/>
    </i>
    <i>
      <x v="476"/>
      <x v="13"/>
      <x/>
      <x v="12"/>
      <x v="324"/>
      <x v="4383"/>
      <x v="4458"/>
    </i>
    <i>
      <x v="477"/>
      <x v="13"/>
      <x/>
      <x v="12"/>
      <x v="324"/>
      <x v="4383"/>
      <x v="4459"/>
    </i>
    <i>
      <x v="478"/>
      <x v="13"/>
      <x/>
      <x v="12"/>
      <x v="324"/>
      <x v="4383"/>
      <x v="4460"/>
    </i>
    <i>
      <x v="479"/>
      <x v="13"/>
      <x/>
      <x v="12"/>
      <x v="324"/>
      <x v="4383"/>
      <x v="4461"/>
    </i>
    <i>
      <x v="480"/>
      <x v="13"/>
      <x/>
      <x v="12"/>
      <x v="324"/>
      <x v="4383"/>
      <x v="4462"/>
    </i>
    <i>
      <x v="481"/>
      <x v="13"/>
      <x/>
      <x v="12"/>
      <x v="324"/>
      <x v="4383"/>
      <x v="4463"/>
    </i>
    <i>
      <x v="482"/>
      <x v="13"/>
      <x/>
      <x v="12"/>
      <x v="324"/>
      <x v="4383"/>
      <x v="4464"/>
    </i>
    <i>
      <x v="483"/>
      <x v="13"/>
      <x/>
      <x v="12"/>
      <x v="324"/>
      <x v="4383"/>
      <x v="4465"/>
    </i>
    <i>
      <x v="484"/>
      <x v="13"/>
      <x/>
      <x v="12"/>
      <x v="324"/>
      <x v="4383"/>
      <x v="4466"/>
    </i>
    <i>
      <x v="485"/>
      <x v="13"/>
      <x/>
      <x v="12"/>
      <x v="324"/>
      <x v="4383"/>
      <x v="4467"/>
    </i>
    <i>
      <x v="486"/>
      <x v="13"/>
      <x/>
      <x v="12"/>
      <x v="324"/>
      <x v="4383"/>
      <x v="4468"/>
    </i>
    <i>
      <x v="487"/>
      <x v="13"/>
      <x/>
      <x v="12"/>
      <x v="154"/>
      <x v="4384"/>
      <x v="4469"/>
    </i>
    <i>
      <x v="488"/>
      <x v="13"/>
      <x/>
      <x v="12"/>
      <x v="168"/>
      <x v="4385"/>
      <x v="4470"/>
    </i>
    <i>
      <x v="489"/>
      <x v="13"/>
      <x/>
      <x v="12"/>
      <x v="346"/>
      <x v="4386"/>
      <x v="4471"/>
    </i>
    <i>
      <x v="490"/>
      <x v="13"/>
      <x/>
      <x v="12"/>
      <x v="12"/>
      <x v="4387"/>
      <x v="4472"/>
    </i>
    <i>
      <x v="491"/>
      <x v="13"/>
      <x/>
      <x v="12"/>
      <x v="372"/>
      <x v="4388"/>
      <x v="4473"/>
    </i>
    <i>
      <x v="492"/>
      <x v="13"/>
      <x/>
      <x v="12"/>
      <x v="298"/>
      <x v="4389"/>
      <x v="4474"/>
    </i>
    <i>
      <x v="493"/>
      <x v="13"/>
      <x/>
      <x v="12"/>
      <x v="360"/>
      <x v="4390"/>
      <x v="4475"/>
    </i>
    <i>
      <x v="494"/>
      <x v="13"/>
      <x/>
      <x v="12"/>
      <x v="113"/>
      <x v="4391"/>
      <x v="4476"/>
    </i>
    <i>
      <x v="495"/>
      <x v="13"/>
      <x/>
      <x v="12"/>
      <x v="9"/>
      <x v="4392"/>
      <x v="4477"/>
    </i>
    <i>
      <x v="496"/>
      <x v="13"/>
      <x/>
      <x v="12"/>
      <x v="18"/>
      <x v="4393"/>
      <x v="4478"/>
    </i>
    <i>
      <x v="497"/>
      <x v="13"/>
      <x/>
      <x v="12"/>
      <x v="338"/>
      <x v="4394"/>
      <x v="4479"/>
    </i>
    <i>
      <x v="498"/>
      <x v="13"/>
      <x/>
      <x v="12"/>
      <x v="362"/>
      <x v="4395"/>
      <x v="4480"/>
    </i>
    <i>
      <x v="499"/>
      <x v="13"/>
      <x/>
      <x v="12"/>
      <x v="81"/>
      <x v="4396"/>
      <x v="4481"/>
    </i>
    <i>
      <x v="500"/>
      <x v="13"/>
      <x/>
      <x v="12"/>
      <x v="347"/>
      <x v="4397"/>
      <x v="4482"/>
    </i>
    <i>
      <x v="501"/>
      <x v="13"/>
      <x/>
      <x v="12"/>
      <x v="69"/>
      <x v="4398"/>
      <x v="4483"/>
    </i>
    <i>
      <x v="502"/>
      <x v="13"/>
      <x/>
      <x v="12"/>
      <x v="111"/>
      <x v="4399"/>
      <x v="4484"/>
    </i>
    <i>
      <x v="503"/>
      <x v="13"/>
      <x/>
      <x v="12"/>
      <x v="126"/>
      <x v="4400"/>
      <x v="4485"/>
    </i>
    <i>
      <x v="504"/>
      <x v="13"/>
      <x/>
      <x v="12"/>
      <x v="193"/>
      <x v="4401"/>
      <x v="4486"/>
    </i>
    <i>
      <x v="505"/>
      <x v="13"/>
      <x/>
      <x v="12"/>
      <x v="351"/>
      <x v="4402"/>
      <x v="4487"/>
    </i>
    <i>
      <x v="506"/>
      <x v="13"/>
      <x/>
      <x v="12"/>
      <x v="21"/>
      <x v="4403"/>
      <x v="4488"/>
    </i>
    <i>
      <x v="507"/>
      <x v="13"/>
      <x/>
      <x v="12"/>
      <x v="123"/>
      <x v="4404"/>
      <x v="4489"/>
    </i>
    <i>
      <x v="508"/>
      <x v="13"/>
      <x/>
      <x v="12"/>
      <x v="139"/>
      <x v="4405"/>
      <x v="4490"/>
    </i>
    <i>
      <x v="509"/>
      <x v="13"/>
      <x/>
      <x v="12"/>
      <x v="152"/>
      <x v="4406"/>
      <x v="4491"/>
    </i>
    <i>
      <x v="510"/>
      <x v="13"/>
      <x/>
      <x v="12"/>
      <x v="253"/>
      <x v="4407"/>
      <x v="4492"/>
    </i>
    <i>
      <x v="511"/>
      <x v="13"/>
      <x/>
      <x v="12"/>
      <x v="363"/>
      <x v="4408"/>
      <x v="4493"/>
    </i>
    <i>
      <x v="512"/>
      <x v="13"/>
      <x/>
      <x v="12"/>
      <x v="302"/>
      <x v="4409"/>
      <x v="4494"/>
    </i>
    <i>
      <x v="513"/>
      <x v="13"/>
      <x/>
      <x v="12"/>
      <x v="364"/>
      <x v="4410"/>
      <x v="4495"/>
    </i>
    <i>
      <x v="514"/>
      <x v="13"/>
      <x/>
      <x v="12"/>
      <x v="354"/>
      <x v="4411"/>
      <x v="4496"/>
    </i>
    <i>
      <x v="515"/>
      <x v="13"/>
      <x/>
      <x v="12"/>
      <x v="356"/>
      <x v="4412"/>
      <x v="4497"/>
    </i>
    <i>
      <x v="516"/>
      <x v="13"/>
      <x/>
      <x v="12"/>
      <x v="101"/>
      <x v="4413"/>
      <x v="4498"/>
    </i>
    <i>
      <x v="517"/>
      <x v="13"/>
      <x/>
      <x v="12"/>
      <x v="260"/>
      <x v="4414"/>
      <x v="4499"/>
    </i>
    <i>
      <x v="518"/>
      <x v="13"/>
      <x/>
      <x v="12"/>
      <x v="282"/>
      <x v="4415"/>
      <x v="4500"/>
    </i>
    <i>
      <x v="519"/>
      <x v="13"/>
      <x/>
      <x v="12"/>
      <x v="303"/>
      <x v="4416"/>
      <x v="4501"/>
    </i>
    <i>
      <x v="520"/>
      <x v="13"/>
      <x/>
      <x v="12"/>
      <x v="319"/>
      <x v="4417"/>
      <x v="4502"/>
    </i>
    <i>
      <x v="521"/>
      <x v="13"/>
      <x/>
      <x v="12"/>
      <x v="321"/>
      <x v="4418"/>
      <x v="4503"/>
    </i>
    <i>
      <x v="522"/>
      <x v="13"/>
      <x/>
      <x v="12"/>
      <x v="33"/>
      <x v="4419"/>
      <x v="4504"/>
    </i>
    <i>
      <x v="523"/>
      <x v="13"/>
      <x/>
      <x v="12"/>
      <x v="365"/>
      <x v="4420"/>
      <x v="4505"/>
    </i>
    <i>
      <x v="524"/>
      <x v="13"/>
      <x/>
      <x v="12"/>
      <x v="366"/>
      <x v="4421"/>
      <x v="4506"/>
    </i>
    <i>
      <x v="525"/>
      <x v="13"/>
      <x/>
      <x v="12"/>
      <x v="140"/>
      <x v="4422"/>
      <x v="4507"/>
    </i>
    <i>
      <x v="526"/>
      <x v="13"/>
      <x/>
      <x v="12"/>
      <x v="174"/>
      <x v="4423"/>
      <x v="4508"/>
    </i>
    <i>
      <x v="527"/>
      <x v="13"/>
      <x/>
      <x v="12"/>
      <x v="205"/>
      <x v="4424"/>
      <x v="4509"/>
    </i>
    <i>
      <x v="528"/>
      <x v="13"/>
      <x/>
      <x v="12"/>
      <x v="306"/>
      <x v="4425"/>
      <x v="4510"/>
    </i>
    <i>
      <x v="529"/>
      <x v="13"/>
      <x/>
      <x v="12"/>
      <x v="328"/>
      <x v="4426"/>
      <x v="4511"/>
    </i>
    <i>
      <x v="530"/>
      <x v="13"/>
      <x/>
      <x v="12"/>
      <x v="11"/>
      <x v="4427"/>
      <x v="4512"/>
    </i>
    <i>
      <x v="531"/>
      <x v="13"/>
      <x/>
      <x v="12"/>
      <x v="27"/>
      <x v="4428"/>
      <x v="4513"/>
    </i>
    <i>
      <x v="532"/>
      <x v="13"/>
      <x/>
      <x v="12"/>
      <x v="40"/>
      <x v="4429"/>
      <x v="4514"/>
    </i>
    <i>
      <x v="533"/>
      <x v="13"/>
      <x/>
      <x v="12"/>
      <x v="367"/>
      <x v="4430"/>
      <x v="4515"/>
    </i>
    <i>
      <x v="534"/>
      <x v="13"/>
      <x/>
      <x v="12"/>
      <x v="70"/>
      <x v="4431"/>
      <x v="4516"/>
    </i>
    <i>
      <x v="535"/>
      <x v="13"/>
      <x/>
      <x v="12"/>
      <x v="153"/>
      <x v="4432"/>
      <x v="4517"/>
    </i>
    <i>
      <x v="536"/>
      <x v="13"/>
      <x/>
      <x v="12"/>
      <x v="329"/>
      <x v="4433"/>
      <x v="4518"/>
    </i>
    <i>
      <x v="537"/>
      <x v="13"/>
      <x/>
      <x v="12"/>
      <x v="368"/>
      <x v="4434"/>
      <x v="4519"/>
    </i>
    <i>
      <x v="538"/>
      <x v="13"/>
      <x/>
      <x v="12"/>
      <x v="8"/>
      <x v="4435"/>
      <x v="4520"/>
    </i>
    <i>
      <x v="539"/>
      <x v="13"/>
      <x/>
      <x v="12"/>
      <x v="136"/>
      <x v="4436"/>
      <x v="4521"/>
    </i>
    <i>
      <x v="540"/>
      <x v="13"/>
      <x/>
      <x v="12"/>
      <x v="148"/>
      <x v="4437"/>
      <x v="4522"/>
    </i>
    <i>
      <x v="541"/>
      <x v="13"/>
      <x/>
      <x v="12"/>
      <x v="185"/>
      <x v="4438"/>
      <x v="4523"/>
    </i>
    <i>
      <x v="542"/>
      <x v="13"/>
      <x/>
      <x v="12"/>
      <x v="369"/>
      <x v="4439"/>
      <x v="4524"/>
    </i>
    <i>
      <x v="543"/>
      <x v="13"/>
      <x/>
      <x v="12"/>
      <x v="331"/>
      <x v="4440"/>
      <x v="4525"/>
    </i>
    <i>
      <x v="544"/>
      <x v="13"/>
      <x/>
      <x v="12"/>
      <x v="350"/>
      <x v="4441"/>
      <x v="4526"/>
    </i>
    <i>
      <x v="545"/>
      <x v="13"/>
      <x/>
      <x v="12"/>
      <x v="355"/>
      <x v="4442"/>
      <x v="4527"/>
    </i>
    <i>
      <x v="546"/>
      <x v="13"/>
      <x/>
      <x v="12"/>
      <x v="6"/>
      <x v="4443"/>
      <x v="4528"/>
    </i>
    <i>
      <x v="547"/>
      <x v="13"/>
      <x/>
      <x v="12"/>
      <x v="31"/>
      <x v="4444"/>
      <x v="4529"/>
    </i>
    <i>
      <x v="548"/>
      <x v="13"/>
      <x/>
      <x v="12"/>
      <x v="192"/>
      <x v="4445"/>
      <x v="4530"/>
    </i>
    <i>
      <x v="549"/>
      <x v="13"/>
      <x/>
      <x v="12"/>
      <x v="234"/>
      <x v="4446"/>
      <x v="4531"/>
    </i>
    <i>
      <x v="550"/>
      <x v="13"/>
      <x/>
      <x v="12"/>
      <x v="236"/>
      <x v="4447"/>
      <x v="4532"/>
    </i>
    <i>
      <x v="551"/>
      <x v="13"/>
      <x/>
      <x v="12"/>
      <x v="370"/>
      <x v="4448"/>
      <x v="4533"/>
    </i>
    <i>
      <x v="552"/>
      <x v="13"/>
      <x/>
      <x v="12"/>
      <x v="371"/>
      <x v="4449"/>
      <x v="4534"/>
    </i>
    <i>
      <x v="553"/>
      <x v="13"/>
      <x/>
      <x v="12"/>
      <x v="239"/>
      <x v="4450"/>
      <x v="4535"/>
    </i>
    <i>
      <x v="554"/>
      <x v="13"/>
      <x/>
      <x v="12"/>
      <x v="324"/>
      <x v="4451"/>
      <x v="4536"/>
    </i>
    <i>
      <x v="555"/>
      <x v="13"/>
      <x/>
      <x v="12"/>
      <x v="324"/>
      <x v="4451"/>
      <x v="4537"/>
    </i>
    <i>
      <x v="556"/>
      <x v="13"/>
      <x/>
      <x v="12"/>
      <x v="324"/>
      <x v="4451"/>
      <x v="4538"/>
    </i>
    <i>
      <x v="557"/>
      <x v="13"/>
      <x/>
      <x v="12"/>
      <x v="324"/>
      <x v="4451"/>
      <x v="4539"/>
    </i>
    <i>
      <x v="558"/>
      <x v="13"/>
      <x/>
      <x v="12"/>
      <x v="324"/>
      <x v="4451"/>
      <x v="4540"/>
    </i>
    <i>
      <x v="559"/>
      <x v="13"/>
      <x/>
      <x v="12"/>
      <x v="324"/>
      <x v="4451"/>
      <x v="4541"/>
    </i>
    <i>
      <x v="560"/>
      <x v="13"/>
      <x/>
      <x v="12"/>
      <x v="324"/>
      <x v="4451"/>
      <x v="4542"/>
    </i>
    <i>
      <x v="561"/>
      <x v="13"/>
      <x/>
      <x v="12"/>
      <x v="324"/>
      <x v="4451"/>
      <x v="4543"/>
    </i>
    <i>
      <x v="562"/>
      <x v="13"/>
      <x/>
      <x v="12"/>
      <x v="324"/>
      <x v="4451"/>
      <x v="4544"/>
    </i>
    <i>
      <x v="563"/>
      <x v="13"/>
      <x/>
      <x v="12"/>
      <x v="324"/>
      <x v="4451"/>
      <x v="4545"/>
    </i>
    <i>
      <x v="564"/>
      <x v="13"/>
      <x/>
      <x v="12"/>
      <x v="324"/>
      <x v="4451"/>
      <x v="4546"/>
    </i>
    <i>
      <x v="565"/>
      <x v="13"/>
      <x/>
      <x v="12"/>
      <x v="324"/>
      <x v="4451"/>
      <x v="4547"/>
    </i>
    <i>
      <x v="566"/>
      <x v="13"/>
      <x/>
      <x v="12"/>
      <x v="324"/>
      <x v="4451"/>
      <x v="4548"/>
    </i>
    <i>
      <x v="567"/>
      <x v="13"/>
      <x/>
      <x v="12"/>
      <x v="324"/>
      <x v="4451"/>
      <x v="4549"/>
    </i>
    <i>
      <x v="568"/>
      <x v="13"/>
      <x/>
      <x v="12"/>
      <x v="324"/>
      <x v="4451"/>
      <x v="4550"/>
    </i>
    <i>
      <x v="569"/>
      <x v="13"/>
      <x/>
      <x v="12"/>
      <x v="154"/>
      <x v="4452"/>
      <x v="4551"/>
    </i>
    <i>
      <x v="570"/>
      <x v="13"/>
      <x/>
      <x v="12"/>
      <x v="168"/>
      <x v="4453"/>
      <x v="4552"/>
    </i>
    <i>
      <x v="571"/>
      <x v="13"/>
      <x/>
      <x v="12"/>
      <x v="346"/>
      <x v="4454"/>
      <x v="4553"/>
    </i>
    <i>
      <x v="572"/>
      <x v="13"/>
      <x/>
      <x v="12"/>
      <x v="12"/>
      <x v="4455"/>
      <x v="4554"/>
    </i>
    <i>
      <x v="573"/>
      <x v="13"/>
      <x/>
      <x v="12"/>
      <x v="372"/>
      <x v="4456"/>
      <x v="4555"/>
    </i>
    <i>
      <x v="574"/>
      <x v="13"/>
      <x/>
      <x v="12"/>
      <x v="298"/>
      <x v="4457"/>
      <x v="4556"/>
    </i>
    <i>
      <x v="575"/>
      <x v="13"/>
      <x/>
      <x v="12"/>
      <x v="360"/>
      <x v="4458"/>
      <x v="4557"/>
    </i>
    <i>
      <x v="576"/>
      <x v="10"/>
      <x v="1"/>
      <x v="12"/>
      <x v="41"/>
      <x v="4459"/>
      <x v="4558"/>
    </i>
    <i>
      <x v="577"/>
      <x v="10"/>
      <x v="1"/>
      <x v="12"/>
      <x v="41"/>
      <x v="4460"/>
      <x v="4559"/>
    </i>
    <i>
      <x v="578"/>
      <x v="12"/>
      <x v="1"/>
      <x v="12"/>
      <x v="41"/>
      <x v="4461"/>
      <x v="4560"/>
    </i>
    <i>
      <x v="579"/>
      <x v="10"/>
      <x v="1"/>
      <x v="12"/>
      <x v="41"/>
      <x v="4462"/>
      <x v="4561"/>
    </i>
    <i>
      <x v="580"/>
      <x v="11"/>
      <x v="1"/>
      <x v="12"/>
      <x v="41"/>
      <x v="4463"/>
      <x v="4562"/>
    </i>
    <i>
      <x v="581"/>
      <x v="12"/>
      <x v="1"/>
      <x v="12"/>
      <x v="41"/>
      <x v="4464"/>
      <x v="4563"/>
    </i>
    <i>
      <x v="582"/>
      <x v="12"/>
      <x v="1"/>
      <x v="12"/>
      <x v="41"/>
      <x v="4465"/>
      <x v="4564"/>
    </i>
    <i>
      <x v="583"/>
      <x v="12"/>
      <x v="1"/>
      <x v="12"/>
      <x v="41"/>
      <x v="4466"/>
      <x v="4565"/>
    </i>
    <i>
      <x v="584"/>
      <x v="12"/>
      <x v="1"/>
      <x v="12"/>
      <x v="41"/>
      <x v="4467"/>
      <x v="4566"/>
    </i>
    <i>
      <x v="585"/>
      <x v="10"/>
      <x v="1"/>
      <x v="12"/>
      <x v="41"/>
      <x v="4468"/>
      <x v="4567"/>
    </i>
    <i>
      <x v="586"/>
      <x v="10"/>
      <x v="1"/>
      <x v="12"/>
      <x v="41"/>
      <x v="4469"/>
      <x v="4568"/>
    </i>
    <i>
      <x v="587"/>
      <x v="10"/>
      <x v="1"/>
      <x v="12"/>
      <x v="41"/>
      <x v="4470"/>
      <x v="4569"/>
    </i>
    <i>
      <x v="588"/>
      <x v="11"/>
      <x v="1"/>
      <x v="12"/>
      <x v="41"/>
      <x v="4471"/>
      <x v="4570"/>
    </i>
    <i>
      <x v="589"/>
      <x v="12"/>
      <x v="1"/>
      <x v="12"/>
      <x v="41"/>
      <x v="4472"/>
      <x v="4571"/>
    </i>
    <i>
      <x v="590"/>
      <x v="12"/>
      <x v="1"/>
      <x v="12"/>
      <x v="41"/>
      <x v="4473"/>
      <x v="4572"/>
    </i>
    <i>
      <x v="591"/>
      <x v="12"/>
      <x v="1"/>
      <x v="12"/>
      <x v="41"/>
      <x v="4474"/>
      <x v="4573"/>
    </i>
    <i>
      <x v="592"/>
      <x v="13"/>
      <x v="2"/>
      <x v="12"/>
      <x v="276"/>
      <x v="4475"/>
      <x v="4574"/>
    </i>
    <i>
      <x v="593"/>
      <x v="13"/>
      <x v="2"/>
      <x v="12"/>
      <x v="264"/>
      <x v="4476"/>
      <x v="4575"/>
    </i>
    <i>
      <x v="594"/>
      <x v="13"/>
      <x v="2"/>
      <x v="12"/>
      <x v="266"/>
      <x v="4477"/>
      <x v="4576"/>
    </i>
    <i>
      <x v="595"/>
      <x v="13"/>
      <x v="2"/>
      <x v="12"/>
      <x v="268"/>
      <x v="4478"/>
      <x v="4577"/>
    </i>
    <i>
      <x v="596"/>
      <x v="13"/>
      <x v="2"/>
      <x v="12"/>
      <x v="277"/>
      <x v="4479"/>
      <x v="4578"/>
    </i>
    <i>
      <x v="597"/>
      <x v="13"/>
      <x v="2"/>
      <x v="12"/>
      <x v="275"/>
      <x v="4480"/>
      <x v="4579"/>
    </i>
    <i>
      <x v="598"/>
      <x v="13"/>
      <x v="2"/>
      <x v="12"/>
      <x v="273"/>
      <x v="4481"/>
      <x v="4580"/>
    </i>
    <i>
      <x v="599"/>
      <x v="13"/>
      <x v="2"/>
      <x v="12"/>
      <x v="278"/>
      <x v="4482"/>
      <x v="4581"/>
    </i>
    <i>
      <x v="600"/>
      <x v="13"/>
      <x v="2"/>
      <x v="12"/>
      <x v="269"/>
      <x v="4483"/>
      <x v="4582"/>
    </i>
    <i>
      <x v="601"/>
      <x v="13"/>
      <x v="2"/>
      <x v="12"/>
      <x v="270"/>
      <x v="4484"/>
      <x v="4583"/>
    </i>
    <i>
      <x v="602"/>
      <x v="13"/>
      <x v="2"/>
      <x v="12"/>
      <x v="267"/>
      <x v="4485"/>
      <x v="4584"/>
    </i>
    <i>
      <x v="603"/>
      <x v="13"/>
      <x v="2"/>
      <x v="12"/>
      <x v="272"/>
      <x v="4486"/>
      <x v="4585"/>
    </i>
    <i>
      <x v="604"/>
      <x v="13"/>
      <x v="2"/>
      <x v="12"/>
      <x v="279"/>
      <x v="4487"/>
      <x v="4586"/>
    </i>
    <i>
      <x v="605"/>
      <x v="13"/>
      <x v="2"/>
      <x v="12"/>
      <x v="271"/>
      <x v="4488"/>
      <x v="4587"/>
    </i>
    <i>
      <x v="606"/>
      <x v="13"/>
      <x v="2"/>
      <x v="12"/>
      <x v="265"/>
      <x v="4489"/>
      <x v="4588"/>
    </i>
    <i>
      <x v="607"/>
      <x v="13"/>
      <x v="2"/>
      <x v="12"/>
      <x v="274"/>
      <x v="4490"/>
      <x v="4589"/>
    </i>
    <i>
      <x v="608"/>
      <x v="13"/>
      <x v="2"/>
      <x v="12"/>
      <x v="276"/>
      <x v="4491"/>
      <x v="4590"/>
    </i>
    <i>
      <x v="609"/>
      <x v="13"/>
      <x v="2"/>
      <x v="12"/>
      <x v="264"/>
      <x v="4492"/>
      <x v="4591"/>
    </i>
    <i>
      <x v="610"/>
      <x v="13"/>
      <x v="2"/>
      <x v="12"/>
      <x v="266"/>
      <x v="4493"/>
      <x v="4592"/>
    </i>
    <i>
      <x v="611"/>
      <x v="13"/>
      <x v="2"/>
      <x v="12"/>
      <x v="268"/>
      <x v="4494"/>
      <x v="4593"/>
    </i>
    <i>
      <x v="612"/>
      <x v="13"/>
      <x v="2"/>
      <x v="12"/>
      <x v="277"/>
      <x v="4495"/>
      <x v="4594"/>
    </i>
    <i>
      <x v="613"/>
      <x v="13"/>
      <x v="2"/>
      <x v="12"/>
      <x v="275"/>
      <x v="4496"/>
      <x v="4595"/>
    </i>
    <i>
      <x v="614"/>
      <x v="13"/>
      <x v="2"/>
      <x v="12"/>
      <x v="273"/>
      <x v="4497"/>
      <x v="4596"/>
    </i>
    <i>
      <x v="615"/>
      <x v="13"/>
      <x v="2"/>
      <x v="12"/>
      <x v="278"/>
      <x v="4498"/>
      <x v="4597"/>
    </i>
    <i>
      <x v="616"/>
      <x v="13"/>
      <x v="2"/>
      <x v="12"/>
      <x v="269"/>
      <x v="4499"/>
      <x v="4598"/>
    </i>
    <i>
      <x v="617"/>
      <x v="13"/>
      <x v="2"/>
      <x v="12"/>
      <x v="270"/>
      <x v="4500"/>
      <x v="4599"/>
    </i>
    <i>
      <x v="618"/>
      <x v="13"/>
      <x v="2"/>
      <x v="12"/>
      <x v="267"/>
      <x v="4501"/>
      <x v="4600"/>
    </i>
    <i>
      <x v="619"/>
      <x v="13"/>
      <x v="2"/>
      <x v="12"/>
      <x v="272"/>
      <x v="4502"/>
      <x v="4601"/>
    </i>
    <i>
      <x v="620"/>
      <x v="13"/>
      <x v="2"/>
      <x v="12"/>
      <x v="279"/>
      <x v="4503"/>
      <x v="4602"/>
    </i>
    <i>
      <x v="621"/>
      <x v="13"/>
      <x v="2"/>
      <x v="12"/>
      <x v="271"/>
      <x v="4504"/>
      <x v="4603"/>
    </i>
    <i>
      <x v="622"/>
      <x v="13"/>
      <x v="2"/>
      <x v="12"/>
      <x v="265"/>
      <x v="4505"/>
      <x v="4604"/>
    </i>
    <i>
      <x v="623"/>
      <x v="13"/>
      <x v="2"/>
      <x v="12"/>
      <x v="274"/>
      <x v="4506"/>
      <x v="4605"/>
    </i>
    <i>
      <x v="624"/>
      <x v="14"/>
      <x v="2"/>
      <x v="12"/>
      <x v="276"/>
      <x v="4507"/>
      <x v="4606"/>
    </i>
    <i>
      <x v="625"/>
      <x v="14"/>
      <x v="2"/>
      <x v="12"/>
      <x v="264"/>
      <x v="4508"/>
      <x v="4607"/>
    </i>
    <i>
      <x v="626"/>
      <x v="14"/>
      <x v="2"/>
      <x v="12"/>
      <x v="266"/>
      <x v="4509"/>
      <x v="4608"/>
    </i>
    <i>
      <x v="627"/>
      <x v="14"/>
      <x v="2"/>
      <x v="12"/>
      <x v="268"/>
      <x v="4510"/>
      <x v="4609"/>
    </i>
    <i>
      <x v="628"/>
      <x v="14"/>
      <x v="2"/>
      <x v="12"/>
      <x v="277"/>
      <x v="4511"/>
      <x v="4610"/>
    </i>
    <i>
      <x v="629"/>
      <x v="14"/>
      <x v="2"/>
      <x v="12"/>
      <x v="275"/>
      <x v="4512"/>
      <x v="4611"/>
    </i>
    <i>
      <x v="630"/>
      <x v="14"/>
      <x v="2"/>
      <x v="12"/>
      <x v="273"/>
      <x v="4513"/>
      <x v="4612"/>
    </i>
    <i>
      <x v="631"/>
      <x v="14"/>
      <x v="2"/>
      <x v="12"/>
      <x v="278"/>
      <x v="4514"/>
      <x v="4613"/>
    </i>
    <i>
      <x v="632"/>
      <x v="14"/>
      <x v="2"/>
      <x v="12"/>
      <x v="269"/>
      <x v="4515"/>
      <x v="4614"/>
    </i>
    <i>
      <x v="633"/>
      <x v="14"/>
      <x v="2"/>
      <x v="12"/>
      <x v="270"/>
      <x v="4516"/>
      <x v="4615"/>
    </i>
    <i>
      <x v="634"/>
      <x v="14"/>
      <x v="2"/>
      <x v="12"/>
      <x v="267"/>
      <x v="4517"/>
      <x v="4616"/>
    </i>
    <i>
      <x v="635"/>
      <x v="14"/>
      <x v="2"/>
      <x v="12"/>
      <x v="272"/>
      <x v="4518"/>
      <x v="4617"/>
    </i>
    <i>
      <x v="636"/>
      <x v="14"/>
      <x v="2"/>
      <x v="12"/>
      <x v="279"/>
      <x v="4519"/>
      <x v="4618"/>
    </i>
    <i>
      <x v="637"/>
      <x v="14"/>
      <x v="2"/>
      <x v="12"/>
      <x v="271"/>
      <x v="4520"/>
      <x v="4619"/>
    </i>
    <i>
      <x v="638"/>
      <x v="14"/>
      <x v="2"/>
      <x v="12"/>
      <x v="265"/>
      <x v="4521"/>
      <x v="4620"/>
    </i>
    <i>
      <x v="639"/>
      <x v="14"/>
      <x v="2"/>
      <x v="12"/>
      <x v="274"/>
      <x v="4522"/>
      <x v="4621"/>
    </i>
    <i>
      <x v="640"/>
      <x v="10"/>
      <x v="1"/>
      <x v="12"/>
      <x v="41"/>
      <x v="4523"/>
      <x v="4622"/>
    </i>
    <i>
      <x v="641"/>
      <x v="10"/>
      <x v="1"/>
      <x v="12"/>
      <x v="41"/>
      <x v="4524"/>
      <x v="4623"/>
    </i>
    <i>
      <x v="642"/>
      <x v="10"/>
      <x v="1"/>
      <x v="12"/>
      <x v="41"/>
      <x v="4525"/>
      <x v="4624"/>
    </i>
    <i>
      <x v="643"/>
      <x v="10"/>
      <x v="1"/>
      <x v="12"/>
      <x v="41"/>
      <x v="4526"/>
      <x v="4625"/>
    </i>
    <i>
      <x v="644"/>
      <x v="11"/>
      <x v="1"/>
      <x v="12"/>
      <x v="41"/>
      <x v="4527"/>
      <x v="4626"/>
    </i>
    <i>
      <x v="645"/>
      <x v="12"/>
      <x v="1"/>
      <x v="12"/>
      <x v="41"/>
      <x v="4528"/>
      <x v="4627"/>
    </i>
    <i>
      <x v="646"/>
      <x v="12"/>
      <x v="1"/>
      <x v="12"/>
      <x v="41"/>
      <x v="4529"/>
      <x v="4628"/>
    </i>
    <i>
      <x v="647"/>
      <x v="12"/>
      <x v="1"/>
      <x v="12"/>
      <x v="41"/>
      <x v="4530"/>
      <x v="4629"/>
    </i>
    <i>
      <x v="648"/>
      <x v="11"/>
      <x v="1"/>
      <x v="12"/>
      <x v="41"/>
      <x v="4531"/>
      <x v="4630"/>
    </i>
    <i>
      <x v="649"/>
      <x v="10"/>
      <x v="1"/>
      <x v="12"/>
      <x v="41"/>
      <x v="4532"/>
      <x v="4631"/>
    </i>
    <i>
      <x v="650"/>
      <x v="11"/>
      <x v="1"/>
      <x v="12"/>
      <x v="41"/>
      <x v="4533"/>
      <x v="4632"/>
    </i>
    <i>
      <x v="651"/>
      <x v="12"/>
      <x v="1"/>
      <x v="12"/>
      <x v="41"/>
      <x v="4534"/>
      <x v="4633"/>
    </i>
    <i>
      <x v="652"/>
      <x v="10"/>
      <x v="1"/>
      <x v="12"/>
      <x v="41"/>
      <x v="4535"/>
      <x v="4634"/>
    </i>
    <i>
      <x v="653"/>
      <x v="11"/>
      <x v="1"/>
      <x v="12"/>
      <x v="41"/>
      <x v="4536"/>
      <x v="4635"/>
    </i>
    <i>
      <x v="654"/>
      <x v="12"/>
      <x v="1"/>
      <x v="12"/>
      <x v="41"/>
      <x v="4537"/>
      <x v="4636"/>
    </i>
    <i>
      <x v="655"/>
      <x v="13"/>
      <x v="1"/>
      <x v="12"/>
      <x v="41"/>
      <x v="4538"/>
      <x v="4637"/>
    </i>
    <i>
      <x v="656"/>
      <x v="13"/>
      <x v="1"/>
      <x v="12"/>
      <x v="41"/>
      <x v="4539"/>
      <x v="463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95618-C9A9-4B05-82B3-6BB840224A10}" name="TablaDinámica8"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V3:W104"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x="2"/>
      </items>
      <extLst>
        <ext xmlns:x14="http://schemas.microsoft.com/office/spreadsheetml/2009/9/main" uri="{2946ED86-A175-432a-8AC1-64E0C546D7DE}">
          <x14:pivotField fillDownLabels="1"/>
        </ext>
      </extLst>
    </pivotField>
    <pivotField axis="axisRow" compact="0" outline="0" showAll="0" defaultSubtotal="0">
      <items count="385">
        <item m="1" x="104"/>
        <item m="1" x="257"/>
        <item m="1" x="292"/>
        <item m="1" x="379"/>
        <item m="1" x="376"/>
        <item m="1" x="157"/>
        <item x="69"/>
        <item m="1" x="263"/>
        <item x="61"/>
        <item x="18"/>
        <item m="1" x="135"/>
        <item x="53"/>
        <item x="81"/>
        <item m="1" x="280"/>
        <item m="1" x="265"/>
        <item m="1" x="248"/>
        <item m="1" x="356"/>
        <item m="1" x="183"/>
        <item x="19"/>
        <item m="1" x="110"/>
        <item m="1" x="141"/>
        <item x="29"/>
        <item m="1" x="343"/>
        <item m="1" x="113"/>
        <item m="1" x="337"/>
        <item m="1" x="282"/>
        <item m="1" x="287"/>
        <item x="54"/>
        <item m="1" x="254"/>
        <item m="1" x="290"/>
        <item m="1" x="177"/>
        <item x="70"/>
        <item m="1" x="245"/>
        <item x="45"/>
        <item m="1" x="258"/>
        <item m="1" x="156"/>
        <item m="1" x="225"/>
        <item m="1" x="105"/>
        <item m="1" x="173"/>
        <item m="1" x="360"/>
        <item x="55"/>
        <item x="0"/>
        <item m="1" x="325"/>
        <item m="1" x="179"/>
        <item m="1" x="163"/>
        <item m="1" x="328"/>
        <item m="1" x="344"/>
        <item m="1" x="171"/>
        <item m="1" x="366"/>
        <item m="1" x="196"/>
        <item m="1" x="226"/>
        <item m="1" x="166"/>
        <item m="1" x="377"/>
        <item m="1" x="206"/>
        <item m="1" x="101"/>
        <item m="1" x="249"/>
        <item m="1" x="359"/>
        <item m="1" x="318"/>
        <item m="1" x="255"/>
        <item m="1" x="145"/>
        <item m="1" x="334"/>
        <item m="1" x="149"/>
        <item m="1" x="197"/>
        <item m="1" x="251"/>
        <item m="1" x="289"/>
        <item m="1" x="330"/>
        <item m="1" x="133"/>
        <item m="1" x="188"/>
        <item m="1" x="349"/>
        <item x="24"/>
        <item x="57"/>
        <item m="1" x="374"/>
        <item m="1" x="109"/>
        <item m="1" x="191"/>
        <item m="1" x="216"/>
        <item m="1" x="300"/>
        <item m="1" x="338"/>
        <item m="1" x="279"/>
        <item m="1" x="347"/>
        <item m="1" x="193"/>
        <item m="1" x="217"/>
        <item x="22"/>
        <item m="1" x="106"/>
        <item m="1" x="380"/>
        <item m="1" x="136"/>
        <item m="1" x="202"/>
        <item m="1" x="312"/>
        <item m="1" x="294"/>
        <item m="1" x="270"/>
        <item m="1" x="336"/>
        <item m="1" x="243"/>
        <item m="1" x="295"/>
        <item m="1" x="201"/>
        <item m="1" x="131"/>
        <item m="1" x="277"/>
        <item m="1" x="259"/>
        <item m="1" x="267"/>
        <item m="1" x="333"/>
        <item m="1" x="190"/>
        <item m="1" x="367"/>
        <item m="1" x="128"/>
        <item x="39"/>
        <item m="1" x="162"/>
        <item m="1" x="124"/>
        <item m="1" x="167"/>
        <item m="1" x="172"/>
        <item m="1" x="296"/>
        <item m="1" x="187"/>
        <item m="1" x="232"/>
        <item m="1" x="215"/>
        <item m="1" x="240"/>
        <item x="25"/>
        <item m="1" x="383"/>
        <item x="17"/>
        <item m="1" x="354"/>
        <item m="1" x="237"/>
        <item m="1" x="158"/>
        <item m="1" x="181"/>
        <item m="1" x="194"/>
        <item m="1" x="139"/>
        <item m="1" x="198"/>
        <item m="1" x="320"/>
        <item m="1" x="362"/>
        <item x="30"/>
        <item m="1" x="203"/>
        <item m="1" x="361"/>
        <item x="26"/>
        <item m="1" x="132"/>
        <item m="1" x="116"/>
        <item m="1" x="252"/>
        <item m="1" x="182"/>
        <item m="1" x="317"/>
        <item m="1" x="178"/>
        <item m="1" x="214"/>
        <item m="1" x="127"/>
        <item m="1" x="363"/>
        <item x="62"/>
        <item m="1" x="281"/>
        <item m="1" x="142"/>
        <item x="31"/>
        <item x="48"/>
        <item m="1" x="350"/>
        <item m="1" x="107"/>
        <item m="1" x="229"/>
        <item m="1" x="253"/>
        <item m="1" x="351"/>
        <item m="1" x="310"/>
        <item m="1" x="373"/>
        <item x="63"/>
        <item m="1" x="304"/>
        <item m="1" x="239"/>
        <item m="1" x="335"/>
        <item x="32"/>
        <item x="58"/>
        <item x="78"/>
        <item m="1" x="151"/>
        <item m="1" x="314"/>
        <item m="1" x="195"/>
        <item m="1" x="185"/>
        <item m="1" x="165"/>
        <item m="1" x="382"/>
        <item m="1" x="164"/>
        <item m="1" x="152"/>
        <item m="1" x="357"/>
        <item m="1" x="293"/>
        <item m="1" x="123"/>
        <item m="1" x="208"/>
        <item m="1" x="364"/>
        <item x="79"/>
        <item x="89"/>
        <item m="1" x="305"/>
        <item m="1" x="299"/>
        <item m="1" x="154"/>
        <item m="1" x="218"/>
        <item x="49"/>
        <item m="1" x="291"/>
        <item m="1" x="184"/>
        <item m="1" x="160"/>
        <item m="1" x="381"/>
        <item m="1" x="227"/>
        <item m="1" x="308"/>
        <item m="1" x="161"/>
        <item m="1" x="301"/>
        <item m="1" x="375"/>
        <item m="1" x="288"/>
        <item x="64"/>
        <item m="1" x="247"/>
        <item m="1" x="307"/>
        <item m="1" x="302"/>
        <item m="1" x="115"/>
        <item m="1" x="99"/>
        <item m="1" x="306"/>
        <item x="71"/>
        <item x="27"/>
        <item m="1" x="365"/>
        <item m="1" x="102"/>
        <item m="1" x="174"/>
        <item m="1" x="261"/>
        <item m="1" x="220"/>
        <item m="1" x="331"/>
        <item m="1" x="311"/>
        <item m="1" x="342"/>
        <item m="1" x="303"/>
        <item m="1" x="224"/>
        <item m="1" x="155"/>
        <item x="50"/>
        <item m="1" x="316"/>
        <item m="1" x="147"/>
        <item m="1" x="274"/>
        <item m="1" x="278"/>
        <item m="1" x="285"/>
        <item m="1" x="153"/>
        <item m="1" x="100"/>
        <item m="1" x="219"/>
        <item m="1" x="369"/>
        <item m="1" x="297"/>
        <item m="1" x="169"/>
        <item m="1" x="210"/>
        <item m="1" x="204"/>
        <item m="1" x="207"/>
        <item m="1" x="112"/>
        <item m="1" x="276"/>
        <item m="1" x="98"/>
        <item m="1" x="150"/>
        <item m="1" x="129"/>
        <item m="1" x="271"/>
        <item m="1" x="234"/>
        <item m="1" x="140"/>
        <item m="1" x="180"/>
        <item m="1" x="175"/>
        <item m="1" x="341"/>
        <item m="1" x="144"/>
        <item m="1" x="117"/>
        <item m="1" x="352"/>
        <item x="72"/>
        <item m="1" x="176"/>
        <item x="73"/>
        <item m="1" x="250"/>
        <item m="1" x="137"/>
        <item x="76"/>
        <item m="1" x="313"/>
        <item m="1" x="273"/>
        <item m="1" x="125"/>
        <item m="1" x="111"/>
        <item m="1" x="329"/>
        <item m="1" x="170"/>
        <item m="1" x="238"/>
        <item m="1" x="283"/>
        <item m="1" x="326"/>
        <item m="1" x="211"/>
        <item m="1" x="168"/>
        <item m="1" x="266"/>
        <item m="1" x="319"/>
        <item x="33"/>
        <item m="1" x="309"/>
        <item m="1" x="327"/>
        <item m="1" x="213"/>
        <item m="1" x="286"/>
        <item m="1" x="378"/>
        <item m="1" x="262"/>
        <item x="40"/>
        <item m="1" x="324"/>
        <item m="1" x="134"/>
        <item m="1" x="358"/>
        <item x="2"/>
        <item x="15"/>
        <item x="3"/>
        <item x="11"/>
        <item x="4"/>
        <item x="9"/>
        <item x="10"/>
        <item x="14"/>
        <item x="12"/>
        <item x="7"/>
        <item x="16"/>
        <item x="6"/>
        <item x="1"/>
        <item x="5"/>
        <item x="8"/>
        <item x="13"/>
        <item m="1" x="233"/>
        <item m="1" x="159"/>
        <item x="41"/>
        <item m="1" x="339"/>
        <item m="1" x="246"/>
        <item m="1" x="275"/>
        <item m="1" x="122"/>
        <item m="1" x="264"/>
        <item m="1" x="315"/>
        <item m="1" x="119"/>
        <item m="1" x="353"/>
        <item m="1" x="126"/>
        <item m="1" x="284"/>
        <item m="1" x="212"/>
        <item m="1" x="346"/>
        <item m="1" x="298"/>
        <item m="1" x="222"/>
        <item m="1" x="209"/>
        <item x="83"/>
        <item m="1" x="143"/>
        <item m="1" x="370"/>
        <item m="1" x="138"/>
        <item x="35"/>
        <item x="42"/>
        <item m="1" x="114"/>
        <item m="1" x="323"/>
        <item x="51"/>
        <item m="1" x="241"/>
        <item m="1" x="371"/>
        <item m="1" x="244"/>
        <item m="1" x="272"/>
        <item m="1" x="230"/>
        <item m="1" x="321"/>
        <item m="1" x="348"/>
        <item m="1" x="372"/>
        <item m="1" x="231"/>
        <item m="1" x="199"/>
        <item m="1" x="322"/>
        <item m="1" x="192"/>
        <item x="43"/>
        <item m="1" x="355"/>
        <item x="44"/>
        <item m="1" x="242"/>
        <item m="1" x="120"/>
        <item x="77"/>
        <item m="1" x="269"/>
        <item m="1" x="236"/>
        <item m="1" x="221"/>
        <item x="52"/>
        <item x="59"/>
        <item m="1" x="228"/>
        <item x="66"/>
        <item m="1" x="368"/>
        <item m="1" x="223"/>
        <item m="1" x="130"/>
        <item m="1" x="205"/>
        <item m="1" x="189"/>
        <item m="1" x="200"/>
        <item x="20"/>
        <item m="1" x="332"/>
        <item m="1" x="121"/>
        <item m="1" x="108"/>
        <item m="1" x="186"/>
        <item m="1" x="256"/>
        <item m="1" x="118"/>
        <item m="1" x="148"/>
        <item x="80"/>
        <item x="23"/>
        <item x="87"/>
        <item m="1" x="268"/>
        <item x="67"/>
        <item x="28"/>
        <item m="1" x="260"/>
        <item m="1" x="345"/>
        <item x="37"/>
        <item x="68"/>
        <item x="38"/>
        <item m="1" x="235"/>
        <item m="1" x="384"/>
        <item m="1" x="146"/>
        <item x="84"/>
        <item m="1" x="340"/>
        <item m="1" x="103"/>
        <item x="21"/>
        <item x="34"/>
        <item x="36"/>
        <item x="46"/>
        <item x="47"/>
        <item x="56"/>
        <item x="60"/>
        <item x="65"/>
        <item x="74"/>
        <item x="75"/>
        <item x="82"/>
        <item x="85"/>
        <item x="86"/>
        <item x="88"/>
        <item x="90"/>
        <item x="91"/>
        <item x="92"/>
        <item x="93"/>
        <item x="94"/>
        <item x="95"/>
        <item x="96"/>
        <item x="9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8"/>
    <field x="7"/>
  </rowFields>
  <rowItems count="101">
    <i>
      <x v="6"/>
      <x v="4"/>
    </i>
    <i>
      <x v="8"/>
      <x v="4"/>
    </i>
    <i>
      <x v="9"/>
      <x v="3"/>
    </i>
    <i r="1">
      <x v="4"/>
    </i>
    <i>
      <x v="11"/>
      <x v="4"/>
    </i>
    <i>
      <x v="12"/>
      <x v="4"/>
    </i>
    <i>
      <x v="18"/>
      <x v="4"/>
    </i>
    <i>
      <x v="21"/>
      <x v="4"/>
    </i>
    <i>
      <x v="27"/>
      <x v="4"/>
    </i>
    <i>
      <x v="31"/>
      <x v="4"/>
    </i>
    <i>
      <x v="33"/>
      <x v="4"/>
    </i>
    <i>
      <x v="40"/>
      <x v="4"/>
    </i>
    <i>
      <x v="41"/>
      <x v="1"/>
    </i>
    <i>
      <x v="69"/>
      <x v="3"/>
    </i>
    <i r="1">
      <x v="4"/>
    </i>
    <i>
      <x v="70"/>
      <x v="4"/>
    </i>
    <i>
      <x v="81"/>
      <x v="4"/>
    </i>
    <i>
      <x v="101"/>
      <x v="4"/>
    </i>
    <i>
      <x v="111"/>
      <x v="4"/>
    </i>
    <i>
      <x v="113"/>
      <x v="4"/>
    </i>
    <i>
      <x v="123"/>
      <x v="4"/>
    </i>
    <i>
      <x v="126"/>
      <x v="4"/>
    </i>
    <i>
      <x v="136"/>
      <x v="4"/>
    </i>
    <i>
      <x v="139"/>
      <x v="4"/>
    </i>
    <i>
      <x v="140"/>
      <x v="4"/>
    </i>
    <i>
      <x v="148"/>
      <x v="4"/>
    </i>
    <i>
      <x v="152"/>
      <x v="4"/>
    </i>
    <i>
      <x v="153"/>
      <x v="4"/>
    </i>
    <i>
      <x v="154"/>
      <x v="3"/>
    </i>
    <i r="1">
      <x v="4"/>
    </i>
    <i>
      <x v="168"/>
      <x v="4"/>
    </i>
    <i>
      <x v="169"/>
      <x v="3"/>
    </i>
    <i>
      <x v="174"/>
      <x v="4"/>
    </i>
    <i>
      <x v="185"/>
      <x v="4"/>
    </i>
    <i>
      <x v="192"/>
      <x v="4"/>
    </i>
    <i>
      <x v="193"/>
      <x v="4"/>
    </i>
    <i>
      <x v="205"/>
      <x v="4"/>
    </i>
    <i>
      <x v="234"/>
      <x v="4"/>
    </i>
    <i>
      <x v="236"/>
      <x v="4"/>
    </i>
    <i>
      <x v="239"/>
      <x v="4"/>
    </i>
    <i>
      <x v="253"/>
      <x v="4"/>
    </i>
    <i>
      <x v="260"/>
      <x v="4"/>
    </i>
    <i>
      <x v="264"/>
      <x v="3"/>
    </i>
    <i>
      <x v="265"/>
      <x v="3"/>
    </i>
    <i>
      <x v="266"/>
      <x v="3"/>
    </i>
    <i>
      <x v="267"/>
      <x v="3"/>
    </i>
    <i>
      <x v="268"/>
      <x v="3"/>
    </i>
    <i>
      <x v="269"/>
      <x v="3"/>
    </i>
    <i>
      <x v="270"/>
      <x v="3"/>
    </i>
    <i>
      <x v="271"/>
      <x v="3"/>
    </i>
    <i>
      <x v="272"/>
      <x v="3"/>
    </i>
    <i>
      <x v="273"/>
      <x v="3"/>
    </i>
    <i>
      <x v="274"/>
      <x v="3"/>
    </i>
    <i>
      <x v="275"/>
      <x v="3"/>
    </i>
    <i>
      <x v="276"/>
      <x v="3"/>
    </i>
    <i>
      <x v="277"/>
      <x v="3"/>
    </i>
    <i>
      <x v="278"/>
      <x v="3"/>
    </i>
    <i>
      <x v="279"/>
      <x v="3"/>
    </i>
    <i>
      <x v="282"/>
      <x v="4"/>
    </i>
    <i>
      <x v="298"/>
      <x v="4"/>
    </i>
    <i>
      <x v="302"/>
      <x v="4"/>
    </i>
    <i>
      <x v="303"/>
      <x v="4"/>
    </i>
    <i>
      <x v="306"/>
      <x v="4"/>
    </i>
    <i>
      <x v="319"/>
      <x v="4"/>
    </i>
    <i>
      <x v="321"/>
      <x v="4"/>
    </i>
    <i>
      <x v="324"/>
      <x v="4"/>
    </i>
    <i>
      <x v="328"/>
      <x v="4"/>
    </i>
    <i>
      <x v="329"/>
      <x v="4"/>
    </i>
    <i>
      <x v="331"/>
      <x v="4"/>
    </i>
    <i>
      <x v="338"/>
      <x v="4"/>
    </i>
    <i>
      <x v="346"/>
      <x v="4"/>
    </i>
    <i>
      <x v="347"/>
      <x v="4"/>
    </i>
    <i>
      <x v="348"/>
      <x v="3"/>
    </i>
    <i>
      <x v="350"/>
      <x v="4"/>
    </i>
    <i>
      <x v="351"/>
      <x v="4"/>
    </i>
    <i>
      <x v="354"/>
      <x v="4"/>
    </i>
    <i>
      <x v="355"/>
      <x v="4"/>
    </i>
    <i>
      <x v="356"/>
      <x v="4"/>
    </i>
    <i>
      <x v="360"/>
      <x v="4"/>
    </i>
    <i>
      <x v="363"/>
      <x v="4"/>
    </i>
    <i>
      <x v="364"/>
      <x v="4"/>
    </i>
    <i>
      <x v="365"/>
      <x v="4"/>
    </i>
    <i>
      <x v="366"/>
      <x v="4"/>
    </i>
    <i>
      <x v="367"/>
      <x v="4"/>
    </i>
    <i>
      <x v="368"/>
      <x v="4"/>
    </i>
    <i>
      <x v="369"/>
      <x v="4"/>
    </i>
    <i>
      <x v="370"/>
      <x v="4"/>
    </i>
    <i>
      <x v="371"/>
      <x v="4"/>
    </i>
    <i>
      <x v="372"/>
      <x v="4"/>
    </i>
    <i>
      <x v="373"/>
      <x v="4"/>
    </i>
    <i>
      <x v="374"/>
      <x v="3"/>
    </i>
    <i>
      <x v="375"/>
      <x v="3"/>
    </i>
    <i>
      <x v="376"/>
      <x v="3"/>
    </i>
    <i>
      <x v="377"/>
      <x v="3"/>
    </i>
    <i>
      <x v="378"/>
      <x v="3"/>
    </i>
    <i>
      <x v="379"/>
      <x v="3"/>
    </i>
    <i>
      <x v="380"/>
      <x v="3"/>
    </i>
    <i>
      <x v="381"/>
      <x v="3"/>
    </i>
    <i>
      <x v="382"/>
      <x v="3"/>
    </i>
    <i>
      <x v="383"/>
      <x v="3"/>
    </i>
    <i>
      <x v="384"/>
      <x v="3"/>
    </i>
  </rowItems>
  <colItems count="1">
    <i/>
  </colItems>
  <formats count="1">
    <format dxfId="0">
      <pivotArea field="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809155-381C-4432-9B5A-1D7F5E378C6D}" name="TablaDinámica7"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Q3:Q32"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0">
        <item m="1" x="29"/>
        <item m="1" x="56"/>
        <item m="1" x="35"/>
        <item m="1" x="30"/>
        <item m="1" x="52"/>
        <item m="1" x="34"/>
        <item m="1" x="41"/>
        <item m="1" x="36"/>
        <item m="1" x="46"/>
        <item m="1" x="43"/>
        <item m="1" x="57"/>
        <item m="1" x="44"/>
        <item m="1" x="38"/>
        <item m="1" x="54"/>
        <item m="1" x="40"/>
        <item m="1" x="39"/>
        <item m="1" x="49"/>
        <item m="1" x="37"/>
        <item m="1" x="42"/>
        <item m="1" x="58"/>
        <item m="1" x="45"/>
        <item m="1" x="59"/>
        <item m="1" x="47"/>
        <item m="1" x="55"/>
        <item m="1" x="51"/>
        <item m="1" x="48"/>
        <item m="1" x="32"/>
        <item m="1" x="33"/>
        <item m="1" x="53"/>
        <item m="1" x="31"/>
        <item m="1" x="50"/>
        <item x="0"/>
        <item x="1"/>
        <item x="2"/>
        <item x="3"/>
        <item x="4"/>
        <item x="5"/>
        <item x="6"/>
        <item x="7"/>
        <item x="8"/>
        <item x="9"/>
        <item x="10"/>
        <item x="11"/>
        <item x="12"/>
        <item x="13"/>
        <item x="14"/>
        <item x="15"/>
        <item x="16"/>
        <item x="17"/>
        <item x="18"/>
        <item x="19"/>
        <item x="20"/>
        <item x="21"/>
        <item x="22"/>
        <item x="23"/>
        <item x="24"/>
        <item x="25"/>
        <item x="26"/>
        <item x="27"/>
        <item x="2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29">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3AC8F-C5B9-4397-881E-C87F4D5D72DB}" name="TablaDinámica3"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E3:E10"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
        <item m="1" x="40"/>
        <item m="1" x="30"/>
        <item m="1" x="10"/>
        <item m="1" x="13"/>
        <item m="1" x="36"/>
        <item m="1" x="34"/>
        <item m="1" x="7"/>
        <item m="1" x="25"/>
        <item m="1" x="26"/>
        <item m="1" x="27"/>
        <item m="1" x="28"/>
        <item m="1" x="29"/>
        <item m="1" x="31"/>
        <item m="1" x="32"/>
        <item m="1" x="35"/>
        <item m="1" x="37"/>
        <item m="1" x="39"/>
        <item m="1" x="14"/>
        <item m="1" x="17"/>
        <item m="1" x="18"/>
        <item m="1" x="19"/>
        <item m="1" x="20"/>
        <item m="1" x="21"/>
        <item m="1" x="23"/>
        <item m="1" x="15"/>
        <item m="1" x="41"/>
        <item m="1" x="12"/>
        <item m="1" x="9"/>
        <item m="1" x="33"/>
        <item m="1" x="24"/>
        <item m="1" x="16"/>
        <item m="1" x="38"/>
        <item m="1" x="8"/>
        <item m="1" x="22"/>
        <item x="1"/>
        <item m="1" x="11"/>
        <item x="0"/>
        <item x="2"/>
        <item x="3"/>
        <item x="4"/>
        <item x="5"/>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7">
    <i>
      <x v="34"/>
    </i>
    <i>
      <x v="36"/>
    </i>
    <i>
      <x v="37"/>
    </i>
    <i>
      <x v="38"/>
    </i>
    <i>
      <x v="39"/>
    </i>
    <i>
      <x v="40"/>
    </i>
    <i>
      <x v="4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83917-5E13-474F-96F2-8E7D27320B6A}" name="TablaDinámica6"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M3:M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1"/>
        <item m="1" x="7"/>
        <item m="1" x="10"/>
        <item m="1" x="11"/>
        <item x="0"/>
        <item m="1" x="8"/>
        <item m="1" x="5"/>
        <item x="2"/>
        <item m="1" x="9"/>
        <item m="1" x="6"/>
        <item m="1" x="4"/>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4">
    <i>
      <x/>
    </i>
    <i>
      <x v="4"/>
    </i>
    <i>
      <x v="7"/>
    </i>
    <i>
      <x v="1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70BAEC-3674-494C-96AA-D9E473F73853}" name="TablaDinámica4"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J3:J6"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v="1"/>
    </i>
    <i>
      <x v="3"/>
    </i>
    <i>
      <x v="4"/>
    </i>
  </rowItems>
  <colItems count="1">
    <i/>
  </colItems>
  <formats count="2">
    <format dxfId="2">
      <pivotArea field="7" type="button" dataOnly="0" labelOnly="1" outline="0" axis="axisRow" fieldPosition="0"/>
    </format>
    <format dxfId="1">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DDEFDB-163D-4CC1-8861-7C6E3CE442CC}" name="TablaDinámica2"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A28"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
        <item m="1" x="31"/>
        <item m="1" x="38"/>
        <item m="1" x="25"/>
        <item m="1" x="36"/>
        <item m="1" x="32"/>
        <item m="1" x="27"/>
        <item m="1" x="40"/>
        <item m="1" x="37"/>
        <item m="1" x="30"/>
        <item m="1" x="34"/>
        <item m="1" x="41"/>
        <item m="1" x="28"/>
        <item m="1" x="33"/>
        <item m="1" x="26"/>
        <item m="1" x="29"/>
        <item m="1" x="35"/>
        <item x="0"/>
        <item x="1"/>
        <item x="2"/>
        <item x="3"/>
        <item x="4"/>
        <item x="5"/>
        <item m="1" x="39"/>
        <item x="6"/>
        <item x="7"/>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25">
    <i>
      <x v="16"/>
    </i>
    <i>
      <x v="17"/>
    </i>
    <i>
      <x v="18"/>
    </i>
    <i>
      <x v="19"/>
    </i>
    <i>
      <x v="20"/>
    </i>
    <i>
      <x v="21"/>
    </i>
    <i>
      <x v="23"/>
    </i>
    <i>
      <x v="24"/>
    </i>
    <i>
      <x v="25"/>
    </i>
    <i>
      <x v="26"/>
    </i>
    <i>
      <x v="27"/>
    </i>
    <i>
      <x v="28"/>
    </i>
    <i>
      <x v="29"/>
    </i>
    <i>
      <x v="30"/>
    </i>
    <i>
      <x v="31"/>
    </i>
    <i>
      <x v="32"/>
    </i>
    <i>
      <x v="33"/>
    </i>
    <i>
      <x v="34"/>
    </i>
    <i>
      <x v="35"/>
    </i>
    <i>
      <x v="36"/>
    </i>
    <i>
      <x v="37"/>
    </i>
    <i>
      <x v="38"/>
    </i>
    <i>
      <x v="39"/>
    </i>
    <i>
      <x v="40"/>
    </i>
    <i>
      <x v="4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03F3C8-DE76-42AA-BDDD-06E650266948}" name="TablaDinámica2" cacheId="14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G403" firstHeaderRow="1" firstDataRow="1" firstDataCol="7"/>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2">
        <item m="1" x="31"/>
        <item m="1" x="38"/>
        <item m="1" x="25"/>
        <item m="1" x="36"/>
        <item m="1" x="32"/>
        <item m="1" x="27"/>
        <item m="1" x="40"/>
        <item m="1" x="37"/>
        <item m="1" x="30"/>
        <item m="1" x="34"/>
        <item m="1" x="41"/>
        <item m="1" x="28"/>
        <item m="1" x="33"/>
        <item m="1" x="26"/>
        <item m="1" x="29"/>
        <item m="1" x="35"/>
        <item x="0"/>
        <item x="1"/>
        <item x="2"/>
        <item x="3"/>
        <item x="4"/>
        <item x="5"/>
        <item m="1" x="39"/>
        <item x="6"/>
        <item x="7"/>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axis="axisRow" compact="0" outline="0" showAll="0" defaultSubtotal="0">
      <items count="42">
        <item m="1" x="40"/>
        <item m="1" x="30"/>
        <item m="1" x="10"/>
        <item m="1" x="13"/>
        <item m="1" x="36"/>
        <item m="1" x="34"/>
        <item m="1" x="7"/>
        <item m="1" x="25"/>
        <item m="1" x="26"/>
        <item m="1" x="27"/>
        <item m="1" x="28"/>
        <item m="1" x="29"/>
        <item m="1" x="31"/>
        <item m="1" x="32"/>
        <item m="1" x="35"/>
        <item m="1" x="37"/>
        <item m="1" x="39"/>
        <item m="1" x="14"/>
        <item m="1" x="17"/>
        <item m="1" x="18"/>
        <item m="1" x="19"/>
        <item m="1" x="20"/>
        <item m="1" x="21"/>
        <item m="1" x="23"/>
        <item m="1" x="15"/>
        <item m="1" x="41"/>
        <item m="1" x="12"/>
        <item m="1" x="9"/>
        <item m="1" x="33"/>
        <item m="1" x="24"/>
        <item m="1" x="16"/>
        <item m="1" x="38"/>
        <item m="1" x="8"/>
        <item m="1" x="22"/>
        <item x="1"/>
        <item m="1" x="11"/>
        <item x="0"/>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x="2"/>
      </items>
      <extLst>
        <ext xmlns:x14="http://schemas.microsoft.com/office/spreadsheetml/2009/9/main" uri="{2946ED86-A175-432a-8AC1-64E0C546D7DE}">
          <x14:pivotField fillDownLabels="1"/>
        </ext>
      </extLst>
    </pivotField>
    <pivotField axis="axisRow" compact="0" outline="0" showAll="0" defaultSubtotal="0">
      <items count="385">
        <item m="1" x="104"/>
        <item m="1" x="257"/>
        <item m="1" x="292"/>
        <item m="1" x="379"/>
        <item m="1" x="376"/>
        <item m="1" x="157"/>
        <item x="69"/>
        <item m="1" x="263"/>
        <item x="61"/>
        <item x="18"/>
        <item m="1" x="135"/>
        <item x="53"/>
        <item x="81"/>
        <item m="1" x="280"/>
        <item m="1" x="265"/>
        <item m="1" x="248"/>
        <item m="1" x="356"/>
        <item m="1" x="183"/>
        <item x="19"/>
        <item m="1" x="110"/>
        <item m="1" x="141"/>
        <item x="29"/>
        <item m="1" x="343"/>
        <item m="1" x="113"/>
        <item m="1" x="337"/>
        <item m="1" x="282"/>
        <item m="1" x="287"/>
        <item x="54"/>
        <item m="1" x="254"/>
        <item m="1" x="290"/>
        <item m="1" x="177"/>
        <item x="70"/>
        <item m="1" x="245"/>
        <item x="45"/>
        <item m="1" x="258"/>
        <item m="1" x="156"/>
        <item m="1" x="225"/>
        <item m="1" x="105"/>
        <item m="1" x="173"/>
        <item m="1" x="360"/>
        <item x="55"/>
        <item x="0"/>
        <item m="1" x="325"/>
        <item m="1" x="179"/>
        <item m="1" x="163"/>
        <item m="1" x="328"/>
        <item m="1" x="344"/>
        <item m="1" x="171"/>
        <item m="1" x="366"/>
        <item m="1" x="196"/>
        <item m="1" x="226"/>
        <item m="1" x="166"/>
        <item m="1" x="377"/>
        <item m="1" x="206"/>
        <item m="1" x="101"/>
        <item m="1" x="249"/>
        <item m="1" x="359"/>
        <item m="1" x="318"/>
        <item m="1" x="255"/>
        <item m="1" x="145"/>
        <item m="1" x="334"/>
        <item m="1" x="149"/>
        <item m="1" x="197"/>
        <item m="1" x="251"/>
        <item m="1" x="289"/>
        <item m="1" x="330"/>
        <item m="1" x="133"/>
        <item m="1" x="188"/>
        <item m="1" x="349"/>
        <item x="24"/>
        <item x="57"/>
        <item m="1" x="374"/>
        <item m="1" x="109"/>
        <item m="1" x="191"/>
        <item m="1" x="216"/>
        <item m="1" x="300"/>
        <item m="1" x="338"/>
        <item m="1" x="279"/>
        <item m="1" x="347"/>
        <item m="1" x="193"/>
        <item m="1" x="217"/>
        <item x="22"/>
        <item m="1" x="106"/>
        <item m="1" x="380"/>
        <item m="1" x="136"/>
        <item m="1" x="202"/>
        <item m="1" x="312"/>
        <item m="1" x="294"/>
        <item m="1" x="270"/>
        <item m="1" x="336"/>
        <item m="1" x="243"/>
        <item m="1" x="295"/>
        <item m="1" x="201"/>
        <item m="1" x="131"/>
        <item m="1" x="277"/>
        <item m="1" x="259"/>
        <item m="1" x="267"/>
        <item m="1" x="333"/>
        <item m="1" x="190"/>
        <item m="1" x="367"/>
        <item m="1" x="128"/>
        <item x="39"/>
        <item m="1" x="162"/>
        <item m="1" x="124"/>
        <item m="1" x="167"/>
        <item m="1" x="172"/>
        <item m="1" x="296"/>
        <item m="1" x="187"/>
        <item m="1" x="232"/>
        <item m="1" x="215"/>
        <item m="1" x="240"/>
        <item x="25"/>
        <item m="1" x="383"/>
        <item x="17"/>
        <item m="1" x="354"/>
        <item m="1" x="237"/>
        <item m="1" x="158"/>
        <item m="1" x="181"/>
        <item m="1" x="194"/>
        <item m="1" x="139"/>
        <item m="1" x="198"/>
        <item m="1" x="320"/>
        <item m="1" x="362"/>
        <item x="30"/>
        <item m="1" x="203"/>
        <item m="1" x="361"/>
        <item x="26"/>
        <item m="1" x="132"/>
        <item m="1" x="116"/>
        <item m="1" x="252"/>
        <item m="1" x="182"/>
        <item m="1" x="317"/>
        <item m="1" x="178"/>
        <item m="1" x="214"/>
        <item m="1" x="127"/>
        <item m="1" x="363"/>
        <item x="62"/>
        <item m="1" x="281"/>
        <item m="1" x="142"/>
        <item x="31"/>
        <item x="48"/>
        <item m="1" x="350"/>
        <item m="1" x="107"/>
        <item m="1" x="229"/>
        <item m="1" x="253"/>
        <item m="1" x="351"/>
        <item m="1" x="310"/>
        <item m="1" x="373"/>
        <item x="63"/>
        <item m="1" x="304"/>
        <item m="1" x="239"/>
        <item m="1" x="335"/>
        <item x="32"/>
        <item x="58"/>
        <item x="78"/>
        <item m="1" x="151"/>
        <item m="1" x="314"/>
        <item m="1" x="195"/>
        <item m="1" x="185"/>
        <item m="1" x="165"/>
        <item m="1" x="382"/>
        <item m="1" x="164"/>
        <item m="1" x="152"/>
        <item m="1" x="357"/>
        <item m="1" x="293"/>
        <item m="1" x="123"/>
        <item m="1" x="208"/>
        <item m="1" x="364"/>
        <item x="79"/>
        <item x="89"/>
        <item m="1" x="305"/>
        <item m="1" x="299"/>
        <item m="1" x="154"/>
        <item m="1" x="218"/>
        <item x="49"/>
        <item m="1" x="291"/>
        <item m="1" x="184"/>
        <item m="1" x="160"/>
        <item m="1" x="381"/>
        <item m="1" x="227"/>
        <item m="1" x="308"/>
        <item m="1" x="161"/>
        <item m="1" x="301"/>
        <item m="1" x="375"/>
        <item m="1" x="288"/>
        <item x="64"/>
        <item m="1" x="247"/>
        <item m="1" x="307"/>
        <item m="1" x="302"/>
        <item m="1" x="115"/>
        <item m="1" x="99"/>
        <item m="1" x="306"/>
        <item x="71"/>
        <item x="27"/>
        <item m="1" x="365"/>
        <item m="1" x="102"/>
        <item m="1" x="174"/>
        <item m="1" x="261"/>
        <item m="1" x="220"/>
        <item m="1" x="331"/>
        <item m="1" x="311"/>
        <item m="1" x="342"/>
        <item m="1" x="303"/>
        <item m="1" x="224"/>
        <item m="1" x="155"/>
        <item x="50"/>
        <item m="1" x="316"/>
        <item m="1" x="147"/>
        <item m="1" x="274"/>
        <item m="1" x="278"/>
        <item m="1" x="285"/>
        <item m="1" x="153"/>
        <item m="1" x="100"/>
        <item m="1" x="219"/>
        <item m="1" x="369"/>
        <item m="1" x="297"/>
        <item m="1" x="169"/>
        <item m="1" x="210"/>
        <item m="1" x="204"/>
        <item m="1" x="207"/>
        <item m="1" x="112"/>
        <item m="1" x="276"/>
        <item m="1" x="98"/>
        <item m="1" x="150"/>
        <item m="1" x="129"/>
        <item m="1" x="271"/>
        <item m="1" x="234"/>
        <item m="1" x="140"/>
        <item m="1" x="180"/>
        <item m="1" x="175"/>
        <item m="1" x="341"/>
        <item m="1" x="144"/>
        <item m="1" x="117"/>
        <item m="1" x="352"/>
        <item x="72"/>
        <item m="1" x="176"/>
        <item x="73"/>
        <item m="1" x="250"/>
        <item m="1" x="137"/>
        <item x="76"/>
        <item m="1" x="313"/>
        <item m="1" x="273"/>
        <item m="1" x="125"/>
        <item m="1" x="111"/>
        <item m="1" x="329"/>
        <item m="1" x="170"/>
        <item m="1" x="238"/>
        <item m="1" x="283"/>
        <item m="1" x="326"/>
        <item m="1" x="211"/>
        <item m="1" x="168"/>
        <item m="1" x="266"/>
        <item m="1" x="319"/>
        <item x="33"/>
        <item m="1" x="309"/>
        <item m="1" x="327"/>
        <item m="1" x="213"/>
        <item m="1" x="286"/>
        <item m="1" x="378"/>
        <item m="1" x="262"/>
        <item x="40"/>
        <item m="1" x="324"/>
        <item m="1" x="134"/>
        <item m="1" x="358"/>
        <item x="2"/>
        <item x="15"/>
        <item x="3"/>
        <item x="11"/>
        <item x="4"/>
        <item x="9"/>
        <item x="10"/>
        <item x="14"/>
        <item x="12"/>
        <item x="7"/>
        <item x="16"/>
        <item x="6"/>
        <item x="1"/>
        <item x="5"/>
        <item x="8"/>
        <item x="13"/>
        <item m="1" x="233"/>
        <item m="1" x="159"/>
        <item x="41"/>
        <item m="1" x="339"/>
        <item m="1" x="246"/>
        <item m="1" x="275"/>
        <item m="1" x="122"/>
        <item m="1" x="264"/>
        <item m="1" x="315"/>
        <item m="1" x="119"/>
        <item m="1" x="353"/>
        <item m="1" x="126"/>
        <item m="1" x="284"/>
        <item m="1" x="212"/>
        <item m="1" x="346"/>
        <item m="1" x="298"/>
        <item m="1" x="222"/>
        <item m="1" x="209"/>
        <item x="83"/>
        <item m="1" x="143"/>
        <item m="1" x="370"/>
        <item m="1" x="138"/>
        <item x="35"/>
        <item x="42"/>
        <item m="1" x="114"/>
        <item m="1" x="323"/>
        <item x="51"/>
        <item m="1" x="241"/>
        <item m="1" x="371"/>
        <item m="1" x="244"/>
        <item m="1" x="272"/>
        <item m="1" x="230"/>
        <item m="1" x="321"/>
        <item m="1" x="348"/>
        <item m="1" x="372"/>
        <item m="1" x="231"/>
        <item m="1" x="199"/>
        <item m="1" x="322"/>
        <item m="1" x="192"/>
        <item x="43"/>
        <item m="1" x="355"/>
        <item x="44"/>
        <item m="1" x="242"/>
        <item m="1" x="120"/>
        <item x="77"/>
        <item m="1" x="269"/>
        <item m="1" x="236"/>
        <item m="1" x="221"/>
        <item x="52"/>
        <item x="59"/>
        <item m="1" x="228"/>
        <item x="66"/>
        <item m="1" x="368"/>
        <item m="1" x="223"/>
        <item m="1" x="130"/>
        <item m="1" x="205"/>
        <item m="1" x="189"/>
        <item m="1" x="200"/>
        <item x="20"/>
        <item m="1" x="332"/>
        <item m="1" x="121"/>
        <item m="1" x="108"/>
        <item m="1" x="186"/>
        <item m="1" x="256"/>
        <item m="1" x="118"/>
        <item m="1" x="148"/>
        <item x="80"/>
        <item x="23"/>
        <item x="87"/>
        <item m="1" x="268"/>
        <item x="67"/>
        <item x="28"/>
        <item m="1" x="260"/>
        <item m="1" x="345"/>
        <item x="37"/>
        <item x="68"/>
        <item x="38"/>
        <item m="1" x="235"/>
        <item m="1" x="384"/>
        <item m="1" x="146"/>
        <item x="84"/>
        <item m="1" x="340"/>
        <item m="1" x="103"/>
        <item x="21"/>
        <item x="34"/>
        <item x="36"/>
        <item x="46"/>
        <item x="47"/>
        <item x="56"/>
        <item x="60"/>
        <item x="65"/>
        <item x="74"/>
        <item x="75"/>
        <item x="82"/>
        <item x="85"/>
        <item x="86"/>
        <item x="88"/>
        <item x="90"/>
        <item x="91"/>
        <item x="92"/>
        <item x="93"/>
        <item x="94"/>
        <item x="95"/>
        <item x="96"/>
        <item x="97"/>
      </items>
      <extLst>
        <ext xmlns:x14="http://schemas.microsoft.com/office/spreadsheetml/2009/9/main" uri="{2946ED86-A175-432a-8AC1-64E0C546D7DE}">
          <x14:pivotField fillDownLabels="1"/>
        </ext>
      </extLst>
    </pivotField>
    <pivotField axis="axisRow" compact="0" outline="0" showAll="0" defaultSubtotal="0">
      <items count="12">
        <item x="1"/>
        <item m="1" x="7"/>
        <item m="1" x="10"/>
        <item m="1" x="11"/>
        <item x="0"/>
        <item m="1" x="8"/>
        <item m="1" x="5"/>
        <item x="2"/>
        <item m="1" x="9"/>
        <item m="1" x="6"/>
        <item m="1" x="4"/>
        <item x="3"/>
      </items>
      <extLst>
        <ext xmlns:x14="http://schemas.microsoft.com/office/spreadsheetml/2009/9/main" uri="{2946ED86-A175-432a-8AC1-64E0C546D7DE}">
          <x14:pivotField fillDownLabels="1"/>
        </ext>
      </extLst>
    </pivotField>
    <pivotField axis="axisRow" compact="0" outline="0" showAll="0" defaultSubtotal="0">
      <items count="60">
        <item m="1" x="29"/>
        <item m="1" x="56"/>
        <item m="1" x="35"/>
        <item m="1" x="30"/>
        <item m="1" x="52"/>
        <item m="1" x="34"/>
        <item m="1" x="41"/>
        <item m="1" x="36"/>
        <item m="1" x="46"/>
        <item m="1" x="43"/>
        <item m="1" x="57"/>
        <item m="1" x="44"/>
        <item m="1" x="38"/>
        <item m="1" x="54"/>
        <item m="1" x="40"/>
        <item m="1" x="39"/>
        <item m="1" x="49"/>
        <item m="1" x="37"/>
        <item m="1" x="42"/>
        <item m="1" x="58"/>
        <item m="1" x="45"/>
        <item m="1" x="59"/>
        <item m="1" x="47"/>
        <item m="1" x="55"/>
        <item m="1" x="51"/>
        <item m="1" x="48"/>
        <item m="1" x="32"/>
        <item m="1" x="33"/>
        <item m="1" x="53"/>
        <item m="1" x="31"/>
        <item m="1" x="50"/>
        <item x="0"/>
        <item x="1"/>
        <item x="2"/>
        <item x="3"/>
        <item x="4"/>
        <item x="5"/>
        <item x="6"/>
        <item x="7"/>
        <item x="8"/>
        <item x="9"/>
        <item x="10"/>
        <item x="11"/>
        <item x="12"/>
        <item x="13"/>
        <item x="14"/>
        <item x="15"/>
        <item x="16"/>
        <item x="17"/>
        <item x="18"/>
        <item x="19"/>
        <item x="20"/>
        <item x="21"/>
        <item x="22"/>
        <item x="23"/>
        <item x="24"/>
        <item x="25"/>
        <item x="26"/>
        <item x="27"/>
        <item x="2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5">
        <item m="1" x="42"/>
        <item m="1" x="51"/>
        <item m="1" x="46"/>
        <item m="1" x="39"/>
        <item m="1" x="35"/>
        <item m="1" x="52"/>
        <item m="1" x="47"/>
        <item m="1" x="40"/>
        <item m="1" x="36"/>
        <item m="1" x="53"/>
        <item m="1" x="48"/>
        <item m="1" x="43"/>
        <item m="1" x="37"/>
        <item m="1" x="41"/>
        <item m="1" x="50"/>
        <item m="1" x="45"/>
        <item m="1" x="38"/>
        <item m="1" x="44"/>
        <item m="1" x="49"/>
        <item m="1" x="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7">
    <field x="5"/>
    <field x="6"/>
    <field x="7"/>
    <field x="9"/>
    <field x="8"/>
    <field x="10"/>
    <field x="19"/>
  </rowFields>
  <rowItems count="400">
    <i>
      <x v="16"/>
      <x v="36"/>
      <x v="1"/>
      <x/>
      <x v="41"/>
      <x v="31"/>
      <x v="54"/>
    </i>
    <i r="3">
      <x v="4"/>
      <x v="41"/>
      <x v="31"/>
      <x v="20"/>
    </i>
    <i r="3">
      <x v="7"/>
      <x v="41"/>
      <x v="34"/>
      <x v="53"/>
    </i>
    <i r="2">
      <x v="3"/>
      <x/>
      <x v="264"/>
      <x v="32"/>
      <x v="22"/>
    </i>
    <i r="4">
      <x v="265"/>
      <x v="32"/>
      <x v="35"/>
    </i>
    <i r="4">
      <x v="266"/>
      <x v="32"/>
      <x v="23"/>
    </i>
    <i r="4">
      <x v="267"/>
      <x v="32"/>
      <x v="31"/>
    </i>
    <i r="4">
      <x v="268"/>
      <x v="32"/>
      <x v="24"/>
    </i>
    <i r="4">
      <x v="269"/>
      <x v="32"/>
      <x v="29"/>
    </i>
    <i r="4">
      <x v="270"/>
      <x v="32"/>
      <x v="30"/>
    </i>
    <i r="4">
      <x v="271"/>
      <x v="32"/>
      <x v="34"/>
    </i>
    <i r="4">
      <x v="272"/>
      <x v="32"/>
      <x v="32"/>
    </i>
    <i r="4">
      <x v="273"/>
      <x v="32"/>
      <x v="27"/>
    </i>
    <i r="4">
      <x v="274"/>
      <x v="32"/>
      <x v="36"/>
    </i>
    <i r="4">
      <x v="275"/>
      <x v="32"/>
      <x v="26"/>
    </i>
    <i r="4">
      <x v="276"/>
      <x v="32"/>
      <x v="21"/>
    </i>
    <i r="4">
      <x v="277"/>
      <x v="32"/>
      <x v="25"/>
    </i>
    <i r="4">
      <x v="278"/>
      <x v="32"/>
      <x v="28"/>
    </i>
    <i r="4">
      <x v="279"/>
      <x v="32"/>
      <x v="33"/>
    </i>
    <i r="3">
      <x v="7"/>
      <x v="264"/>
      <x v="32"/>
      <x v="38"/>
    </i>
    <i r="4">
      <x v="265"/>
      <x v="32"/>
      <x v="51"/>
    </i>
    <i r="4">
      <x v="266"/>
      <x v="32"/>
      <x v="39"/>
    </i>
    <i r="4">
      <x v="267"/>
      <x v="32"/>
      <x v="47"/>
    </i>
    <i r="4">
      <x v="268"/>
      <x v="32"/>
      <x v="40"/>
    </i>
    <i r="4">
      <x v="269"/>
      <x v="32"/>
      <x v="45"/>
    </i>
    <i r="4">
      <x v="270"/>
      <x v="32"/>
      <x v="46"/>
    </i>
    <i r="4">
      <x v="271"/>
      <x v="32"/>
      <x v="50"/>
    </i>
    <i r="4">
      <x v="272"/>
      <x v="32"/>
      <x v="48"/>
    </i>
    <i r="4">
      <x v="273"/>
      <x v="32"/>
      <x v="43"/>
    </i>
    <i r="4">
      <x v="274"/>
      <x v="32"/>
      <x v="52"/>
    </i>
    <i r="4">
      <x v="275"/>
      <x v="32"/>
      <x v="42"/>
    </i>
    <i r="4">
      <x v="276"/>
      <x v="32"/>
      <x v="37"/>
    </i>
    <i r="4">
      <x v="277"/>
      <x v="32"/>
      <x v="41"/>
    </i>
    <i r="4">
      <x v="278"/>
      <x v="32"/>
      <x v="44"/>
    </i>
    <i r="4">
      <x v="279"/>
      <x v="32"/>
      <x v="49"/>
    </i>
    <i>
      <x v="17"/>
      <x v="36"/>
      <x v="1"/>
      <x v="4"/>
      <x v="41"/>
      <x v="34"/>
      <x v="20"/>
    </i>
    <i r="2">
      <x v="3"/>
      <x v="7"/>
      <x v="277"/>
      <x v="33"/>
      <x v="41"/>
    </i>
    <i r="4">
      <x v="278"/>
      <x v="33"/>
      <x v="44"/>
    </i>
    <i r="4">
      <x v="279"/>
      <x v="33"/>
      <x v="49"/>
    </i>
    <i>
      <x v="18"/>
      <x v="36"/>
      <x v="1"/>
      <x v="7"/>
      <x v="41"/>
      <x v="35"/>
      <x v="53"/>
    </i>
    <i>
      <x v="19"/>
      <x v="36"/>
      <x v="1"/>
      <x v="7"/>
      <x v="41"/>
      <x v="34"/>
      <x v="53"/>
    </i>
    <i>
      <x v="20"/>
      <x v="36"/>
      <x v="1"/>
      <x v="7"/>
      <x v="41"/>
      <x v="34"/>
      <x v="53"/>
    </i>
    <i>
      <x v="21"/>
      <x v="34"/>
      <x v="1"/>
      <x v="4"/>
      <x v="41"/>
      <x v="36"/>
      <x v="20"/>
    </i>
    <i r="5">
      <x v="37"/>
      <x v="20"/>
    </i>
    <i r="5">
      <x v="38"/>
      <x v="20"/>
    </i>
    <i r="5">
      <x v="39"/>
      <x v="20"/>
    </i>
    <i r="3">
      <x v="7"/>
      <x v="41"/>
      <x v="36"/>
      <x v="20"/>
    </i>
    <i r="6">
      <x v="54"/>
    </i>
    <i r="5">
      <x v="37"/>
      <x v="54"/>
    </i>
    <i r="2">
      <x v="3"/>
      <x v="7"/>
      <x v="264"/>
      <x v="36"/>
      <x v="22"/>
    </i>
    <i r="6">
      <x v="38"/>
    </i>
    <i r="5">
      <x v="37"/>
      <x v="22"/>
    </i>
    <i r="6">
      <x v="38"/>
    </i>
    <i r="4">
      <x v="265"/>
      <x v="36"/>
      <x v="35"/>
    </i>
    <i r="6">
      <x v="51"/>
    </i>
    <i r="5">
      <x v="37"/>
      <x v="35"/>
    </i>
    <i r="6">
      <x v="51"/>
    </i>
    <i r="4">
      <x v="266"/>
      <x v="36"/>
      <x v="23"/>
    </i>
    <i r="6">
      <x v="39"/>
    </i>
    <i r="5">
      <x v="37"/>
      <x v="23"/>
    </i>
    <i r="6">
      <x v="39"/>
    </i>
    <i r="4">
      <x v="267"/>
      <x v="36"/>
      <x v="31"/>
    </i>
    <i r="6">
      <x v="47"/>
    </i>
    <i r="5">
      <x v="37"/>
      <x v="31"/>
    </i>
    <i r="6">
      <x v="47"/>
    </i>
    <i r="4">
      <x v="268"/>
      <x v="36"/>
      <x v="24"/>
    </i>
    <i r="6">
      <x v="40"/>
    </i>
    <i r="5">
      <x v="37"/>
      <x v="24"/>
    </i>
    <i r="6">
      <x v="40"/>
    </i>
    <i r="4">
      <x v="269"/>
      <x v="36"/>
      <x v="29"/>
    </i>
    <i r="6">
      <x v="45"/>
    </i>
    <i r="5">
      <x v="37"/>
      <x v="29"/>
    </i>
    <i r="6">
      <x v="45"/>
    </i>
    <i r="4">
      <x v="270"/>
      <x v="36"/>
      <x v="30"/>
    </i>
    <i r="6">
      <x v="46"/>
    </i>
    <i r="5">
      <x v="37"/>
      <x v="30"/>
    </i>
    <i r="6">
      <x v="46"/>
    </i>
    <i r="4">
      <x v="271"/>
      <x v="36"/>
      <x v="34"/>
    </i>
    <i r="6">
      <x v="50"/>
    </i>
    <i r="5">
      <x v="37"/>
      <x v="34"/>
    </i>
    <i r="6">
      <x v="50"/>
    </i>
    <i r="4">
      <x v="272"/>
      <x v="36"/>
      <x v="32"/>
    </i>
    <i r="6">
      <x v="48"/>
    </i>
    <i r="5">
      <x v="37"/>
      <x v="32"/>
    </i>
    <i r="6">
      <x v="48"/>
    </i>
    <i r="4">
      <x v="273"/>
      <x v="36"/>
      <x v="27"/>
    </i>
    <i r="6">
      <x v="43"/>
    </i>
    <i r="5">
      <x v="37"/>
      <x v="27"/>
    </i>
    <i r="6">
      <x v="43"/>
    </i>
    <i r="4">
      <x v="274"/>
      <x v="36"/>
      <x v="36"/>
    </i>
    <i r="6">
      <x v="52"/>
    </i>
    <i r="5">
      <x v="37"/>
      <x v="36"/>
    </i>
    <i r="6">
      <x v="52"/>
    </i>
    <i r="4">
      <x v="275"/>
      <x v="36"/>
      <x v="26"/>
    </i>
    <i r="6">
      <x v="42"/>
    </i>
    <i r="5">
      <x v="37"/>
      <x v="26"/>
    </i>
    <i r="6">
      <x v="42"/>
    </i>
    <i r="4">
      <x v="276"/>
      <x v="36"/>
      <x v="21"/>
    </i>
    <i r="6">
      <x v="37"/>
    </i>
    <i r="5">
      <x v="37"/>
      <x v="21"/>
    </i>
    <i r="6">
      <x v="37"/>
    </i>
    <i r="4">
      <x v="277"/>
      <x v="36"/>
      <x v="25"/>
    </i>
    <i r="6">
      <x v="41"/>
    </i>
    <i r="5">
      <x v="37"/>
      <x v="25"/>
    </i>
    <i r="6">
      <x v="41"/>
    </i>
    <i r="4">
      <x v="278"/>
      <x v="36"/>
      <x v="28"/>
    </i>
    <i r="6">
      <x v="44"/>
    </i>
    <i r="5">
      <x v="37"/>
      <x v="28"/>
    </i>
    <i r="6">
      <x v="44"/>
    </i>
    <i r="4">
      <x v="279"/>
      <x v="36"/>
      <x v="33"/>
    </i>
    <i r="6">
      <x v="49"/>
    </i>
    <i r="5">
      <x v="37"/>
      <x v="33"/>
    </i>
    <i r="6">
      <x v="49"/>
    </i>
    <i r="2">
      <x v="4"/>
      <x v="7"/>
      <x v="6"/>
      <x v="36"/>
      <x v="30"/>
    </i>
    <i r="4">
      <x v="8"/>
      <x v="36"/>
      <x v="29"/>
    </i>
    <i r="4">
      <x v="9"/>
      <x v="36"/>
      <x v="22"/>
    </i>
    <i r="4">
      <x v="11"/>
      <x v="36"/>
      <x v="28"/>
    </i>
    <i r="4">
      <x v="12"/>
      <x v="36"/>
      <x v="35"/>
    </i>
    <i r="4">
      <x v="18"/>
      <x v="36"/>
      <x v="22"/>
    </i>
    <i r="4">
      <x v="21"/>
      <x v="36"/>
      <x v="25"/>
    </i>
    <i r="4">
      <x v="27"/>
      <x v="36"/>
      <x v="28"/>
    </i>
    <i r="4">
      <x v="31"/>
      <x v="36"/>
      <x v="30"/>
    </i>
    <i r="4">
      <x v="33"/>
      <x v="36"/>
      <x v="27"/>
    </i>
    <i r="4">
      <x v="40"/>
      <x v="36"/>
      <x v="28"/>
    </i>
    <i r="4">
      <x v="69"/>
      <x v="36"/>
      <x v="24"/>
    </i>
    <i r="4">
      <x v="70"/>
      <x v="36"/>
      <x v="28"/>
    </i>
    <i r="4">
      <x v="81"/>
      <x v="36"/>
      <x v="23"/>
    </i>
    <i r="4">
      <x v="101"/>
      <x v="36"/>
      <x v="26"/>
    </i>
    <i r="4">
      <x v="111"/>
      <x v="36"/>
      <x v="24"/>
    </i>
    <i r="4">
      <x v="113"/>
      <x v="36"/>
      <x v="21"/>
    </i>
    <i r="4">
      <x v="123"/>
      <x v="36"/>
      <x v="25"/>
    </i>
    <i r="4">
      <x v="126"/>
      <x v="36"/>
      <x v="24"/>
    </i>
    <i r="4">
      <x v="136"/>
      <x v="36"/>
      <x v="29"/>
    </i>
    <i r="4">
      <x v="139"/>
      <x v="36"/>
      <x v="25"/>
    </i>
    <i r="4">
      <x v="140"/>
      <x v="36"/>
      <x v="27"/>
    </i>
    <i r="4">
      <x v="148"/>
      <x v="36"/>
      <x v="29"/>
    </i>
    <i r="4">
      <x v="152"/>
      <x v="36"/>
      <x v="25"/>
    </i>
    <i r="4">
      <x v="153"/>
      <x v="36"/>
      <x v="28"/>
    </i>
    <i r="4">
      <x v="154"/>
      <x v="36"/>
      <x v="34"/>
    </i>
    <i r="4">
      <x v="168"/>
      <x v="36"/>
      <x v="34"/>
    </i>
    <i r="4">
      <x v="174"/>
      <x v="36"/>
      <x v="27"/>
    </i>
    <i r="4">
      <x v="185"/>
      <x v="36"/>
      <x v="29"/>
    </i>
    <i r="4">
      <x v="192"/>
      <x v="36"/>
      <x v="30"/>
    </i>
    <i r="4">
      <x v="193"/>
      <x v="36"/>
      <x v="24"/>
    </i>
    <i r="4">
      <x v="205"/>
      <x v="36"/>
      <x v="27"/>
    </i>
    <i r="4">
      <x v="234"/>
      <x v="36"/>
      <x v="30"/>
    </i>
    <i r="4">
      <x v="236"/>
      <x v="36"/>
      <x v="30"/>
    </i>
    <i r="4">
      <x v="239"/>
      <x v="36"/>
      <x v="32"/>
    </i>
    <i r="4">
      <x v="253"/>
      <x v="36"/>
      <x v="25"/>
    </i>
    <i r="4">
      <x v="260"/>
      <x v="36"/>
      <x v="26"/>
    </i>
    <i r="4">
      <x v="282"/>
      <x v="36"/>
      <x v="26"/>
    </i>
    <i r="4">
      <x v="298"/>
      <x v="36"/>
      <x v="36"/>
    </i>
    <i r="4">
      <x v="302"/>
      <x v="36"/>
      <x v="25"/>
    </i>
    <i r="4">
      <x v="303"/>
      <x v="36"/>
      <x v="26"/>
    </i>
    <i r="4">
      <x v="306"/>
      <x v="36"/>
      <x v="27"/>
    </i>
    <i r="4">
      <x v="319"/>
      <x v="36"/>
      <x v="26"/>
    </i>
    <i r="4">
      <x v="321"/>
      <x v="36"/>
      <x v="26"/>
    </i>
    <i r="4">
      <x v="324"/>
      <x v="36"/>
      <x v="33"/>
    </i>
    <i r="4">
      <x v="328"/>
      <x v="36"/>
      <x v="27"/>
    </i>
    <i r="4">
      <x v="329"/>
      <x v="36"/>
      <x v="28"/>
    </i>
    <i r="4">
      <x v="331"/>
      <x v="36"/>
      <x v="29"/>
    </i>
    <i r="4">
      <x v="338"/>
      <x v="36"/>
      <x v="22"/>
    </i>
    <i r="4">
      <x v="346"/>
      <x v="36"/>
      <x v="34"/>
    </i>
    <i r="4">
      <x v="347"/>
      <x v="36"/>
      <x v="23"/>
    </i>
    <i r="4">
      <x v="350"/>
      <x v="36"/>
      <x v="29"/>
    </i>
    <i r="4">
      <x v="351"/>
      <x v="36"/>
      <x v="24"/>
    </i>
    <i r="4">
      <x v="354"/>
      <x v="36"/>
      <x v="25"/>
    </i>
    <i r="4">
      <x v="355"/>
      <x v="36"/>
      <x v="29"/>
    </i>
    <i r="4">
      <x v="356"/>
      <x v="36"/>
      <x v="25"/>
    </i>
    <i r="4">
      <x v="360"/>
      <x v="36"/>
      <x v="36"/>
    </i>
    <i r="4">
      <x v="363"/>
      <x v="36"/>
      <x v="23"/>
    </i>
    <i r="4">
      <x v="364"/>
      <x v="36"/>
      <x v="25"/>
    </i>
    <i r="4">
      <x v="365"/>
      <x v="36"/>
      <x v="25"/>
    </i>
    <i r="4">
      <x v="366"/>
      <x v="36"/>
      <x v="27"/>
    </i>
    <i r="4">
      <x v="367"/>
      <x v="36"/>
      <x v="27"/>
    </i>
    <i r="4">
      <x v="368"/>
      <x v="36"/>
      <x v="28"/>
    </i>
    <i r="4">
      <x v="369"/>
      <x v="36"/>
      <x v="28"/>
    </i>
    <i r="4">
      <x v="370"/>
      <x v="36"/>
      <x v="29"/>
    </i>
    <i r="4">
      <x v="371"/>
      <x v="36"/>
      <x v="30"/>
    </i>
    <i r="4">
      <x v="372"/>
      <x v="36"/>
      <x v="31"/>
    </i>
    <i r="4">
      <x v="373"/>
      <x v="36"/>
      <x v="36"/>
    </i>
    <i>
      <x v="23"/>
      <x v="37"/>
      <x v="1"/>
      <x v="7"/>
      <x v="41"/>
      <x v="40"/>
      <x v="20"/>
    </i>
    <i r="6">
      <x v="53"/>
    </i>
    <i r="6">
      <x v="54"/>
    </i>
    <i r="5">
      <x v="41"/>
      <x v="20"/>
    </i>
    <i>
      <x v="24"/>
      <x v="37"/>
      <x v="1"/>
      <x v="7"/>
      <x v="41"/>
      <x v="40"/>
      <x v="20"/>
    </i>
    <i r="6">
      <x v="53"/>
    </i>
    <i r="6">
      <x v="54"/>
    </i>
    <i r="5">
      <x v="41"/>
      <x v="20"/>
    </i>
    <i r="6">
      <x v="54"/>
    </i>
    <i>
      <x v="25"/>
      <x v="37"/>
      <x v="1"/>
      <x v="7"/>
      <x v="41"/>
      <x v="40"/>
      <x v="20"/>
    </i>
    <i r="6">
      <x v="53"/>
    </i>
    <i r="6">
      <x v="54"/>
    </i>
    <i r="5">
      <x v="41"/>
      <x v="20"/>
    </i>
    <i>
      <x v="26"/>
      <x v="37"/>
      <x v="1"/>
      <x v="4"/>
      <x v="41"/>
      <x v="38"/>
      <x v="20"/>
    </i>
    <i r="5">
      <x v="39"/>
      <x v="20"/>
    </i>
    <i r="2">
      <x v="3"/>
      <x v="7"/>
      <x v="264"/>
      <x v="40"/>
      <x v="22"/>
    </i>
    <i r="6">
      <x v="38"/>
    </i>
    <i r="5">
      <x v="41"/>
      <x v="38"/>
    </i>
    <i r="4">
      <x v="265"/>
      <x v="40"/>
      <x v="35"/>
    </i>
    <i r="6">
      <x v="51"/>
    </i>
    <i r="5">
      <x v="41"/>
      <x v="51"/>
    </i>
    <i r="4">
      <x v="266"/>
      <x v="40"/>
      <x v="23"/>
    </i>
    <i r="6">
      <x v="39"/>
    </i>
    <i r="5">
      <x v="41"/>
      <x v="39"/>
    </i>
    <i r="4">
      <x v="267"/>
      <x v="40"/>
      <x v="31"/>
    </i>
    <i r="6">
      <x v="47"/>
    </i>
    <i r="5">
      <x v="41"/>
      <x v="47"/>
    </i>
    <i r="4">
      <x v="268"/>
      <x v="40"/>
      <x v="24"/>
    </i>
    <i r="6">
      <x v="40"/>
    </i>
    <i r="5">
      <x v="41"/>
      <x v="40"/>
    </i>
    <i r="4">
      <x v="269"/>
      <x v="40"/>
      <x v="29"/>
    </i>
    <i r="6">
      <x v="45"/>
    </i>
    <i r="5">
      <x v="41"/>
      <x v="45"/>
    </i>
    <i r="4">
      <x v="270"/>
      <x v="40"/>
      <x v="30"/>
    </i>
    <i r="6">
      <x v="46"/>
    </i>
    <i r="5">
      <x v="41"/>
      <x v="46"/>
    </i>
    <i r="4">
      <x v="271"/>
      <x v="40"/>
      <x v="34"/>
    </i>
    <i r="6">
      <x v="50"/>
    </i>
    <i r="5">
      <x v="41"/>
      <x v="50"/>
    </i>
    <i r="4">
      <x v="272"/>
      <x v="40"/>
      <x v="32"/>
    </i>
    <i r="6">
      <x v="48"/>
    </i>
    <i r="5">
      <x v="41"/>
      <x v="48"/>
    </i>
    <i r="4">
      <x v="273"/>
      <x v="40"/>
      <x v="27"/>
    </i>
    <i r="6">
      <x v="43"/>
    </i>
    <i r="5">
      <x v="41"/>
      <x v="43"/>
    </i>
    <i r="4">
      <x v="274"/>
      <x v="40"/>
      <x v="36"/>
    </i>
    <i r="6">
      <x v="52"/>
    </i>
    <i r="5">
      <x v="41"/>
      <x v="52"/>
    </i>
    <i r="4">
      <x v="275"/>
      <x v="40"/>
      <x v="26"/>
    </i>
    <i r="6">
      <x v="42"/>
    </i>
    <i r="5">
      <x v="41"/>
      <x v="42"/>
    </i>
    <i r="4">
      <x v="276"/>
      <x v="40"/>
      <x v="21"/>
    </i>
    <i r="6">
      <x v="37"/>
    </i>
    <i r="5">
      <x v="41"/>
      <x v="37"/>
    </i>
    <i r="4">
      <x v="277"/>
      <x v="40"/>
      <x v="25"/>
    </i>
    <i r="6">
      <x v="41"/>
    </i>
    <i r="5">
      <x v="41"/>
      <x v="41"/>
    </i>
    <i r="4">
      <x v="278"/>
      <x v="40"/>
      <x v="28"/>
    </i>
    <i r="6">
      <x v="44"/>
    </i>
    <i r="5">
      <x v="41"/>
      <x v="44"/>
    </i>
    <i r="4">
      <x v="279"/>
      <x v="40"/>
      <x v="33"/>
    </i>
    <i r="6">
      <x v="49"/>
    </i>
    <i r="5">
      <x v="41"/>
      <x v="49"/>
    </i>
    <i r="2">
      <x v="4"/>
      <x v="7"/>
      <x v="6"/>
      <x v="40"/>
      <x v="30"/>
    </i>
    <i r="4">
      <x v="8"/>
      <x v="40"/>
      <x v="29"/>
    </i>
    <i r="4">
      <x v="9"/>
      <x v="40"/>
      <x v="22"/>
    </i>
    <i r="4">
      <x v="11"/>
      <x v="40"/>
      <x v="28"/>
    </i>
    <i r="4">
      <x v="12"/>
      <x v="40"/>
      <x v="35"/>
    </i>
    <i r="4">
      <x v="18"/>
      <x v="40"/>
      <x v="22"/>
    </i>
    <i r="4">
      <x v="21"/>
      <x v="40"/>
      <x v="25"/>
    </i>
    <i r="4">
      <x v="27"/>
      <x v="40"/>
      <x v="28"/>
    </i>
    <i r="4">
      <x v="31"/>
      <x v="40"/>
      <x v="30"/>
    </i>
    <i r="4">
      <x v="33"/>
      <x v="40"/>
      <x v="27"/>
    </i>
    <i r="4">
      <x v="40"/>
      <x v="40"/>
      <x v="28"/>
    </i>
    <i r="4">
      <x v="69"/>
      <x v="40"/>
      <x v="24"/>
    </i>
    <i r="4">
      <x v="70"/>
      <x v="40"/>
      <x v="28"/>
    </i>
    <i r="4">
      <x v="81"/>
      <x v="40"/>
      <x v="23"/>
    </i>
    <i r="4">
      <x v="101"/>
      <x v="40"/>
      <x v="26"/>
    </i>
    <i r="4">
      <x v="111"/>
      <x v="40"/>
      <x v="24"/>
    </i>
    <i r="4">
      <x v="113"/>
      <x v="40"/>
      <x v="21"/>
    </i>
    <i r="4">
      <x v="123"/>
      <x v="40"/>
      <x v="25"/>
    </i>
    <i r="4">
      <x v="126"/>
      <x v="40"/>
      <x v="24"/>
    </i>
    <i r="4">
      <x v="136"/>
      <x v="40"/>
      <x v="29"/>
    </i>
    <i r="4">
      <x v="139"/>
      <x v="40"/>
      <x v="25"/>
    </i>
    <i r="4">
      <x v="140"/>
      <x v="40"/>
      <x v="27"/>
    </i>
    <i r="4">
      <x v="148"/>
      <x v="40"/>
      <x v="29"/>
    </i>
    <i r="4">
      <x v="152"/>
      <x v="40"/>
      <x v="25"/>
    </i>
    <i r="4">
      <x v="153"/>
      <x v="40"/>
      <x v="28"/>
    </i>
    <i r="4">
      <x v="154"/>
      <x v="40"/>
      <x v="34"/>
    </i>
    <i r="4">
      <x v="168"/>
      <x v="40"/>
      <x v="34"/>
    </i>
    <i r="4">
      <x v="174"/>
      <x v="40"/>
      <x v="27"/>
    </i>
    <i r="4">
      <x v="185"/>
      <x v="40"/>
      <x v="29"/>
    </i>
    <i r="4">
      <x v="192"/>
      <x v="40"/>
      <x v="30"/>
    </i>
    <i r="4">
      <x v="193"/>
      <x v="40"/>
      <x v="24"/>
    </i>
    <i r="4">
      <x v="205"/>
      <x v="40"/>
      <x v="27"/>
    </i>
    <i r="4">
      <x v="234"/>
      <x v="40"/>
      <x v="30"/>
    </i>
    <i r="4">
      <x v="236"/>
      <x v="40"/>
      <x v="30"/>
    </i>
    <i r="4">
      <x v="239"/>
      <x v="40"/>
      <x v="32"/>
    </i>
    <i r="4">
      <x v="253"/>
      <x v="40"/>
      <x v="25"/>
    </i>
    <i r="4">
      <x v="260"/>
      <x v="40"/>
      <x v="26"/>
    </i>
    <i r="4">
      <x v="282"/>
      <x v="40"/>
      <x v="26"/>
    </i>
    <i r="4">
      <x v="298"/>
      <x v="40"/>
      <x v="36"/>
    </i>
    <i r="4">
      <x v="302"/>
      <x v="40"/>
      <x v="25"/>
    </i>
    <i r="4">
      <x v="303"/>
      <x v="40"/>
      <x v="26"/>
    </i>
    <i r="4">
      <x v="306"/>
      <x v="40"/>
      <x v="27"/>
    </i>
    <i r="4">
      <x v="319"/>
      <x v="40"/>
      <x v="26"/>
    </i>
    <i r="4">
      <x v="321"/>
      <x v="40"/>
      <x v="26"/>
    </i>
    <i r="4">
      <x v="324"/>
      <x v="40"/>
      <x v="33"/>
    </i>
    <i r="4">
      <x v="328"/>
      <x v="40"/>
      <x v="27"/>
    </i>
    <i r="4">
      <x v="329"/>
      <x v="40"/>
      <x v="28"/>
    </i>
    <i r="4">
      <x v="331"/>
      <x v="40"/>
      <x v="29"/>
    </i>
    <i r="4">
      <x v="338"/>
      <x v="40"/>
      <x v="22"/>
    </i>
    <i r="4">
      <x v="346"/>
      <x v="40"/>
      <x v="34"/>
    </i>
    <i r="4">
      <x v="347"/>
      <x v="40"/>
      <x v="23"/>
    </i>
    <i r="4">
      <x v="350"/>
      <x v="40"/>
      <x v="29"/>
    </i>
    <i r="4">
      <x v="351"/>
      <x v="40"/>
      <x v="24"/>
    </i>
    <i r="4">
      <x v="354"/>
      <x v="40"/>
      <x v="25"/>
    </i>
    <i r="4">
      <x v="355"/>
      <x v="40"/>
      <x v="29"/>
    </i>
    <i r="4">
      <x v="356"/>
      <x v="40"/>
      <x v="25"/>
    </i>
    <i r="4">
      <x v="360"/>
      <x v="40"/>
      <x v="36"/>
    </i>
    <i r="4">
      <x v="363"/>
      <x v="40"/>
      <x v="23"/>
    </i>
    <i r="4">
      <x v="364"/>
      <x v="40"/>
      <x v="25"/>
    </i>
    <i r="4">
      <x v="365"/>
      <x v="40"/>
      <x v="25"/>
    </i>
    <i r="4">
      <x v="366"/>
      <x v="40"/>
      <x v="27"/>
    </i>
    <i r="4">
      <x v="367"/>
      <x v="40"/>
      <x v="27"/>
    </i>
    <i r="4">
      <x v="368"/>
      <x v="40"/>
      <x v="28"/>
    </i>
    <i r="4">
      <x v="369"/>
      <x v="40"/>
      <x v="28"/>
    </i>
    <i r="4">
      <x v="370"/>
      <x v="40"/>
      <x v="29"/>
    </i>
    <i r="4">
      <x v="371"/>
      <x v="40"/>
      <x v="30"/>
    </i>
    <i r="4">
      <x v="372"/>
      <x v="40"/>
      <x v="31"/>
    </i>
    <i r="4">
      <x v="373"/>
      <x v="40"/>
      <x v="36"/>
    </i>
    <i>
      <x v="27"/>
      <x v="37"/>
      <x v="3"/>
      <x v="7"/>
      <x v="264"/>
      <x v="41"/>
      <x v="22"/>
    </i>
    <i r="4">
      <x v="265"/>
      <x v="41"/>
      <x v="35"/>
    </i>
    <i r="4">
      <x v="266"/>
      <x v="41"/>
      <x v="23"/>
    </i>
    <i r="4">
      <x v="267"/>
      <x v="41"/>
      <x v="31"/>
    </i>
    <i r="4">
      <x v="268"/>
      <x v="41"/>
      <x v="24"/>
    </i>
    <i r="4">
      <x v="269"/>
      <x v="41"/>
      <x v="29"/>
    </i>
    <i r="4">
      <x v="270"/>
      <x v="41"/>
      <x v="30"/>
    </i>
    <i r="4">
      <x v="271"/>
      <x v="41"/>
      <x v="34"/>
    </i>
    <i r="4">
      <x v="272"/>
      <x v="41"/>
      <x v="32"/>
    </i>
    <i r="4">
      <x v="273"/>
      <x v="41"/>
      <x v="27"/>
    </i>
    <i r="4">
      <x v="274"/>
      <x v="41"/>
      <x v="36"/>
    </i>
    <i r="4">
      <x v="275"/>
      <x v="41"/>
      <x v="26"/>
    </i>
    <i r="4">
      <x v="276"/>
      <x v="41"/>
      <x v="21"/>
    </i>
    <i r="4">
      <x v="277"/>
      <x v="41"/>
      <x v="25"/>
    </i>
    <i r="4">
      <x v="278"/>
      <x v="41"/>
      <x v="28"/>
    </i>
    <i r="4">
      <x v="279"/>
      <x v="41"/>
      <x v="33"/>
    </i>
    <i>
      <x v="28"/>
      <x v="38"/>
      <x v="1"/>
      <x v="7"/>
      <x v="41"/>
      <x v="42"/>
      <x v="20"/>
    </i>
    <i r="2">
      <x v="3"/>
      <x v="7"/>
      <x v="9"/>
      <x v="42"/>
      <x v="38"/>
    </i>
    <i r="4">
      <x v="69"/>
      <x v="42"/>
      <x v="40"/>
    </i>
    <i r="4">
      <x v="154"/>
      <x v="42"/>
      <x v="46"/>
    </i>
    <i r="4">
      <x v="169"/>
      <x v="42"/>
      <x v="43"/>
    </i>
    <i r="4">
      <x v="348"/>
      <x v="42"/>
      <x v="41"/>
    </i>
    <i r="4">
      <x v="374"/>
      <x v="42"/>
      <x v="37"/>
    </i>
    <i r="4">
      <x v="375"/>
      <x v="42"/>
      <x v="39"/>
    </i>
    <i r="4">
      <x v="376"/>
      <x v="42"/>
      <x v="42"/>
    </i>
    <i r="4">
      <x v="377"/>
      <x v="42"/>
      <x v="44"/>
    </i>
    <i r="4">
      <x v="378"/>
      <x v="42"/>
      <x v="45"/>
    </i>
    <i r="4">
      <x v="379"/>
      <x v="42"/>
      <x v="47"/>
    </i>
    <i r="4">
      <x v="380"/>
      <x v="42"/>
      <x v="48"/>
    </i>
    <i r="4">
      <x v="381"/>
      <x v="42"/>
      <x v="49"/>
    </i>
    <i r="4">
      <x v="382"/>
      <x v="42"/>
      <x v="50"/>
    </i>
    <i r="4">
      <x v="383"/>
      <x v="42"/>
      <x v="51"/>
    </i>
    <i r="4">
      <x v="384"/>
      <x v="42"/>
      <x v="52"/>
    </i>
    <i>
      <x v="29"/>
      <x v="38"/>
      <x v="1"/>
      <x v="7"/>
      <x v="41"/>
      <x v="42"/>
      <x v="20"/>
    </i>
    <i r="2">
      <x v="3"/>
      <x v="7"/>
      <x v="9"/>
      <x v="42"/>
      <x v="22"/>
    </i>
    <i r="4">
      <x v="69"/>
      <x v="42"/>
      <x v="24"/>
    </i>
    <i r="4">
      <x v="154"/>
      <x v="42"/>
      <x v="30"/>
    </i>
    <i r="4">
      <x v="169"/>
      <x v="42"/>
      <x v="27"/>
    </i>
    <i r="4">
      <x v="348"/>
      <x v="42"/>
      <x v="25"/>
    </i>
    <i r="4">
      <x v="374"/>
      <x v="42"/>
      <x v="21"/>
    </i>
    <i r="4">
      <x v="375"/>
      <x v="42"/>
      <x v="23"/>
    </i>
    <i r="4">
      <x v="376"/>
      <x v="42"/>
      <x v="26"/>
    </i>
    <i r="4">
      <x v="377"/>
      <x v="42"/>
      <x v="28"/>
    </i>
    <i r="4">
      <x v="378"/>
      <x v="42"/>
      <x v="29"/>
    </i>
    <i r="4">
      <x v="379"/>
      <x v="42"/>
      <x v="31"/>
    </i>
    <i r="4">
      <x v="380"/>
      <x v="42"/>
      <x v="32"/>
    </i>
    <i r="4">
      <x v="381"/>
      <x v="42"/>
      <x v="33"/>
    </i>
    <i r="4">
      <x v="382"/>
      <x v="42"/>
      <x v="34"/>
    </i>
    <i r="4">
      <x v="383"/>
      <x v="42"/>
      <x v="35"/>
    </i>
    <i r="4">
      <x v="384"/>
      <x v="42"/>
      <x v="36"/>
    </i>
    <i>
      <x v="30"/>
      <x v="38"/>
      <x v="1"/>
      <x v="7"/>
      <x v="41"/>
      <x v="42"/>
      <x v="53"/>
    </i>
    <i r="2">
      <x v="3"/>
      <x v="7"/>
      <x v="9"/>
      <x v="42"/>
      <x v="38"/>
    </i>
    <i r="4">
      <x v="69"/>
      <x v="42"/>
      <x v="40"/>
    </i>
    <i r="4">
      <x v="154"/>
      <x v="42"/>
      <x v="46"/>
    </i>
    <i r="4">
      <x v="169"/>
      <x v="42"/>
      <x v="43"/>
    </i>
    <i r="4">
      <x v="348"/>
      <x v="42"/>
      <x v="41"/>
    </i>
    <i r="4">
      <x v="374"/>
      <x v="42"/>
      <x v="37"/>
    </i>
    <i r="4">
      <x v="375"/>
      <x v="42"/>
      <x v="39"/>
    </i>
    <i r="4">
      <x v="376"/>
      <x v="42"/>
      <x v="42"/>
    </i>
    <i r="4">
      <x v="377"/>
      <x v="42"/>
      <x v="44"/>
    </i>
    <i r="4">
      <x v="378"/>
      <x v="42"/>
      <x v="45"/>
    </i>
    <i r="4">
      <x v="379"/>
      <x v="42"/>
      <x v="47"/>
    </i>
    <i r="4">
      <x v="380"/>
      <x v="42"/>
      <x v="48"/>
    </i>
    <i r="4">
      <x v="381"/>
      <x v="42"/>
      <x v="49"/>
    </i>
    <i r="4">
      <x v="382"/>
      <x v="42"/>
      <x v="50"/>
    </i>
    <i r="4">
      <x v="383"/>
      <x v="42"/>
      <x v="51"/>
    </i>
    <i r="4">
      <x v="384"/>
      <x v="42"/>
      <x v="52"/>
    </i>
    <i>
      <x v="31"/>
      <x v="39"/>
      <x v="1"/>
      <x v="7"/>
      <x v="41"/>
      <x v="43"/>
      <x v="53"/>
    </i>
    <i>
      <x v="32"/>
      <x v="40"/>
      <x v="1"/>
      <x v="11"/>
      <x v="41"/>
      <x v="44"/>
      <x v="54"/>
    </i>
    <i r="5">
      <x v="49"/>
      <x v="54"/>
    </i>
    <i>
      <x v="33"/>
      <x v="40"/>
      <x v="1"/>
      <x v="11"/>
      <x v="41"/>
      <x v="45"/>
      <x v="54"/>
    </i>
    <i r="5">
      <x v="50"/>
      <x v="54"/>
    </i>
    <i>
      <x v="34"/>
      <x v="40"/>
      <x v="1"/>
      <x v="11"/>
      <x v="41"/>
      <x v="46"/>
      <x v="54"/>
    </i>
    <i r="5">
      <x v="51"/>
      <x v="54"/>
    </i>
    <i>
      <x v="35"/>
      <x v="40"/>
      <x v="1"/>
      <x v="11"/>
      <x v="41"/>
      <x v="47"/>
      <x v="54"/>
    </i>
    <i r="5">
      <x v="52"/>
      <x v="54"/>
    </i>
    <i>
      <x v="36"/>
      <x v="40"/>
      <x v="1"/>
      <x v="11"/>
      <x v="41"/>
      <x v="48"/>
      <x v="54"/>
    </i>
    <i r="5">
      <x v="53"/>
      <x v="54"/>
    </i>
    <i>
      <x v="37"/>
      <x v="41"/>
      <x v="1"/>
      <x v="11"/>
      <x v="41"/>
      <x v="54"/>
      <x v="54"/>
    </i>
    <i r="5">
      <x v="55"/>
      <x v="54"/>
    </i>
    <i>
      <x v="38"/>
      <x v="41"/>
      <x v="1"/>
      <x v="11"/>
      <x v="41"/>
      <x v="45"/>
      <x v="54"/>
    </i>
    <i r="5">
      <x v="56"/>
      <x v="54"/>
    </i>
    <i>
      <x v="39"/>
      <x v="41"/>
      <x v="1"/>
      <x v="11"/>
      <x v="41"/>
      <x v="46"/>
      <x v="54"/>
    </i>
    <i r="5">
      <x v="57"/>
      <x v="54"/>
    </i>
    <i>
      <x v="40"/>
      <x v="41"/>
      <x v="1"/>
      <x v="11"/>
      <x v="41"/>
      <x v="47"/>
      <x v="54"/>
    </i>
    <i r="5">
      <x v="58"/>
      <x v="54"/>
    </i>
    <i>
      <x v="41"/>
      <x v="41"/>
      <x v="1"/>
      <x v="11"/>
      <x v="41"/>
      <x v="48"/>
      <x v="54"/>
    </i>
    <i r="5">
      <x v="59"/>
      <x v="5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A617ED-9D02-4D67-8B47-0A876E1963D6}" name="TablaDinámica1" cacheId="143"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2:E23" firstHeaderRow="1" firstDataRow="1" firstDataCol="4"/>
  <pivotFields count="27">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3">
        <item m="1"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defaultSubtotal="0">
      <items count="15">
        <item m="1" x="12"/>
        <item m="1" x="13"/>
        <item m="1" x="11"/>
        <item x="0"/>
        <item x="1"/>
        <item x="2"/>
        <item x="3"/>
        <item x="4"/>
        <item x="5"/>
        <item m="1" x="14"/>
        <item x="6"/>
        <item x="7"/>
        <item x="8"/>
        <item x="9"/>
        <item x="10"/>
      </items>
      <extLst>
        <ext xmlns:x14="http://schemas.microsoft.com/office/spreadsheetml/2009/9/main" uri="{2946ED86-A175-432a-8AC1-64E0C546D7DE}">
          <x14:pivotField fillDownLabels="1"/>
        </ext>
      </extLst>
    </pivotField>
    <pivotField axis="axisRow" compact="0" outline="0" showAll="0">
      <items count="14">
        <item m="1" x="12"/>
        <item m="1" x="3"/>
        <item m="1" x="10"/>
        <item m="1" x="8"/>
        <item m="1" x="11"/>
        <item m="1" x="6"/>
        <item m="1" x="4"/>
        <item m="1" x="7"/>
        <item m="1" x="9"/>
        <item x="1"/>
        <item m="1" x="5"/>
        <item x="0"/>
        <item x="2"/>
        <item t="default"/>
      </items>
      <extLst>
        <ext xmlns:x14="http://schemas.microsoft.com/office/spreadsheetml/2009/9/main" uri="{2946ED86-A175-432a-8AC1-64E0C546D7DE}">
          <x14:pivotField fillDownLabels="1"/>
        </ext>
      </extLst>
    </pivotField>
    <pivotField axis="axisRow" compact="0" outline="0" showAll="0">
      <items count="4">
        <item x="2"/>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s>
  <rowFields count="4">
    <field x="2"/>
    <field x="6"/>
    <field x="5"/>
    <field x="7"/>
  </rowFields>
  <rowItems count="21">
    <i>
      <x v="1"/>
      <x v="9"/>
      <x v="8"/>
      <x/>
    </i>
    <i r="3">
      <x v="1"/>
    </i>
    <i r="3">
      <x v="2"/>
    </i>
    <i t="default" r="1">
      <x v="9"/>
    </i>
    <i r="1">
      <x v="11"/>
      <x v="3"/>
      <x v="1"/>
    </i>
    <i r="3">
      <x v="2"/>
    </i>
    <i r="2">
      <x v="4"/>
      <x v="1"/>
    </i>
    <i r="3">
      <x v="2"/>
    </i>
    <i r="2">
      <x v="5"/>
      <x v="1"/>
    </i>
    <i r="2">
      <x v="6"/>
      <x v="1"/>
    </i>
    <i r="2">
      <x v="7"/>
      <x v="1"/>
    </i>
    <i t="default" r="1">
      <x v="11"/>
    </i>
    <i r="1">
      <x v="12"/>
      <x v="10"/>
      <x v="1"/>
    </i>
    <i r="2">
      <x v="11"/>
      <x v="1"/>
    </i>
    <i r="2">
      <x v="12"/>
      <x v="1"/>
    </i>
    <i r="2">
      <x v="13"/>
      <x/>
    </i>
    <i r="3">
      <x v="1"/>
    </i>
    <i r="3">
      <x v="2"/>
    </i>
    <i r="2">
      <x v="14"/>
      <x v="2"/>
    </i>
    <i t="default" r="1">
      <x v="12"/>
    </i>
    <i t="default">
      <x v="1"/>
    </i>
  </rowItems>
  <colItems count="1">
    <i/>
  </colItems>
  <dataFields count="1">
    <dataField name="Cuenta de id_grafico" fld="21" subtotal="count" baseField="0" baseItem="0"/>
  </dataField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2" xr10:uid="{45C65AE7-0A36-4AE0-ACDC-0490BD48F730}" sourceName="tema">
  <pivotTables>
    <pivotTable tabId="13" name="TablaDinámica2"/>
  </pivotTables>
  <data>
    <tabular pivotCacheId="383651325">
      <items count="15">
        <i x="4" s="1"/>
        <i x="3" s="1"/>
        <i x="1" s="1"/>
        <i x="0" s="1"/>
        <i x="2" s="1"/>
        <i x="9" s="1"/>
        <i x="7" s="1"/>
        <i x="8" s="1"/>
        <i x="6" s="1"/>
        <i x="10" s="1"/>
        <i x="5" s="1"/>
        <i x="12" s="1" nd="1"/>
        <i x="13" s="1" nd="1"/>
        <i x="11" s="1" nd="1"/>
        <i x="1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poralidad" xr10:uid="{9E374758-0B42-486F-9226-AFCAD940DAA7}" sourceName="temporalidad">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2" xr10:uid="{3A3B020C-E5FC-4D91-833F-586B3E44CE95}" sourceName="escala">
  <pivotTables>
    <pivotTable tabId="13" name="TablaDinámica2"/>
  </pivotTables>
  <data>
    <tabular pivotCacheId="38365132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2" xr10:uid="{A48A7539-1074-494C-9B77-0A87D00734A1}" sourceName="contenido">
  <pivotTables>
    <pivotTable tabId="13" name="TablaDinámica2"/>
  </pivotTables>
  <data>
    <tabular pivotCacheId="383651325">
      <items count="13">
        <i x="1" s="1"/>
        <i x="0" s="1"/>
        <i x="2" s="1"/>
        <i x="5" s="1" nd="1"/>
        <i x="9" s="1" nd="1"/>
        <i x="12" s="1" nd="1"/>
        <i x="3" s="1" nd="1"/>
        <i x="10" s="1" nd="1"/>
        <i x="8" s="1" nd="1"/>
        <i x="7" s="1" nd="1"/>
        <i x="11" s="1" nd="1"/>
        <i x="6"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7E55177B-FB12-4FD3-8006-217990E2D384}" sourceName="tema">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E23419E6-3099-47A2-B920-AA7DA4369E0C}" sourceName="contenid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 xr10:uid="{799F3B83-8571-4A55-A4D0-19D4C6A836F1}" sourceName="escala">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 xr10:uid="{E57F20D2-FC23-4998-BBEF-BF2ED95646CF}" sourceName="territorio">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iltro_Integrado" xr10:uid="{5FB6532B-722E-45DA-AB3D-3A04BE708D70}" sourceName="Filtro Integrado">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estra" xr10:uid="{10169271-F778-4CA1-B1AB-12342CF2C48F}" sourceName="Muestra">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2" xr10:uid="{6ABC5753-37B7-4C56-92CA-73CDC9533636}" cache="SegmentaciónDeDatos_tema2" caption="tema" startItem="5" style="SlicerStyleLight2" rowHeight="241300"/>
  <slicer name="escala 2" xr10:uid="{C96692CE-EBD1-428C-959F-BCE5B121089D}" cache="SegmentaciónDeDatos_escala2" caption="escala" style="SlicerStyleLight3" rowHeight="241300"/>
  <slicer name="contenido 2" xr10:uid="{FE7FCA0F-D3FE-4EE4-9AA4-1AED3EEEB024}" cache="SegmentaciónDeDatos_contenido2" caption="contenido" columnCount="2"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ma" xr10:uid="{A7C98DAD-6E4A-47C2-8E81-76D6DC778234}" cache="SegmentaciónDeDatos_tema" caption="tema" style="SlicerStyleDark2" rowHeight="234950"/>
  <slicer name="contenido" xr10:uid="{8DF06948-F163-4492-B03C-CEE92BF54F08}" cache="SegmentaciónDeDatos_contenido" caption="contenido" startItem="2" style="SlicerStyleDark2" rowHeight="234950"/>
  <slicer name="escala" xr10:uid="{03F171FE-3E98-47CC-9E19-C0A9E81484A3}" cache="SegmentaciónDeDatos_escala" caption="escala" style="SlicerStyleDark2" rowHeight="234950"/>
  <slicer name="territorio" xr10:uid="{02E49752-7E70-418C-BF49-1EDD124B6FAC}" cache="SegmentaciónDeDatos_territorio" caption="territorio" columnCount="2" style="SlicerStyleDark2" rowHeight="234950"/>
  <slicer name="Filtro Integrado" xr10:uid="{9CDFEA9D-1129-4A63-AD61-E0C60EB804B0}" cache="SegmentaciónDeDatos_Filtro_Integrado" caption="Filtro Integrado" style="SlicerStyleDark2" rowHeight="234950"/>
  <slicer name="Muestra" xr10:uid="{454E1B1A-26BD-4C91-9E4E-93E7AB224EE0}" cache="SegmentaciónDeDatos_Muestra" caption="Muestra" style="SlicerStyleDark2" rowHeight="234950"/>
  <slicer name="temporalidad" xr10:uid="{5DE18238-8DCC-4E58-9061-3CDB93D58F23}" cache="SegmentaciónDeDatos_temporalidad" caption="temporalida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EF3-2C70-4D90-B5E1-D528231814D8}" name="Ingresos_Historicos" displayName="Ingresos_Historicos" ref="A10:AA739" totalsRowShown="0" headerRowDxfId="30">
  <autoFilter ref="A10:AA739" xr:uid="{97B5C476-3F9F-4197-BB18-4AEB96A9D3D7}"/>
  <tableColumns count="27">
    <tableColumn id="1" xr3:uid="{3D431003-FED6-4551-A9A5-C20BDD800BF5}" name="id" dataDxfId="29"/>
    <tableColumn id="2" xr3:uid="{69EBE614-7415-4758-84D1-70A8BB5AD412}" name="idcoleccion" dataDxfId="28"/>
    <tableColumn id="3" xr3:uid="{00067312-1731-4475-9E54-D88AF9927A57}" name="coleccion" dataDxfId="27"/>
    <tableColumn id="4" xr3:uid="{2D5FA4E0-31EC-4F24-BE99-607D3D813655}" name="sector" dataDxfId="26"/>
    <tableColumn id="5" xr3:uid="{DAA5ABD7-005E-4726-9D0E-964ABFE6C124}" name="Filtro URL" dataDxfId="25"/>
    <tableColumn id="6" xr3:uid="{3EE64D21-CEE3-4F56-9BDB-E86405583F0C}" name="tema" dataDxfId="24"/>
    <tableColumn id="7" xr3:uid="{B18CD19C-51DC-46C2-871C-6BE101FACFEB}" name="contenido" dataDxfId="23"/>
    <tableColumn id="8" xr3:uid="{23D5C1AF-BDE4-4009-AB41-531D544CB052}" name="escala" dataDxfId="22"/>
    <tableColumn id="9" xr3:uid="{DA849DF4-1E4F-43E4-98F9-07CF968F8068}" name="territorio" dataDxfId="21"/>
    <tableColumn id="10" xr3:uid="{4CCEC976-24A6-484D-A3BB-EBEF50210414}" name="Filtro Integrado" dataDxfId="20"/>
    <tableColumn id="11" xr3:uid="{633CF37C-9475-458F-93BD-3E6C829259FE}" name="Muestra" dataDxfId="19"/>
    <tableColumn id="12" xr3:uid="{C9AD2F62-6D59-441D-86A3-D657475A5048}" name="temporalidad" dataDxfId="18"/>
    <tableColumn id="13" xr3:uid="{9C90CF92-D46C-45CC-A515-665BEFD59FD0}" name="unidad_medida" dataDxfId="17"/>
    <tableColumn id="14" xr3:uid="{A535AC73-D5CA-471D-961D-840916F57BFB}" name="fuente" dataDxfId="16"/>
    <tableColumn id="15" xr3:uid="{CE821007-F8A2-469B-90CB-A97B34EA0E0D}" name="titulo" dataDxfId="15">
      <calculatedColumnFormula>+"Resumen Indicadores de Desarrollo Personal y Social por Establecimiento para la "&amp;I11</calculatedColumnFormula>
    </tableColumn>
    <tableColumn id="16" xr3:uid="{ACF065FA-53DF-42A2-AB76-F382DF0507E9}" name="descripcion_larga" dataDxfId="14"/>
    <tableColumn id="17" xr3:uid="{B3241B34-1F28-488E-962D-702279B7FC29}" name="visualizacion" dataDxfId="13">
      <calculatedColumnFormula>+Q10</calculatedColumnFormula>
    </tableColumn>
    <tableColumn id="18" xr3:uid="{36E18FB8-B090-4513-8878-F34530369C6B}" name="tag" dataDxfId="12"/>
    <tableColumn id="19" xr3:uid="{34EAE68C-0B4D-4751-9FD6-9A20417E489D}" name="url" dataDxfId="11" dataCellStyle="Hipervínculo">
      <calculatedColumnFormula>"https://analytics.zoho.com/open-view/2395394000007087483?ZOHO_CRITERIA=%22Localiza_CL_Poblacion%22.%22Codcom%22%3D"&amp;Ingresos_Historicos[[#This Row],[Filtro URL]]</calculatedColumnFormula>
    </tableColumn>
    <tableColumn id="20" xr3:uid="{B53287BC-B50E-4BCC-BB6C-DE60B70DC3AF}" name="Suscripcion" dataDxfId="10"/>
    <tableColumn id="21" xr3:uid="{6658E20A-9C4E-46D0-829C-CD31924B1376}" name="Color" dataDxfId="9"/>
    <tableColumn id="22" xr3:uid="{21DBE239-F721-4DEC-9312-D9E30988F7A8}" name="id_grafico" dataDxfId="8">
      <calculatedColumnFormula>+Ingresos_Historicos[[#This Row],[idcoleccion]]&amp;"-"&amp;Ingresos_Historicos[[#This Row],[id]]</calculatedColumnFormula>
    </tableColumn>
    <tableColumn id="23" xr3:uid="{51BFA0BA-A1A2-4D6D-9A13-0B82C3B88C4E}" name="idterritorio" dataDxfId="7">
      <calculatedColumnFormula>+VLOOKUP(Ingresos_Historicos[[#This Row],[Filtro URL]],Estructura!$X$4:$Y$366,2,0)</calculatedColumnFormula>
    </tableColumn>
    <tableColumn id="24" xr3:uid="{223E2DD3-A78B-40CF-935F-BB4012C57299}" name="id_tema" dataDxfId="6">
      <calculatedColumnFormula>+VLOOKUP(Ingresos_Historicos[[#This Row],[tema]],Estructura!$A$4:$C$18,3,0)</calculatedColumnFormula>
    </tableColumn>
    <tableColumn id="25" xr3:uid="{75573ACC-C413-46F3-8534-404C576ECE29}" name="id_contenido" dataDxfId="5">
      <calculatedColumnFormula>+VLOOKUP(Ingresos_Historicos[[#This Row],[contenido]],Estructura!$E$4:$G$18,3,0)</calculatedColumnFormula>
    </tableColumn>
    <tableColumn id="26" xr3:uid="{B4A1188A-2AFB-4C47-96CE-A097012C4C72}" name="idfiltro" dataDxfId="4">
      <calculatedColumnFormula>+VLOOKUP(Ingresos_Historicos[[#This Row],[Filtro Integrado]],Estructura!$M$4:$O$367,3,0)</calculatedColumnFormula>
    </tableColumn>
    <tableColumn id="27" xr3:uid="{B70F5663-983D-46E9-A27F-F0856A7F11DA}" name="id_muestra" dataDxfId="3">
      <calculatedColumnFormula>+VLOOKUP(Ingresos_Historicos[[#This Row],[Muestra]],Estructura!$Q$4:$S$194,3,0)</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analytics.zoho.com/open-view/2395394000008632603" TargetMode="External"/><Relationship Id="rId18" Type="http://schemas.openxmlformats.org/officeDocument/2006/relationships/hyperlink" Target="https://analytics.zoho.com/open-view/2395394000008632088" TargetMode="External"/><Relationship Id="rId26" Type="http://schemas.openxmlformats.org/officeDocument/2006/relationships/hyperlink" Target="https://analytics.zoho.com/open-view/2395394000008634002" TargetMode="External"/><Relationship Id="rId3" Type="http://schemas.openxmlformats.org/officeDocument/2006/relationships/hyperlink" Target="https://analytics.zoho.com/open-view/2395394000007158410?ZOHO_CRITERIA=%22Localiza%20CL%22.%22Codreg%22%3D1" TargetMode="External"/><Relationship Id="rId21" Type="http://schemas.openxmlformats.org/officeDocument/2006/relationships/hyperlink" Target="https://analytics.zoho.com/open-view/2395394000008635142" TargetMode="External"/><Relationship Id="rId7" Type="http://schemas.openxmlformats.org/officeDocument/2006/relationships/hyperlink" Target="https://analytics.zoho.com/open-view/2395394000008621591?ZOHO_CRITERIA=%2227.10%22.%22Id_Regi%C3%B3n%22%20%3D%2013" TargetMode="External"/><Relationship Id="rId12" Type="http://schemas.openxmlformats.org/officeDocument/2006/relationships/hyperlink" Target="https://analytics.zoho.com/open-view/2395394000008632635" TargetMode="External"/><Relationship Id="rId17" Type="http://schemas.openxmlformats.org/officeDocument/2006/relationships/hyperlink" Target="https://analytics.zoho.com/open-view/2395394000008632054" TargetMode="External"/><Relationship Id="rId25" Type="http://schemas.openxmlformats.org/officeDocument/2006/relationships/hyperlink" Target="https://analytics.zoho.com/open-view/2395394000008633954" TargetMode="External"/><Relationship Id="rId33" Type="http://schemas.microsoft.com/office/2007/relationships/slicer" Target="../slicers/slicer2.xml"/><Relationship Id="rId2" Type="http://schemas.openxmlformats.org/officeDocument/2006/relationships/hyperlink" Target="https://analytics.zoho.com/open-view/2395394000007130196?ZOHO_CRITERIA=%22Localiza%20CL%22.%22Codreg%22%3D1" TargetMode="External"/><Relationship Id="rId16" Type="http://schemas.openxmlformats.org/officeDocument/2006/relationships/hyperlink" Target="https://analytics.zoho.com/open-view/2395394000008632180" TargetMode="External"/><Relationship Id="rId20" Type="http://schemas.openxmlformats.org/officeDocument/2006/relationships/hyperlink" Target="https://analytics.zoho.com/open-view/2395394000008635104" TargetMode="External"/><Relationship Id="rId29" Type="http://schemas.openxmlformats.org/officeDocument/2006/relationships/hyperlink" Target="https://analytics.zoho.com/open-view/2395394000008634039" TargetMode="External"/><Relationship Id="rId1" Type="http://schemas.openxmlformats.org/officeDocument/2006/relationships/hyperlink" Target="https://analytics.zoho.com/open-view/2395394000007166623?ZOHO_CRITERIA=%22Trasposicion_27.15%22.%22Id_Juzgado_Garant%C3%ADa%22%3D64" TargetMode="External"/><Relationship Id="rId6" Type="http://schemas.openxmlformats.org/officeDocument/2006/relationships/hyperlink" Target="https://analytics.zoho.com/open-view/2395394000007034178" TargetMode="External"/><Relationship Id="rId11" Type="http://schemas.openxmlformats.org/officeDocument/2006/relationships/hyperlink" Target="https://analytics.zoho.com/open-view/2395394000008632667" TargetMode="External"/><Relationship Id="rId24" Type="http://schemas.openxmlformats.org/officeDocument/2006/relationships/hyperlink" Target="https://analytics.zoho.com/open-view/2395394000008633880" TargetMode="External"/><Relationship Id="rId32" Type="http://schemas.openxmlformats.org/officeDocument/2006/relationships/table" Target="../tables/table1.xml"/><Relationship Id="rId5" Type="http://schemas.openxmlformats.org/officeDocument/2006/relationships/hyperlink" Target="https://analytics.zoho.com/open-view/2395394000006987089" TargetMode="External"/><Relationship Id="rId15" Type="http://schemas.openxmlformats.org/officeDocument/2006/relationships/hyperlink" Target="https://analytics.zoho.com/open-view/2395394000008632344" TargetMode="External"/><Relationship Id="rId23" Type="http://schemas.openxmlformats.org/officeDocument/2006/relationships/hyperlink" Target="https://analytics.zoho.com/open-view/2395394000008635210" TargetMode="External"/><Relationship Id="rId28" Type="http://schemas.openxmlformats.org/officeDocument/2006/relationships/hyperlink" Target="https://analytics.zoho.com/open-view/2395394000008633917" TargetMode="External"/><Relationship Id="rId10" Type="http://schemas.openxmlformats.org/officeDocument/2006/relationships/hyperlink" Target="https://analytics.zoho.com/open-view/2395394000008632539" TargetMode="External"/><Relationship Id="rId19" Type="http://schemas.openxmlformats.org/officeDocument/2006/relationships/hyperlink" Target="https://analytics.zoho.com/open-view/2395394000008632262" TargetMode="External"/><Relationship Id="rId31" Type="http://schemas.openxmlformats.org/officeDocument/2006/relationships/drawing" Target="../drawings/drawing2.xml"/><Relationship Id="rId4" Type="http://schemas.openxmlformats.org/officeDocument/2006/relationships/hyperlink" Target="https://analytics.zoho.com/open-view/2395394000007379319" TargetMode="External"/><Relationship Id="rId9" Type="http://schemas.openxmlformats.org/officeDocument/2006/relationships/hyperlink" Target="https://analytics.zoho.com/open-view/2395394000008621663?ZOHO_CRITERIA=%2227.10%22.%22Id_Regi%C3%B3n%22%20%3D%201" TargetMode="External"/><Relationship Id="rId14" Type="http://schemas.openxmlformats.org/officeDocument/2006/relationships/hyperlink" Target="https://analytics.zoho.com/open-view/2395394000008632571" TargetMode="External"/><Relationship Id="rId22" Type="http://schemas.openxmlformats.org/officeDocument/2006/relationships/hyperlink" Target="https://analytics.zoho.com/open-view/2395394000008635176" TargetMode="External"/><Relationship Id="rId27" Type="http://schemas.openxmlformats.org/officeDocument/2006/relationships/hyperlink" Target="https://analytics.zoho.com/open-view/2395394000008635244" TargetMode="External"/><Relationship Id="rId30" Type="http://schemas.openxmlformats.org/officeDocument/2006/relationships/printerSettings" Target="../printerSettings/printerSettings1.bin"/><Relationship Id="rId8" Type="http://schemas.openxmlformats.org/officeDocument/2006/relationships/hyperlink" Target="https://analytics.zoho.com/open-view/2395394000007379319?ZOHO_CRITERIA=%2227.10%22.%22Id_Regi%C3%B3n%22%20%3D%201" TargetMode="Externa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0F89-A473-4931-AA88-41824B991655}">
  <sheetPr>
    <tabColor rgb="FFFF0000"/>
  </sheetPr>
  <dimension ref="A8:G665"/>
  <sheetViews>
    <sheetView zoomScale="90" zoomScaleNormal="90" workbookViewId="0">
      <selection activeCell="E8" sqref="E8"/>
    </sheetView>
  </sheetViews>
  <sheetFormatPr baseColWidth="10" defaultRowHeight="14.4" x14ac:dyDescent="0.3"/>
  <cols>
    <col min="1" max="1" width="8.44140625" customWidth="1"/>
    <col min="2" max="2" width="15" customWidth="1"/>
    <col min="3" max="3" width="9" customWidth="1"/>
    <col min="4" max="4" width="18.77734375" customWidth="1"/>
    <col min="5" max="5" width="19.21875" customWidth="1"/>
    <col min="6" max="6" width="25.5546875" customWidth="1"/>
    <col min="7" max="7" width="140" bestFit="1" customWidth="1"/>
  </cols>
  <sheetData>
    <row r="8" spans="1:7" x14ac:dyDescent="0.3">
      <c r="A8" s="4" t="s">
        <v>0</v>
      </c>
      <c r="B8" s="4" t="s">
        <v>3</v>
      </c>
      <c r="C8" s="4" t="s">
        <v>5</v>
      </c>
      <c r="D8" s="4" t="s">
        <v>4</v>
      </c>
      <c r="E8" s="4" t="s">
        <v>6</v>
      </c>
      <c r="F8" s="4" t="s">
        <v>10</v>
      </c>
      <c r="G8" s="4" t="s">
        <v>20</v>
      </c>
    </row>
    <row r="9" spans="1:7" x14ac:dyDescent="0.3">
      <c r="A9" t="s">
        <v>391</v>
      </c>
      <c r="B9" t="s">
        <v>5846</v>
      </c>
      <c r="C9" t="s">
        <v>19</v>
      </c>
      <c r="D9" t="s">
        <v>7570</v>
      </c>
      <c r="E9" t="s">
        <v>14</v>
      </c>
      <c r="F9" t="s">
        <v>5848</v>
      </c>
      <c r="G9" t="s">
        <v>7063</v>
      </c>
    </row>
    <row r="10" spans="1:7" x14ac:dyDescent="0.3">
      <c r="A10" t="s">
        <v>392</v>
      </c>
      <c r="B10" t="s">
        <v>5846</v>
      </c>
      <c r="C10" t="s">
        <v>15</v>
      </c>
      <c r="D10" t="s">
        <v>7570</v>
      </c>
      <c r="E10" t="s">
        <v>367</v>
      </c>
      <c r="F10" t="s">
        <v>7064</v>
      </c>
      <c r="G10" t="s">
        <v>7065</v>
      </c>
    </row>
    <row r="11" spans="1:7" x14ac:dyDescent="0.3">
      <c r="A11" t="s">
        <v>399</v>
      </c>
      <c r="B11" t="s">
        <v>5846</v>
      </c>
      <c r="C11" t="s">
        <v>15</v>
      </c>
      <c r="D11" t="s">
        <v>7570</v>
      </c>
      <c r="E11" t="s">
        <v>368</v>
      </c>
      <c r="F11" t="s">
        <v>7066</v>
      </c>
      <c r="G11" t="s">
        <v>7067</v>
      </c>
    </row>
    <row r="12" spans="1:7" x14ac:dyDescent="0.3">
      <c r="A12" t="s">
        <v>400</v>
      </c>
      <c r="B12" t="s">
        <v>5846</v>
      </c>
      <c r="C12" t="s">
        <v>15</v>
      </c>
      <c r="D12" t="s">
        <v>7570</v>
      </c>
      <c r="E12" t="s">
        <v>369</v>
      </c>
      <c r="F12" t="s">
        <v>7068</v>
      </c>
      <c r="G12" t="s">
        <v>7069</v>
      </c>
    </row>
    <row r="13" spans="1:7" x14ac:dyDescent="0.3">
      <c r="A13" t="s">
        <v>401</v>
      </c>
      <c r="B13" t="s">
        <v>5846</v>
      </c>
      <c r="C13" t="s">
        <v>15</v>
      </c>
      <c r="D13" t="s">
        <v>7570</v>
      </c>
      <c r="E13" t="s">
        <v>370</v>
      </c>
      <c r="F13" t="s">
        <v>7070</v>
      </c>
      <c r="G13" t="s">
        <v>7071</v>
      </c>
    </row>
    <row r="14" spans="1:7" x14ac:dyDescent="0.3">
      <c r="A14" t="s">
        <v>402</v>
      </c>
      <c r="B14" t="s">
        <v>5846</v>
      </c>
      <c r="C14" t="s">
        <v>15</v>
      </c>
      <c r="D14" t="s">
        <v>7570</v>
      </c>
      <c r="E14" t="s">
        <v>371</v>
      </c>
      <c r="F14" t="s">
        <v>7072</v>
      </c>
      <c r="G14" t="s">
        <v>7073</v>
      </c>
    </row>
    <row r="15" spans="1:7" x14ac:dyDescent="0.3">
      <c r="A15" t="s">
        <v>403</v>
      </c>
      <c r="B15" t="s">
        <v>5846</v>
      </c>
      <c r="C15" t="s">
        <v>15</v>
      </c>
      <c r="D15" t="s">
        <v>7570</v>
      </c>
      <c r="E15" t="s">
        <v>372</v>
      </c>
      <c r="F15" t="s">
        <v>7074</v>
      </c>
      <c r="G15" t="s">
        <v>7075</v>
      </c>
    </row>
    <row r="16" spans="1:7" x14ac:dyDescent="0.3">
      <c r="A16" t="s">
        <v>404</v>
      </c>
      <c r="B16" t="s">
        <v>5846</v>
      </c>
      <c r="C16" t="s">
        <v>15</v>
      </c>
      <c r="D16" t="s">
        <v>7570</v>
      </c>
      <c r="E16" t="s">
        <v>373</v>
      </c>
      <c r="F16" t="s">
        <v>7076</v>
      </c>
      <c r="G16" t="s">
        <v>7077</v>
      </c>
    </row>
    <row r="17" spans="1:7" x14ac:dyDescent="0.3">
      <c r="A17" t="s">
        <v>405</v>
      </c>
      <c r="B17" t="s">
        <v>5846</v>
      </c>
      <c r="C17" t="s">
        <v>15</v>
      </c>
      <c r="D17" t="s">
        <v>7570</v>
      </c>
      <c r="E17" t="s">
        <v>374</v>
      </c>
      <c r="F17" t="s">
        <v>7078</v>
      </c>
      <c r="G17" t="s">
        <v>7079</v>
      </c>
    </row>
    <row r="18" spans="1:7" x14ac:dyDescent="0.3">
      <c r="A18" t="s">
        <v>406</v>
      </c>
      <c r="B18" t="s">
        <v>5846</v>
      </c>
      <c r="C18" t="s">
        <v>15</v>
      </c>
      <c r="D18" t="s">
        <v>7570</v>
      </c>
      <c r="E18" t="s">
        <v>375</v>
      </c>
      <c r="F18" t="s">
        <v>7080</v>
      </c>
      <c r="G18" t="s">
        <v>7081</v>
      </c>
    </row>
    <row r="19" spans="1:7" x14ac:dyDescent="0.3">
      <c r="A19" t="s">
        <v>407</v>
      </c>
      <c r="B19" t="s">
        <v>5846</v>
      </c>
      <c r="C19" t="s">
        <v>15</v>
      </c>
      <c r="D19" t="s">
        <v>7570</v>
      </c>
      <c r="E19" t="s">
        <v>376</v>
      </c>
      <c r="F19" t="s">
        <v>7082</v>
      </c>
      <c r="G19" t="s">
        <v>7083</v>
      </c>
    </row>
    <row r="20" spans="1:7" x14ac:dyDescent="0.3">
      <c r="A20" t="s">
        <v>408</v>
      </c>
      <c r="B20" t="s">
        <v>5846</v>
      </c>
      <c r="C20" t="s">
        <v>15</v>
      </c>
      <c r="D20" t="s">
        <v>7570</v>
      </c>
      <c r="E20" t="s">
        <v>377</v>
      </c>
      <c r="F20" t="s">
        <v>7084</v>
      </c>
      <c r="G20" t="s">
        <v>7085</v>
      </c>
    </row>
    <row r="21" spans="1:7" x14ac:dyDescent="0.3">
      <c r="A21" t="s">
        <v>409</v>
      </c>
      <c r="B21" t="s">
        <v>5846</v>
      </c>
      <c r="C21" t="s">
        <v>15</v>
      </c>
      <c r="D21" t="s">
        <v>7570</v>
      </c>
      <c r="E21" t="s">
        <v>378</v>
      </c>
      <c r="F21" t="s">
        <v>7086</v>
      </c>
      <c r="G21" t="s">
        <v>7087</v>
      </c>
    </row>
    <row r="22" spans="1:7" x14ac:dyDescent="0.3">
      <c r="A22" t="s">
        <v>410</v>
      </c>
      <c r="B22" t="s">
        <v>5846</v>
      </c>
      <c r="C22" t="s">
        <v>15</v>
      </c>
      <c r="D22" t="s">
        <v>7570</v>
      </c>
      <c r="E22" t="s">
        <v>379</v>
      </c>
      <c r="F22" t="s">
        <v>7088</v>
      </c>
      <c r="G22" t="s">
        <v>7089</v>
      </c>
    </row>
    <row r="23" spans="1:7" x14ac:dyDescent="0.3">
      <c r="A23" t="s">
        <v>411</v>
      </c>
      <c r="B23" t="s">
        <v>5846</v>
      </c>
      <c r="C23" t="s">
        <v>15</v>
      </c>
      <c r="D23" t="s">
        <v>7570</v>
      </c>
      <c r="E23" t="s">
        <v>380</v>
      </c>
      <c r="F23" t="s">
        <v>7090</v>
      </c>
      <c r="G23" t="s">
        <v>7091</v>
      </c>
    </row>
    <row r="24" spans="1:7" x14ac:dyDescent="0.3">
      <c r="A24" t="s">
        <v>412</v>
      </c>
      <c r="B24" t="s">
        <v>5846</v>
      </c>
      <c r="C24" t="s">
        <v>15</v>
      </c>
      <c r="D24" t="s">
        <v>7570</v>
      </c>
      <c r="E24" t="s">
        <v>381</v>
      </c>
      <c r="F24" t="s">
        <v>7092</v>
      </c>
      <c r="G24" t="s">
        <v>7093</v>
      </c>
    </row>
    <row r="25" spans="1:7" x14ac:dyDescent="0.3">
      <c r="A25" t="s">
        <v>413</v>
      </c>
      <c r="B25" t="s">
        <v>5846</v>
      </c>
      <c r="C25" t="s">
        <v>15</v>
      </c>
      <c r="D25" t="s">
        <v>7570</v>
      </c>
      <c r="E25" t="s">
        <v>382</v>
      </c>
      <c r="F25" t="s">
        <v>7094</v>
      </c>
      <c r="G25" t="s">
        <v>7095</v>
      </c>
    </row>
    <row r="26" spans="1:7" x14ac:dyDescent="0.3">
      <c r="A26" t="s">
        <v>414</v>
      </c>
      <c r="B26" t="s">
        <v>5846</v>
      </c>
      <c r="C26" t="s">
        <v>15</v>
      </c>
      <c r="D26" t="s">
        <v>7570</v>
      </c>
      <c r="E26" t="s">
        <v>367</v>
      </c>
      <c r="F26" t="s">
        <v>7096</v>
      </c>
      <c r="G26" t="s">
        <v>7097</v>
      </c>
    </row>
    <row r="27" spans="1:7" x14ac:dyDescent="0.3">
      <c r="A27" t="s">
        <v>415</v>
      </c>
      <c r="B27" t="s">
        <v>5846</v>
      </c>
      <c r="C27" t="s">
        <v>15</v>
      </c>
      <c r="D27" t="s">
        <v>7570</v>
      </c>
      <c r="E27" t="s">
        <v>368</v>
      </c>
      <c r="F27" t="s">
        <v>7098</v>
      </c>
      <c r="G27" t="s">
        <v>7099</v>
      </c>
    </row>
    <row r="28" spans="1:7" x14ac:dyDescent="0.3">
      <c r="A28" t="s">
        <v>416</v>
      </c>
      <c r="B28" t="s">
        <v>5846</v>
      </c>
      <c r="C28" t="s">
        <v>15</v>
      </c>
      <c r="D28" t="s">
        <v>7570</v>
      </c>
      <c r="E28" t="s">
        <v>369</v>
      </c>
      <c r="F28" t="s">
        <v>7100</v>
      </c>
      <c r="G28" t="s">
        <v>7101</v>
      </c>
    </row>
    <row r="29" spans="1:7" x14ac:dyDescent="0.3">
      <c r="A29" t="s">
        <v>417</v>
      </c>
      <c r="B29" t="s">
        <v>5846</v>
      </c>
      <c r="C29" t="s">
        <v>15</v>
      </c>
      <c r="D29" t="s">
        <v>7570</v>
      </c>
      <c r="E29" t="s">
        <v>370</v>
      </c>
      <c r="F29" t="s">
        <v>7102</v>
      </c>
      <c r="G29" t="s">
        <v>7103</v>
      </c>
    </row>
    <row r="30" spans="1:7" x14ac:dyDescent="0.3">
      <c r="A30" t="s">
        <v>418</v>
      </c>
      <c r="B30" t="s">
        <v>5846</v>
      </c>
      <c r="C30" t="s">
        <v>15</v>
      </c>
      <c r="D30" t="s">
        <v>7570</v>
      </c>
      <c r="E30" t="s">
        <v>371</v>
      </c>
      <c r="F30" t="s">
        <v>7104</v>
      </c>
      <c r="G30" t="s">
        <v>7105</v>
      </c>
    </row>
    <row r="31" spans="1:7" x14ac:dyDescent="0.3">
      <c r="A31" t="s">
        <v>419</v>
      </c>
      <c r="B31" t="s">
        <v>5846</v>
      </c>
      <c r="C31" t="s">
        <v>15</v>
      </c>
      <c r="D31" t="s">
        <v>7570</v>
      </c>
      <c r="E31" t="s">
        <v>372</v>
      </c>
      <c r="F31" t="s">
        <v>7106</v>
      </c>
      <c r="G31" t="s">
        <v>7107</v>
      </c>
    </row>
    <row r="32" spans="1:7" x14ac:dyDescent="0.3">
      <c r="A32" t="s">
        <v>420</v>
      </c>
      <c r="B32" t="s">
        <v>5846</v>
      </c>
      <c r="C32" t="s">
        <v>15</v>
      </c>
      <c r="D32" t="s">
        <v>7570</v>
      </c>
      <c r="E32" t="s">
        <v>373</v>
      </c>
      <c r="F32" t="s">
        <v>7108</v>
      </c>
      <c r="G32" t="s">
        <v>7109</v>
      </c>
    </row>
    <row r="33" spans="1:7" x14ac:dyDescent="0.3">
      <c r="A33" t="s">
        <v>421</v>
      </c>
      <c r="B33" t="s">
        <v>5846</v>
      </c>
      <c r="C33" t="s">
        <v>15</v>
      </c>
      <c r="D33" t="s">
        <v>7570</v>
      </c>
      <c r="E33" t="s">
        <v>374</v>
      </c>
      <c r="F33" t="s">
        <v>7110</v>
      </c>
      <c r="G33" t="s">
        <v>7111</v>
      </c>
    </row>
    <row r="34" spans="1:7" x14ac:dyDescent="0.3">
      <c r="A34" t="s">
        <v>422</v>
      </c>
      <c r="B34" t="s">
        <v>5846</v>
      </c>
      <c r="C34" t="s">
        <v>15</v>
      </c>
      <c r="D34" t="s">
        <v>7570</v>
      </c>
      <c r="E34" t="s">
        <v>375</v>
      </c>
      <c r="F34" t="s">
        <v>7112</v>
      </c>
      <c r="G34" t="s">
        <v>7113</v>
      </c>
    </row>
    <row r="35" spans="1:7" x14ac:dyDescent="0.3">
      <c r="A35" t="s">
        <v>423</v>
      </c>
      <c r="B35" t="s">
        <v>5846</v>
      </c>
      <c r="C35" t="s">
        <v>15</v>
      </c>
      <c r="D35" t="s">
        <v>7570</v>
      </c>
      <c r="E35" t="s">
        <v>376</v>
      </c>
      <c r="F35" t="s">
        <v>7114</v>
      </c>
      <c r="G35" t="s">
        <v>7115</v>
      </c>
    </row>
    <row r="36" spans="1:7" x14ac:dyDescent="0.3">
      <c r="A36" t="s">
        <v>424</v>
      </c>
      <c r="B36" t="s">
        <v>5846</v>
      </c>
      <c r="C36" t="s">
        <v>15</v>
      </c>
      <c r="D36" t="s">
        <v>7570</v>
      </c>
      <c r="E36" t="s">
        <v>377</v>
      </c>
      <c r="F36" t="s">
        <v>7116</v>
      </c>
      <c r="G36" t="s">
        <v>7117</v>
      </c>
    </row>
    <row r="37" spans="1:7" x14ac:dyDescent="0.3">
      <c r="A37" t="s">
        <v>425</v>
      </c>
      <c r="B37" t="s">
        <v>5846</v>
      </c>
      <c r="C37" t="s">
        <v>15</v>
      </c>
      <c r="D37" t="s">
        <v>7570</v>
      </c>
      <c r="E37" t="s">
        <v>378</v>
      </c>
      <c r="F37" t="s">
        <v>7118</v>
      </c>
      <c r="G37" t="s">
        <v>7119</v>
      </c>
    </row>
    <row r="38" spans="1:7" x14ac:dyDescent="0.3">
      <c r="A38" t="s">
        <v>426</v>
      </c>
      <c r="B38" t="s">
        <v>5846</v>
      </c>
      <c r="C38" t="s">
        <v>15</v>
      </c>
      <c r="D38" t="s">
        <v>7570</v>
      </c>
      <c r="E38" t="s">
        <v>379</v>
      </c>
      <c r="F38" t="s">
        <v>7120</v>
      </c>
      <c r="G38" t="s">
        <v>7121</v>
      </c>
    </row>
    <row r="39" spans="1:7" x14ac:dyDescent="0.3">
      <c r="A39" t="s">
        <v>427</v>
      </c>
      <c r="B39" t="s">
        <v>5846</v>
      </c>
      <c r="C39" t="s">
        <v>15</v>
      </c>
      <c r="D39" t="s">
        <v>7570</v>
      </c>
      <c r="E39" t="s">
        <v>380</v>
      </c>
      <c r="F39" t="s">
        <v>7122</v>
      </c>
      <c r="G39" t="s">
        <v>7123</v>
      </c>
    </row>
    <row r="40" spans="1:7" x14ac:dyDescent="0.3">
      <c r="A40" t="s">
        <v>428</v>
      </c>
      <c r="B40" t="s">
        <v>5846</v>
      </c>
      <c r="C40" t="s">
        <v>15</v>
      </c>
      <c r="D40" t="s">
        <v>7570</v>
      </c>
      <c r="E40" t="s">
        <v>381</v>
      </c>
      <c r="F40" t="s">
        <v>7124</v>
      </c>
      <c r="G40" t="s">
        <v>7125</v>
      </c>
    </row>
    <row r="41" spans="1:7" x14ac:dyDescent="0.3">
      <c r="A41" t="s">
        <v>429</v>
      </c>
      <c r="B41" t="s">
        <v>5846</v>
      </c>
      <c r="C41" t="s">
        <v>15</v>
      </c>
      <c r="D41" t="s">
        <v>7570</v>
      </c>
      <c r="E41" t="s">
        <v>382</v>
      </c>
      <c r="F41" t="s">
        <v>7126</v>
      </c>
      <c r="G41" t="s">
        <v>7127</v>
      </c>
    </row>
    <row r="42" spans="1:7" x14ac:dyDescent="0.3">
      <c r="A42" t="s">
        <v>430</v>
      </c>
      <c r="B42" t="s">
        <v>5955</v>
      </c>
      <c r="C42" t="s">
        <v>15</v>
      </c>
      <c r="D42" t="s">
        <v>7570</v>
      </c>
      <c r="E42" t="s">
        <v>371</v>
      </c>
      <c r="F42" t="s">
        <v>7128</v>
      </c>
      <c r="G42" t="s">
        <v>7129</v>
      </c>
    </row>
    <row r="43" spans="1:7" x14ac:dyDescent="0.3">
      <c r="A43" t="s">
        <v>431</v>
      </c>
      <c r="B43" t="s">
        <v>5955</v>
      </c>
      <c r="C43" t="s">
        <v>15</v>
      </c>
      <c r="D43" t="s">
        <v>7570</v>
      </c>
      <c r="E43" t="s">
        <v>379</v>
      </c>
      <c r="F43" t="s">
        <v>7130</v>
      </c>
      <c r="G43" t="s">
        <v>7131</v>
      </c>
    </row>
    <row r="44" spans="1:7" x14ac:dyDescent="0.3">
      <c r="A44" t="s">
        <v>432</v>
      </c>
      <c r="B44" t="s">
        <v>5955</v>
      </c>
      <c r="C44" t="s">
        <v>15</v>
      </c>
      <c r="D44" t="s">
        <v>7570</v>
      </c>
      <c r="E44" t="s">
        <v>374</v>
      </c>
      <c r="F44" t="s">
        <v>7132</v>
      </c>
      <c r="G44" t="s">
        <v>7133</v>
      </c>
    </row>
    <row r="45" spans="1:7" x14ac:dyDescent="0.3">
      <c r="A45" t="s">
        <v>433</v>
      </c>
      <c r="B45" t="s">
        <v>5955</v>
      </c>
      <c r="C45" t="s">
        <v>19</v>
      </c>
      <c r="D45" t="s">
        <v>7570</v>
      </c>
      <c r="E45" t="s">
        <v>14</v>
      </c>
      <c r="F45" t="s">
        <v>5852</v>
      </c>
      <c r="G45" t="s">
        <v>7134</v>
      </c>
    </row>
    <row r="46" spans="1:7" x14ac:dyDescent="0.3">
      <c r="A46" t="s">
        <v>434</v>
      </c>
      <c r="B46" t="s">
        <v>5955</v>
      </c>
      <c r="C46" t="s">
        <v>19</v>
      </c>
      <c r="D46" t="s">
        <v>7570</v>
      </c>
      <c r="E46" t="s">
        <v>14</v>
      </c>
      <c r="F46" t="s">
        <v>5853</v>
      </c>
      <c r="G46" t="s">
        <v>7135</v>
      </c>
    </row>
    <row r="47" spans="1:7" x14ac:dyDescent="0.3">
      <c r="A47" t="s">
        <v>435</v>
      </c>
      <c r="B47" t="s">
        <v>5955</v>
      </c>
      <c r="C47" t="s">
        <v>19</v>
      </c>
      <c r="D47" t="s">
        <v>7570</v>
      </c>
      <c r="E47" t="s">
        <v>14</v>
      </c>
      <c r="F47" t="s">
        <v>5854</v>
      </c>
      <c r="G47" t="s">
        <v>7136</v>
      </c>
    </row>
    <row r="48" spans="1:7" x14ac:dyDescent="0.3">
      <c r="A48" t="s">
        <v>436</v>
      </c>
      <c r="B48" t="s">
        <v>5956</v>
      </c>
      <c r="C48" t="s">
        <v>19</v>
      </c>
      <c r="D48" t="s">
        <v>7570</v>
      </c>
      <c r="E48" t="s">
        <v>14</v>
      </c>
      <c r="F48" t="s">
        <v>5857</v>
      </c>
      <c r="G48" t="s">
        <v>7137</v>
      </c>
    </row>
    <row r="49" spans="1:7" x14ac:dyDescent="0.3">
      <c r="A49" t="s">
        <v>437</v>
      </c>
      <c r="B49" t="s">
        <v>5846</v>
      </c>
      <c r="C49" t="s">
        <v>19</v>
      </c>
      <c r="D49" t="s">
        <v>7570</v>
      </c>
      <c r="E49" t="s">
        <v>14</v>
      </c>
      <c r="F49" t="s">
        <v>5859</v>
      </c>
      <c r="G49" t="s">
        <v>7138</v>
      </c>
    </row>
    <row r="50" spans="1:7" x14ac:dyDescent="0.3">
      <c r="A50" t="s">
        <v>438</v>
      </c>
      <c r="B50" t="s">
        <v>5957</v>
      </c>
      <c r="C50" t="s">
        <v>19</v>
      </c>
      <c r="D50" t="s">
        <v>7570</v>
      </c>
      <c r="E50" t="s">
        <v>14</v>
      </c>
      <c r="F50" t="s">
        <v>5860</v>
      </c>
      <c r="G50" t="s">
        <v>7139</v>
      </c>
    </row>
    <row r="51" spans="1:7" x14ac:dyDescent="0.3">
      <c r="A51" t="s">
        <v>439</v>
      </c>
      <c r="B51" t="s">
        <v>5846</v>
      </c>
      <c r="C51" t="s">
        <v>19</v>
      </c>
      <c r="D51" t="s">
        <v>7570</v>
      </c>
      <c r="E51" t="s">
        <v>14</v>
      </c>
      <c r="F51" t="s">
        <v>5861</v>
      </c>
      <c r="G51" t="s">
        <v>7140</v>
      </c>
    </row>
    <row r="52" spans="1:7" x14ac:dyDescent="0.3">
      <c r="A52" t="s">
        <v>440</v>
      </c>
      <c r="B52" t="s">
        <v>5957</v>
      </c>
      <c r="C52" t="s">
        <v>19</v>
      </c>
      <c r="D52" t="s">
        <v>7570</v>
      </c>
      <c r="E52" t="s">
        <v>14</v>
      </c>
      <c r="F52" t="s">
        <v>5862</v>
      </c>
      <c r="G52" t="s">
        <v>7141</v>
      </c>
    </row>
    <row r="53" spans="1:7" x14ac:dyDescent="0.3">
      <c r="A53" t="s">
        <v>441</v>
      </c>
      <c r="B53" t="s">
        <v>5863</v>
      </c>
      <c r="C53" t="s">
        <v>19</v>
      </c>
      <c r="D53" t="s">
        <v>7570</v>
      </c>
      <c r="E53" t="s">
        <v>14</v>
      </c>
      <c r="F53" t="s">
        <v>7574</v>
      </c>
      <c r="G53" t="s">
        <v>7142</v>
      </c>
    </row>
    <row r="54" spans="1:7" x14ac:dyDescent="0.3">
      <c r="A54" t="s">
        <v>442</v>
      </c>
      <c r="B54" t="s">
        <v>5863</v>
      </c>
      <c r="C54" t="s">
        <v>19</v>
      </c>
      <c r="D54" t="s">
        <v>7570</v>
      </c>
      <c r="E54" t="s">
        <v>14</v>
      </c>
      <c r="F54" t="s">
        <v>7571</v>
      </c>
      <c r="G54" t="s">
        <v>7143</v>
      </c>
    </row>
    <row r="55" spans="1:7" x14ac:dyDescent="0.3">
      <c r="A55" t="s">
        <v>443</v>
      </c>
      <c r="B55" t="s">
        <v>5863</v>
      </c>
      <c r="C55" t="s">
        <v>19</v>
      </c>
      <c r="D55" t="s">
        <v>7570</v>
      </c>
      <c r="E55" t="s">
        <v>14</v>
      </c>
      <c r="F55" t="s">
        <v>7572</v>
      </c>
      <c r="G55" t="s">
        <v>7144</v>
      </c>
    </row>
    <row r="56" spans="1:7" x14ac:dyDescent="0.3">
      <c r="A56" t="s">
        <v>444</v>
      </c>
      <c r="B56" t="s">
        <v>5863</v>
      </c>
      <c r="C56" t="s">
        <v>19</v>
      </c>
      <c r="D56" t="s">
        <v>7570</v>
      </c>
      <c r="E56" t="s">
        <v>14</v>
      </c>
      <c r="F56" t="s">
        <v>7573</v>
      </c>
      <c r="G56" t="s">
        <v>7145</v>
      </c>
    </row>
    <row r="57" spans="1:7" x14ac:dyDescent="0.3">
      <c r="A57" t="s">
        <v>445</v>
      </c>
      <c r="B57" t="s">
        <v>5846</v>
      </c>
      <c r="C57" t="s">
        <v>19</v>
      </c>
      <c r="D57" t="s">
        <v>7570</v>
      </c>
      <c r="E57" t="s">
        <v>14</v>
      </c>
      <c r="F57" t="s">
        <v>5948</v>
      </c>
      <c r="G57" t="s">
        <v>7146</v>
      </c>
    </row>
    <row r="58" spans="1:7" x14ac:dyDescent="0.3">
      <c r="A58" t="s">
        <v>446</v>
      </c>
      <c r="B58" t="s">
        <v>5846</v>
      </c>
      <c r="C58" t="s">
        <v>19</v>
      </c>
      <c r="D58" t="s">
        <v>7570</v>
      </c>
      <c r="E58" t="s">
        <v>14</v>
      </c>
      <c r="F58" t="s">
        <v>5953</v>
      </c>
      <c r="G58" t="s">
        <v>7147</v>
      </c>
    </row>
    <row r="59" spans="1:7" x14ac:dyDescent="0.3">
      <c r="A59" t="s">
        <v>447</v>
      </c>
      <c r="B59" t="s">
        <v>5959</v>
      </c>
      <c r="C59" t="s">
        <v>19</v>
      </c>
      <c r="D59" t="s">
        <v>5960</v>
      </c>
      <c r="E59" t="s">
        <v>14</v>
      </c>
      <c r="F59" t="s">
        <v>5965</v>
      </c>
      <c r="G59" t="s">
        <v>6749</v>
      </c>
    </row>
    <row r="60" spans="1:7" x14ac:dyDescent="0.3">
      <c r="A60" t="s">
        <v>448</v>
      </c>
      <c r="B60" t="s">
        <v>5959</v>
      </c>
      <c r="C60" t="s">
        <v>19</v>
      </c>
      <c r="D60" t="s">
        <v>5960</v>
      </c>
      <c r="E60" t="s">
        <v>14</v>
      </c>
      <c r="F60" t="s">
        <v>5969</v>
      </c>
      <c r="G60" t="s">
        <v>6750</v>
      </c>
    </row>
    <row r="61" spans="1:7" x14ac:dyDescent="0.3">
      <c r="A61" t="s">
        <v>449</v>
      </c>
      <c r="B61" t="s">
        <v>5959</v>
      </c>
      <c r="C61" t="s">
        <v>19</v>
      </c>
      <c r="D61" t="s">
        <v>5960</v>
      </c>
      <c r="E61" t="s">
        <v>14</v>
      </c>
      <c r="F61" t="s">
        <v>5972</v>
      </c>
      <c r="G61" t="s">
        <v>6751</v>
      </c>
    </row>
    <row r="62" spans="1:7" x14ac:dyDescent="0.3">
      <c r="A62" t="s">
        <v>450</v>
      </c>
      <c r="B62" t="s">
        <v>5959</v>
      </c>
      <c r="C62" t="s">
        <v>15</v>
      </c>
      <c r="D62" t="s">
        <v>5960</v>
      </c>
      <c r="E62" t="s">
        <v>367</v>
      </c>
      <c r="F62" t="s">
        <v>7148</v>
      </c>
      <c r="G62" t="s">
        <v>6752</v>
      </c>
    </row>
    <row r="63" spans="1:7" x14ac:dyDescent="0.3">
      <c r="A63" t="s">
        <v>451</v>
      </c>
      <c r="B63" t="s">
        <v>5959</v>
      </c>
      <c r="C63" t="s">
        <v>15</v>
      </c>
      <c r="D63" t="s">
        <v>5960</v>
      </c>
      <c r="E63" t="s">
        <v>368</v>
      </c>
      <c r="F63" t="s">
        <v>7149</v>
      </c>
      <c r="G63" t="s">
        <v>6753</v>
      </c>
    </row>
    <row r="64" spans="1:7" x14ac:dyDescent="0.3">
      <c r="A64" t="s">
        <v>452</v>
      </c>
      <c r="B64" t="s">
        <v>5959</v>
      </c>
      <c r="C64" t="s">
        <v>15</v>
      </c>
      <c r="D64" t="s">
        <v>5960</v>
      </c>
      <c r="E64" t="s">
        <v>369</v>
      </c>
      <c r="F64" t="s">
        <v>7150</v>
      </c>
      <c r="G64" t="s">
        <v>6754</v>
      </c>
    </row>
    <row r="65" spans="1:7" x14ac:dyDescent="0.3">
      <c r="A65" t="s">
        <v>453</v>
      </c>
      <c r="B65" t="s">
        <v>5959</v>
      </c>
      <c r="C65" t="s">
        <v>15</v>
      </c>
      <c r="D65" t="s">
        <v>5960</v>
      </c>
      <c r="E65" t="s">
        <v>370</v>
      </c>
      <c r="F65" t="s">
        <v>7151</v>
      </c>
      <c r="G65" t="s">
        <v>6755</v>
      </c>
    </row>
    <row r="66" spans="1:7" x14ac:dyDescent="0.3">
      <c r="A66" t="s">
        <v>454</v>
      </c>
      <c r="B66" t="s">
        <v>5959</v>
      </c>
      <c r="C66" t="s">
        <v>15</v>
      </c>
      <c r="D66" t="s">
        <v>5960</v>
      </c>
      <c r="E66" t="s">
        <v>371</v>
      </c>
      <c r="F66" t="s">
        <v>7152</v>
      </c>
      <c r="G66" t="s">
        <v>6756</v>
      </c>
    </row>
    <row r="67" spans="1:7" x14ac:dyDescent="0.3">
      <c r="A67" t="s">
        <v>455</v>
      </c>
      <c r="B67" t="s">
        <v>5959</v>
      </c>
      <c r="C67" t="s">
        <v>15</v>
      </c>
      <c r="D67" t="s">
        <v>5960</v>
      </c>
      <c r="E67" t="s">
        <v>372</v>
      </c>
      <c r="F67" t="s">
        <v>7153</v>
      </c>
      <c r="G67" t="s">
        <v>6757</v>
      </c>
    </row>
    <row r="68" spans="1:7" x14ac:dyDescent="0.3">
      <c r="A68" t="s">
        <v>456</v>
      </c>
      <c r="B68" t="s">
        <v>5959</v>
      </c>
      <c r="C68" t="s">
        <v>15</v>
      </c>
      <c r="D68" t="s">
        <v>5960</v>
      </c>
      <c r="E68" t="s">
        <v>373</v>
      </c>
      <c r="F68" t="s">
        <v>7154</v>
      </c>
      <c r="G68" t="s">
        <v>6758</v>
      </c>
    </row>
    <row r="69" spans="1:7" x14ac:dyDescent="0.3">
      <c r="A69" t="s">
        <v>457</v>
      </c>
      <c r="B69" t="s">
        <v>5959</v>
      </c>
      <c r="C69" t="s">
        <v>15</v>
      </c>
      <c r="D69" t="s">
        <v>5960</v>
      </c>
      <c r="E69" t="s">
        <v>374</v>
      </c>
      <c r="F69" t="s">
        <v>7155</v>
      </c>
      <c r="G69" t="s">
        <v>6759</v>
      </c>
    </row>
    <row r="70" spans="1:7" x14ac:dyDescent="0.3">
      <c r="A70" t="s">
        <v>458</v>
      </c>
      <c r="B70" t="s">
        <v>5959</v>
      </c>
      <c r="C70" t="s">
        <v>15</v>
      </c>
      <c r="D70" t="s">
        <v>5960</v>
      </c>
      <c r="E70" t="s">
        <v>375</v>
      </c>
      <c r="F70" t="s">
        <v>7156</v>
      </c>
      <c r="G70" t="s">
        <v>6760</v>
      </c>
    </row>
    <row r="71" spans="1:7" x14ac:dyDescent="0.3">
      <c r="A71" t="s">
        <v>459</v>
      </c>
      <c r="B71" t="s">
        <v>5959</v>
      </c>
      <c r="C71" t="s">
        <v>15</v>
      </c>
      <c r="D71" t="s">
        <v>5960</v>
      </c>
      <c r="E71" t="s">
        <v>376</v>
      </c>
      <c r="F71" t="s">
        <v>7157</v>
      </c>
      <c r="G71" t="s">
        <v>6761</v>
      </c>
    </row>
    <row r="72" spans="1:7" x14ac:dyDescent="0.3">
      <c r="A72" t="s">
        <v>460</v>
      </c>
      <c r="B72" t="s">
        <v>5959</v>
      </c>
      <c r="C72" t="s">
        <v>15</v>
      </c>
      <c r="D72" t="s">
        <v>5960</v>
      </c>
      <c r="E72" t="s">
        <v>377</v>
      </c>
      <c r="F72" t="s">
        <v>7158</v>
      </c>
      <c r="G72" t="s">
        <v>6762</v>
      </c>
    </row>
    <row r="73" spans="1:7" x14ac:dyDescent="0.3">
      <c r="A73" t="s">
        <v>461</v>
      </c>
      <c r="B73" t="s">
        <v>5959</v>
      </c>
      <c r="C73" t="s">
        <v>15</v>
      </c>
      <c r="D73" t="s">
        <v>5960</v>
      </c>
      <c r="E73" t="s">
        <v>378</v>
      </c>
      <c r="F73" t="s">
        <v>7159</v>
      </c>
      <c r="G73" t="s">
        <v>6763</v>
      </c>
    </row>
    <row r="74" spans="1:7" x14ac:dyDescent="0.3">
      <c r="A74" t="s">
        <v>462</v>
      </c>
      <c r="B74" t="s">
        <v>5959</v>
      </c>
      <c r="C74" t="s">
        <v>15</v>
      </c>
      <c r="D74" t="s">
        <v>5960</v>
      </c>
      <c r="E74" t="s">
        <v>379</v>
      </c>
      <c r="F74" t="s">
        <v>7160</v>
      </c>
      <c r="G74" t="s">
        <v>6764</v>
      </c>
    </row>
    <row r="75" spans="1:7" x14ac:dyDescent="0.3">
      <c r="A75" t="s">
        <v>463</v>
      </c>
      <c r="B75" t="s">
        <v>5959</v>
      </c>
      <c r="C75" t="s">
        <v>15</v>
      </c>
      <c r="D75" t="s">
        <v>5960</v>
      </c>
      <c r="E75" t="s">
        <v>380</v>
      </c>
      <c r="F75" t="s">
        <v>7161</v>
      </c>
      <c r="G75" t="s">
        <v>6765</v>
      </c>
    </row>
    <row r="76" spans="1:7" x14ac:dyDescent="0.3">
      <c r="A76" t="s">
        <v>464</v>
      </c>
      <c r="B76" t="s">
        <v>5959</v>
      </c>
      <c r="C76" t="s">
        <v>15</v>
      </c>
      <c r="D76" t="s">
        <v>5960</v>
      </c>
      <c r="E76" t="s">
        <v>381</v>
      </c>
      <c r="F76" t="s">
        <v>7162</v>
      </c>
      <c r="G76" t="s">
        <v>6766</v>
      </c>
    </row>
    <row r="77" spans="1:7" x14ac:dyDescent="0.3">
      <c r="A77" t="s">
        <v>465</v>
      </c>
      <c r="B77" t="s">
        <v>5959</v>
      </c>
      <c r="C77" t="s">
        <v>15</v>
      </c>
      <c r="D77" t="s">
        <v>5960</v>
      </c>
      <c r="E77" t="s">
        <v>382</v>
      </c>
      <c r="F77" t="s">
        <v>7163</v>
      </c>
      <c r="G77" t="s">
        <v>6456</v>
      </c>
    </row>
    <row r="78" spans="1:7" x14ac:dyDescent="0.3">
      <c r="A78" t="s">
        <v>466</v>
      </c>
      <c r="B78" t="s">
        <v>5959</v>
      </c>
      <c r="C78" t="s">
        <v>15</v>
      </c>
      <c r="D78" t="s">
        <v>5960</v>
      </c>
      <c r="E78" t="s">
        <v>367</v>
      </c>
      <c r="F78" t="s">
        <v>7164</v>
      </c>
      <c r="G78" t="s">
        <v>6457</v>
      </c>
    </row>
    <row r="79" spans="1:7" x14ac:dyDescent="0.3">
      <c r="A79" t="s">
        <v>467</v>
      </c>
      <c r="B79" t="s">
        <v>5959</v>
      </c>
      <c r="C79" t="s">
        <v>15</v>
      </c>
      <c r="D79" t="s">
        <v>5960</v>
      </c>
      <c r="E79" t="s">
        <v>368</v>
      </c>
      <c r="F79" t="s">
        <v>7165</v>
      </c>
      <c r="G79" t="s">
        <v>6458</v>
      </c>
    </row>
    <row r="80" spans="1:7" x14ac:dyDescent="0.3">
      <c r="A80" t="s">
        <v>468</v>
      </c>
      <c r="B80" t="s">
        <v>5959</v>
      </c>
      <c r="C80" t="s">
        <v>15</v>
      </c>
      <c r="D80" t="s">
        <v>5960</v>
      </c>
      <c r="E80" t="s">
        <v>369</v>
      </c>
      <c r="F80" t="s">
        <v>7166</v>
      </c>
      <c r="G80" t="s">
        <v>6459</v>
      </c>
    </row>
    <row r="81" spans="1:7" x14ac:dyDescent="0.3">
      <c r="A81" t="s">
        <v>469</v>
      </c>
      <c r="B81" t="s">
        <v>5959</v>
      </c>
      <c r="C81" t="s">
        <v>15</v>
      </c>
      <c r="D81" t="s">
        <v>5960</v>
      </c>
      <c r="E81" t="s">
        <v>370</v>
      </c>
      <c r="F81" t="s">
        <v>7167</v>
      </c>
      <c r="G81" t="s">
        <v>6460</v>
      </c>
    </row>
    <row r="82" spans="1:7" x14ac:dyDescent="0.3">
      <c r="A82" t="s">
        <v>470</v>
      </c>
      <c r="B82" t="s">
        <v>5959</v>
      </c>
      <c r="C82" t="s">
        <v>15</v>
      </c>
      <c r="D82" t="s">
        <v>5960</v>
      </c>
      <c r="E82" t="s">
        <v>371</v>
      </c>
      <c r="F82" t="s">
        <v>7168</v>
      </c>
      <c r="G82" t="s">
        <v>6461</v>
      </c>
    </row>
    <row r="83" spans="1:7" x14ac:dyDescent="0.3">
      <c r="A83" t="s">
        <v>471</v>
      </c>
      <c r="B83" t="s">
        <v>5959</v>
      </c>
      <c r="C83" t="s">
        <v>15</v>
      </c>
      <c r="D83" t="s">
        <v>5960</v>
      </c>
      <c r="E83" t="s">
        <v>372</v>
      </c>
      <c r="F83" t="s">
        <v>7169</v>
      </c>
      <c r="G83" t="s">
        <v>6462</v>
      </c>
    </row>
    <row r="84" spans="1:7" x14ac:dyDescent="0.3">
      <c r="A84" t="s">
        <v>472</v>
      </c>
      <c r="B84" t="s">
        <v>5959</v>
      </c>
      <c r="C84" t="s">
        <v>15</v>
      </c>
      <c r="D84" t="s">
        <v>5960</v>
      </c>
      <c r="E84" t="s">
        <v>373</v>
      </c>
      <c r="F84" t="s">
        <v>7170</v>
      </c>
      <c r="G84" t="s">
        <v>6463</v>
      </c>
    </row>
    <row r="85" spans="1:7" x14ac:dyDescent="0.3">
      <c r="A85" t="s">
        <v>473</v>
      </c>
      <c r="B85" t="s">
        <v>5959</v>
      </c>
      <c r="C85" t="s">
        <v>15</v>
      </c>
      <c r="D85" t="s">
        <v>5960</v>
      </c>
      <c r="E85" t="s">
        <v>374</v>
      </c>
      <c r="F85" t="s">
        <v>7171</v>
      </c>
      <c r="G85" t="s">
        <v>6464</v>
      </c>
    </row>
    <row r="86" spans="1:7" x14ac:dyDescent="0.3">
      <c r="A86" t="s">
        <v>474</v>
      </c>
      <c r="B86" t="s">
        <v>5959</v>
      </c>
      <c r="C86" t="s">
        <v>15</v>
      </c>
      <c r="D86" t="s">
        <v>5960</v>
      </c>
      <c r="E86" t="s">
        <v>375</v>
      </c>
      <c r="F86" t="s">
        <v>7172</v>
      </c>
      <c r="G86" t="s">
        <v>6465</v>
      </c>
    </row>
    <row r="87" spans="1:7" x14ac:dyDescent="0.3">
      <c r="A87" t="s">
        <v>475</v>
      </c>
      <c r="B87" t="s">
        <v>5959</v>
      </c>
      <c r="C87" t="s">
        <v>15</v>
      </c>
      <c r="D87" t="s">
        <v>5960</v>
      </c>
      <c r="E87" t="s">
        <v>376</v>
      </c>
      <c r="F87" t="s">
        <v>7173</v>
      </c>
      <c r="G87" t="s">
        <v>6466</v>
      </c>
    </row>
    <row r="88" spans="1:7" x14ac:dyDescent="0.3">
      <c r="A88" t="s">
        <v>476</v>
      </c>
      <c r="B88" t="s">
        <v>5959</v>
      </c>
      <c r="C88" t="s">
        <v>15</v>
      </c>
      <c r="D88" t="s">
        <v>5960</v>
      </c>
      <c r="E88" t="s">
        <v>377</v>
      </c>
      <c r="F88" t="s">
        <v>7174</v>
      </c>
      <c r="G88" t="s">
        <v>6467</v>
      </c>
    </row>
    <row r="89" spans="1:7" x14ac:dyDescent="0.3">
      <c r="A89" t="s">
        <v>477</v>
      </c>
      <c r="B89" t="s">
        <v>5959</v>
      </c>
      <c r="C89" t="s">
        <v>15</v>
      </c>
      <c r="D89" t="s">
        <v>5960</v>
      </c>
      <c r="E89" t="s">
        <v>378</v>
      </c>
      <c r="F89" t="s">
        <v>7175</v>
      </c>
      <c r="G89" t="s">
        <v>6468</v>
      </c>
    </row>
    <row r="90" spans="1:7" x14ac:dyDescent="0.3">
      <c r="A90" t="s">
        <v>478</v>
      </c>
      <c r="B90" t="s">
        <v>5959</v>
      </c>
      <c r="C90" t="s">
        <v>15</v>
      </c>
      <c r="D90" t="s">
        <v>5960</v>
      </c>
      <c r="E90" t="s">
        <v>379</v>
      </c>
      <c r="F90" t="s">
        <v>7176</v>
      </c>
      <c r="G90" t="s">
        <v>6469</v>
      </c>
    </row>
    <row r="91" spans="1:7" x14ac:dyDescent="0.3">
      <c r="A91" t="s">
        <v>479</v>
      </c>
      <c r="B91" t="s">
        <v>5959</v>
      </c>
      <c r="C91" t="s">
        <v>15</v>
      </c>
      <c r="D91" t="s">
        <v>5960</v>
      </c>
      <c r="E91" t="s">
        <v>380</v>
      </c>
      <c r="F91" t="s">
        <v>7177</v>
      </c>
      <c r="G91" t="s">
        <v>6470</v>
      </c>
    </row>
    <row r="92" spans="1:7" x14ac:dyDescent="0.3">
      <c r="A92" t="s">
        <v>480</v>
      </c>
      <c r="B92" t="s">
        <v>5959</v>
      </c>
      <c r="C92" t="s">
        <v>15</v>
      </c>
      <c r="D92" t="s">
        <v>5960</v>
      </c>
      <c r="E92" t="s">
        <v>381</v>
      </c>
      <c r="F92" t="s">
        <v>7178</v>
      </c>
      <c r="G92" t="s">
        <v>6471</v>
      </c>
    </row>
    <row r="93" spans="1:7" x14ac:dyDescent="0.3">
      <c r="A93" t="s">
        <v>481</v>
      </c>
      <c r="B93" t="s">
        <v>5959</v>
      </c>
      <c r="C93" t="s">
        <v>15</v>
      </c>
      <c r="D93" t="s">
        <v>5960</v>
      </c>
      <c r="E93" t="s">
        <v>382</v>
      </c>
      <c r="F93" t="s">
        <v>7179</v>
      </c>
      <c r="G93" t="s">
        <v>6472</v>
      </c>
    </row>
    <row r="94" spans="1:7" x14ac:dyDescent="0.3">
      <c r="A94" t="s">
        <v>482</v>
      </c>
      <c r="B94" t="s">
        <v>5959</v>
      </c>
      <c r="C94" t="s">
        <v>15</v>
      </c>
      <c r="D94" t="s">
        <v>5960</v>
      </c>
      <c r="E94" t="s">
        <v>367</v>
      </c>
      <c r="F94" t="s">
        <v>7180</v>
      </c>
      <c r="G94" t="s">
        <v>6473</v>
      </c>
    </row>
    <row r="95" spans="1:7" x14ac:dyDescent="0.3">
      <c r="A95" t="s">
        <v>483</v>
      </c>
      <c r="B95" t="s">
        <v>5959</v>
      </c>
      <c r="C95" t="s">
        <v>15</v>
      </c>
      <c r="D95" t="s">
        <v>5960</v>
      </c>
      <c r="E95" t="s">
        <v>368</v>
      </c>
      <c r="F95" t="s">
        <v>7181</v>
      </c>
      <c r="G95" t="s">
        <v>6474</v>
      </c>
    </row>
    <row r="96" spans="1:7" x14ac:dyDescent="0.3">
      <c r="A96" t="s">
        <v>484</v>
      </c>
      <c r="B96" t="s">
        <v>5959</v>
      </c>
      <c r="C96" t="s">
        <v>15</v>
      </c>
      <c r="D96" t="s">
        <v>5960</v>
      </c>
      <c r="E96" t="s">
        <v>369</v>
      </c>
      <c r="F96" t="s">
        <v>7182</v>
      </c>
      <c r="G96" t="s">
        <v>6475</v>
      </c>
    </row>
    <row r="97" spans="1:7" x14ac:dyDescent="0.3">
      <c r="A97" t="s">
        <v>485</v>
      </c>
      <c r="B97" t="s">
        <v>5959</v>
      </c>
      <c r="C97" t="s">
        <v>15</v>
      </c>
      <c r="D97" t="s">
        <v>5960</v>
      </c>
      <c r="E97" t="s">
        <v>370</v>
      </c>
      <c r="F97" t="s">
        <v>7183</v>
      </c>
      <c r="G97" t="s">
        <v>6476</v>
      </c>
    </row>
    <row r="98" spans="1:7" x14ac:dyDescent="0.3">
      <c r="A98" t="s">
        <v>486</v>
      </c>
      <c r="B98" t="s">
        <v>5959</v>
      </c>
      <c r="C98" t="s">
        <v>15</v>
      </c>
      <c r="D98" t="s">
        <v>5960</v>
      </c>
      <c r="E98" t="s">
        <v>371</v>
      </c>
      <c r="F98" t="s">
        <v>7184</v>
      </c>
      <c r="G98" t="s">
        <v>6477</v>
      </c>
    </row>
    <row r="99" spans="1:7" x14ac:dyDescent="0.3">
      <c r="A99" t="s">
        <v>487</v>
      </c>
      <c r="B99" t="s">
        <v>5959</v>
      </c>
      <c r="C99" t="s">
        <v>15</v>
      </c>
      <c r="D99" t="s">
        <v>5960</v>
      </c>
      <c r="E99" t="s">
        <v>372</v>
      </c>
      <c r="F99" t="s">
        <v>7185</v>
      </c>
      <c r="G99" t="s">
        <v>6478</v>
      </c>
    </row>
    <row r="100" spans="1:7" x14ac:dyDescent="0.3">
      <c r="A100" t="s">
        <v>488</v>
      </c>
      <c r="B100" t="s">
        <v>5959</v>
      </c>
      <c r="C100" t="s">
        <v>15</v>
      </c>
      <c r="D100" t="s">
        <v>5960</v>
      </c>
      <c r="E100" t="s">
        <v>373</v>
      </c>
      <c r="F100" t="s">
        <v>7186</v>
      </c>
      <c r="G100" t="s">
        <v>6479</v>
      </c>
    </row>
    <row r="101" spans="1:7" x14ac:dyDescent="0.3">
      <c r="A101" t="s">
        <v>489</v>
      </c>
      <c r="B101" t="s">
        <v>5959</v>
      </c>
      <c r="C101" t="s">
        <v>15</v>
      </c>
      <c r="D101" t="s">
        <v>5960</v>
      </c>
      <c r="E101" t="s">
        <v>374</v>
      </c>
      <c r="F101" t="s">
        <v>7187</v>
      </c>
      <c r="G101" t="s">
        <v>6480</v>
      </c>
    </row>
    <row r="102" spans="1:7" x14ac:dyDescent="0.3">
      <c r="A102" t="s">
        <v>490</v>
      </c>
      <c r="B102" t="s">
        <v>5959</v>
      </c>
      <c r="C102" t="s">
        <v>15</v>
      </c>
      <c r="D102" t="s">
        <v>5960</v>
      </c>
      <c r="E102" t="s">
        <v>375</v>
      </c>
      <c r="F102" t="s">
        <v>7188</v>
      </c>
      <c r="G102" t="s">
        <v>6481</v>
      </c>
    </row>
    <row r="103" spans="1:7" x14ac:dyDescent="0.3">
      <c r="A103" t="s">
        <v>491</v>
      </c>
      <c r="B103" t="s">
        <v>5959</v>
      </c>
      <c r="C103" t="s">
        <v>15</v>
      </c>
      <c r="D103" t="s">
        <v>5960</v>
      </c>
      <c r="E103" t="s">
        <v>376</v>
      </c>
      <c r="F103" t="s">
        <v>7189</v>
      </c>
      <c r="G103" t="s">
        <v>6482</v>
      </c>
    </row>
    <row r="104" spans="1:7" x14ac:dyDescent="0.3">
      <c r="A104" t="s">
        <v>492</v>
      </c>
      <c r="B104" t="s">
        <v>5959</v>
      </c>
      <c r="C104" t="s">
        <v>15</v>
      </c>
      <c r="D104" t="s">
        <v>5960</v>
      </c>
      <c r="E104" t="s">
        <v>377</v>
      </c>
      <c r="F104" t="s">
        <v>7190</v>
      </c>
      <c r="G104" t="s">
        <v>6483</v>
      </c>
    </row>
    <row r="105" spans="1:7" x14ac:dyDescent="0.3">
      <c r="A105" t="s">
        <v>493</v>
      </c>
      <c r="B105" t="s">
        <v>5959</v>
      </c>
      <c r="C105" t="s">
        <v>15</v>
      </c>
      <c r="D105" t="s">
        <v>5960</v>
      </c>
      <c r="E105" t="s">
        <v>378</v>
      </c>
      <c r="F105" t="s">
        <v>7191</v>
      </c>
      <c r="G105" t="s">
        <v>6484</v>
      </c>
    </row>
    <row r="106" spans="1:7" x14ac:dyDescent="0.3">
      <c r="A106" t="s">
        <v>494</v>
      </c>
      <c r="B106" t="s">
        <v>5959</v>
      </c>
      <c r="C106" t="s">
        <v>15</v>
      </c>
      <c r="D106" t="s">
        <v>5960</v>
      </c>
      <c r="E106" t="s">
        <v>379</v>
      </c>
      <c r="F106" t="s">
        <v>7192</v>
      </c>
      <c r="G106" t="s">
        <v>6485</v>
      </c>
    </row>
    <row r="107" spans="1:7" x14ac:dyDescent="0.3">
      <c r="A107" t="s">
        <v>495</v>
      </c>
      <c r="B107" t="s">
        <v>5959</v>
      </c>
      <c r="C107" t="s">
        <v>15</v>
      </c>
      <c r="D107" t="s">
        <v>5960</v>
      </c>
      <c r="E107" t="s">
        <v>380</v>
      </c>
      <c r="F107" t="s">
        <v>7193</v>
      </c>
      <c r="G107" t="s">
        <v>6486</v>
      </c>
    </row>
    <row r="108" spans="1:7" x14ac:dyDescent="0.3">
      <c r="A108" t="s">
        <v>496</v>
      </c>
      <c r="B108" t="s">
        <v>5959</v>
      </c>
      <c r="C108" t="s">
        <v>15</v>
      </c>
      <c r="D108" t="s">
        <v>5960</v>
      </c>
      <c r="E108" t="s">
        <v>381</v>
      </c>
      <c r="F108" t="s">
        <v>7194</v>
      </c>
      <c r="G108" t="s">
        <v>6487</v>
      </c>
    </row>
    <row r="109" spans="1:7" x14ac:dyDescent="0.3">
      <c r="A109" t="s">
        <v>497</v>
      </c>
      <c r="B109" t="s">
        <v>5959</v>
      </c>
      <c r="C109" t="s">
        <v>15</v>
      </c>
      <c r="D109" t="s">
        <v>5960</v>
      </c>
      <c r="E109" t="s">
        <v>382</v>
      </c>
      <c r="F109" t="s">
        <v>7195</v>
      </c>
      <c r="G109" t="s">
        <v>6488</v>
      </c>
    </row>
    <row r="110" spans="1:7" x14ac:dyDescent="0.3">
      <c r="A110" t="s">
        <v>498</v>
      </c>
      <c r="B110" t="s">
        <v>5959</v>
      </c>
      <c r="C110" t="s">
        <v>17</v>
      </c>
      <c r="D110" t="s">
        <v>5960</v>
      </c>
      <c r="E110" t="s">
        <v>29</v>
      </c>
      <c r="F110" t="s">
        <v>7196</v>
      </c>
      <c r="G110" t="s">
        <v>6489</v>
      </c>
    </row>
    <row r="111" spans="1:7" x14ac:dyDescent="0.3">
      <c r="A111" t="s">
        <v>499</v>
      </c>
      <c r="B111" t="s">
        <v>5959</v>
      </c>
      <c r="C111" t="s">
        <v>17</v>
      </c>
      <c r="D111" t="s">
        <v>5960</v>
      </c>
      <c r="E111" t="s">
        <v>16</v>
      </c>
      <c r="F111" t="s">
        <v>7197</v>
      </c>
      <c r="G111" t="s">
        <v>6490</v>
      </c>
    </row>
    <row r="112" spans="1:7" x14ac:dyDescent="0.3">
      <c r="A112" t="s">
        <v>500</v>
      </c>
      <c r="B112" t="s">
        <v>5959</v>
      </c>
      <c r="C112" t="s">
        <v>17</v>
      </c>
      <c r="D112" t="s">
        <v>5960</v>
      </c>
      <c r="E112" t="s">
        <v>39</v>
      </c>
      <c r="F112" t="s">
        <v>7198</v>
      </c>
      <c r="G112" t="s">
        <v>6491</v>
      </c>
    </row>
    <row r="113" spans="1:7" x14ac:dyDescent="0.3">
      <c r="A113" t="s">
        <v>501</v>
      </c>
      <c r="B113" t="s">
        <v>5959</v>
      </c>
      <c r="C113" t="s">
        <v>17</v>
      </c>
      <c r="D113" t="s">
        <v>5960</v>
      </c>
      <c r="E113" t="s">
        <v>42</v>
      </c>
      <c r="F113" t="s">
        <v>7199</v>
      </c>
      <c r="G113" t="s">
        <v>6492</v>
      </c>
    </row>
    <row r="114" spans="1:7" x14ac:dyDescent="0.3">
      <c r="A114" t="s">
        <v>502</v>
      </c>
      <c r="B114" t="s">
        <v>5959</v>
      </c>
      <c r="C114" t="s">
        <v>17</v>
      </c>
      <c r="D114" t="s">
        <v>5960</v>
      </c>
      <c r="E114" t="s">
        <v>6010</v>
      </c>
      <c r="F114" t="s">
        <v>7200</v>
      </c>
      <c r="G114" t="s">
        <v>6493</v>
      </c>
    </row>
    <row r="115" spans="1:7" x14ac:dyDescent="0.3">
      <c r="A115" t="s">
        <v>503</v>
      </c>
      <c r="B115" t="s">
        <v>5959</v>
      </c>
      <c r="C115" t="s">
        <v>17</v>
      </c>
      <c r="D115" t="s">
        <v>5960</v>
      </c>
      <c r="E115" t="s">
        <v>48</v>
      </c>
      <c r="F115" t="s">
        <v>7201</v>
      </c>
      <c r="G115" t="s">
        <v>6494</v>
      </c>
    </row>
    <row r="116" spans="1:7" x14ac:dyDescent="0.3">
      <c r="A116" t="s">
        <v>504</v>
      </c>
      <c r="B116" t="s">
        <v>5959</v>
      </c>
      <c r="C116" t="s">
        <v>17</v>
      </c>
      <c r="D116" t="s">
        <v>5960</v>
      </c>
      <c r="E116" t="s">
        <v>49</v>
      </c>
      <c r="F116" t="s">
        <v>7202</v>
      </c>
      <c r="G116" t="s">
        <v>6495</v>
      </c>
    </row>
    <row r="117" spans="1:7" x14ac:dyDescent="0.3">
      <c r="A117" t="s">
        <v>505</v>
      </c>
      <c r="B117" t="s">
        <v>5959</v>
      </c>
      <c r="C117" t="s">
        <v>17</v>
      </c>
      <c r="D117" t="s">
        <v>5960</v>
      </c>
      <c r="E117" t="s">
        <v>25</v>
      </c>
      <c r="F117" t="s">
        <v>7203</v>
      </c>
      <c r="G117" t="s">
        <v>6496</v>
      </c>
    </row>
    <row r="118" spans="1:7" x14ac:dyDescent="0.3">
      <c r="A118" t="s">
        <v>506</v>
      </c>
      <c r="B118" t="s">
        <v>5959</v>
      </c>
      <c r="C118" t="s">
        <v>17</v>
      </c>
      <c r="D118" t="s">
        <v>5960</v>
      </c>
      <c r="E118" t="s">
        <v>58</v>
      </c>
      <c r="F118" t="s">
        <v>7204</v>
      </c>
      <c r="G118" t="s">
        <v>6497</v>
      </c>
    </row>
    <row r="119" spans="1:7" x14ac:dyDescent="0.3">
      <c r="A119" t="s">
        <v>507</v>
      </c>
      <c r="B119" t="s">
        <v>5959</v>
      </c>
      <c r="C119" t="s">
        <v>17</v>
      </c>
      <c r="D119" t="s">
        <v>5960</v>
      </c>
      <c r="E119" t="s">
        <v>53</v>
      </c>
      <c r="F119" t="s">
        <v>7205</v>
      </c>
      <c r="G119" t="s">
        <v>6498</v>
      </c>
    </row>
    <row r="120" spans="1:7" x14ac:dyDescent="0.3">
      <c r="A120" t="s">
        <v>508</v>
      </c>
      <c r="B120" t="s">
        <v>5959</v>
      </c>
      <c r="C120" t="s">
        <v>17</v>
      </c>
      <c r="D120" t="s">
        <v>5960</v>
      </c>
      <c r="E120" t="s">
        <v>21</v>
      </c>
      <c r="F120" t="s">
        <v>7206</v>
      </c>
      <c r="G120" t="s">
        <v>6499</v>
      </c>
    </row>
    <row r="121" spans="1:7" x14ac:dyDescent="0.3">
      <c r="A121" t="s">
        <v>509</v>
      </c>
      <c r="B121" t="s">
        <v>5959</v>
      </c>
      <c r="C121" t="s">
        <v>17</v>
      </c>
      <c r="D121" t="s">
        <v>5960</v>
      </c>
      <c r="E121" t="s">
        <v>57</v>
      </c>
      <c r="F121" t="s">
        <v>7206</v>
      </c>
      <c r="G121" t="s">
        <v>6500</v>
      </c>
    </row>
    <row r="122" spans="1:7" x14ac:dyDescent="0.3">
      <c r="A122" t="s">
        <v>510</v>
      </c>
      <c r="B122" t="s">
        <v>5959</v>
      </c>
      <c r="C122" t="s">
        <v>17</v>
      </c>
      <c r="D122" t="s">
        <v>5960</v>
      </c>
      <c r="E122" t="s">
        <v>83</v>
      </c>
      <c r="F122" t="s">
        <v>7206</v>
      </c>
      <c r="G122" t="s">
        <v>6501</v>
      </c>
    </row>
    <row r="123" spans="1:7" x14ac:dyDescent="0.3">
      <c r="A123" t="s">
        <v>511</v>
      </c>
      <c r="B123" t="s">
        <v>5959</v>
      </c>
      <c r="C123" t="s">
        <v>17</v>
      </c>
      <c r="D123" t="s">
        <v>5960</v>
      </c>
      <c r="E123" t="s">
        <v>77</v>
      </c>
      <c r="F123" t="s">
        <v>7206</v>
      </c>
      <c r="G123" t="s">
        <v>6502</v>
      </c>
    </row>
    <row r="124" spans="1:7" x14ac:dyDescent="0.3">
      <c r="A124" t="s">
        <v>512</v>
      </c>
      <c r="B124" t="s">
        <v>5959</v>
      </c>
      <c r="C124" t="s">
        <v>17</v>
      </c>
      <c r="D124" t="s">
        <v>5960</v>
      </c>
      <c r="E124" t="s">
        <v>100</v>
      </c>
      <c r="F124" t="s">
        <v>7206</v>
      </c>
      <c r="G124" t="s">
        <v>6503</v>
      </c>
    </row>
    <row r="125" spans="1:7" x14ac:dyDescent="0.3">
      <c r="A125" t="s">
        <v>513</v>
      </c>
      <c r="B125" t="s">
        <v>5959</v>
      </c>
      <c r="C125" t="s">
        <v>17</v>
      </c>
      <c r="D125" t="s">
        <v>5960</v>
      </c>
      <c r="E125" t="s">
        <v>73</v>
      </c>
      <c r="F125" t="s">
        <v>7206</v>
      </c>
      <c r="G125" t="s">
        <v>6504</v>
      </c>
    </row>
    <row r="126" spans="1:7" x14ac:dyDescent="0.3">
      <c r="A126" t="s">
        <v>514</v>
      </c>
      <c r="B126" t="s">
        <v>5959</v>
      </c>
      <c r="C126" t="s">
        <v>17</v>
      </c>
      <c r="D126" t="s">
        <v>5960</v>
      </c>
      <c r="E126" t="s">
        <v>82</v>
      </c>
      <c r="F126" t="s">
        <v>7206</v>
      </c>
      <c r="G126" t="s">
        <v>6505</v>
      </c>
    </row>
    <row r="127" spans="1:7" x14ac:dyDescent="0.3">
      <c r="A127" t="s">
        <v>515</v>
      </c>
      <c r="B127" t="s">
        <v>5959</v>
      </c>
      <c r="C127" t="s">
        <v>17</v>
      </c>
      <c r="D127" t="s">
        <v>5960</v>
      </c>
      <c r="E127" t="s">
        <v>6024</v>
      </c>
      <c r="F127" t="s">
        <v>7206</v>
      </c>
      <c r="G127" t="s">
        <v>6506</v>
      </c>
    </row>
    <row r="128" spans="1:7" x14ac:dyDescent="0.3">
      <c r="A128" t="s">
        <v>516</v>
      </c>
      <c r="B128" t="s">
        <v>5959</v>
      </c>
      <c r="C128" t="s">
        <v>17</v>
      </c>
      <c r="D128" t="s">
        <v>5960</v>
      </c>
      <c r="E128" t="s">
        <v>93</v>
      </c>
      <c r="F128" t="s">
        <v>7206</v>
      </c>
      <c r="G128" t="s">
        <v>6507</v>
      </c>
    </row>
    <row r="129" spans="1:7" x14ac:dyDescent="0.3">
      <c r="A129" t="s">
        <v>517</v>
      </c>
      <c r="B129" t="s">
        <v>5959</v>
      </c>
      <c r="C129" t="s">
        <v>17</v>
      </c>
      <c r="D129" t="s">
        <v>5960</v>
      </c>
      <c r="E129" t="s">
        <v>6027</v>
      </c>
      <c r="F129" t="s">
        <v>7206</v>
      </c>
      <c r="G129" t="s">
        <v>6508</v>
      </c>
    </row>
    <row r="130" spans="1:7" x14ac:dyDescent="0.3">
      <c r="A130" t="s">
        <v>518</v>
      </c>
      <c r="B130" t="s">
        <v>5959</v>
      </c>
      <c r="C130" t="s">
        <v>17</v>
      </c>
      <c r="D130" t="s">
        <v>5960</v>
      </c>
      <c r="E130" t="s">
        <v>102</v>
      </c>
      <c r="F130" t="s">
        <v>7206</v>
      </c>
      <c r="G130" t="s">
        <v>6509</v>
      </c>
    </row>
    <row r="131" spans="1:7" x14ac:dyDescent="0.3">
      <c r="A131" t="s">
        <v>519</v>
      </c>
      <c r="B131" t="s">
        <v>5959</v>
      </c>
      <c r="C131" t="s">
        <v>17</v>
      </c>
      <c r="D131" t="s">
        <v>5960</v>
      </c>
      <c r="E131" t="s">
        <v>6030</v>
      </c>
      <c r="F131" t="s">
        <v>7206</v>
      </c>
      <c r="G131" t="s">
        <v>6510</v>
      </c>
    </row>
    <row r="132" spans="1:7" x14ac:dyDescent="0.3">
      <c r="A132" t="s">
        <v>520</v>
      </c>
      <c r="B132" t="s">
        <v>5959</v>
      </c>
      <c r="C132" t="s">
        <v>17</v>
      </c>
      <c r="D132" t="s">
        <v>5960</v>
      </c>
      <c r="E132" t="s">
        <v>108</v>
      </c>
      <c r="F132" t="s">
        <v>7206</v>
      </c>
      <c r="G132" t="s">
        <v>6511</v>
      </c>
    </row>
    <row r="133" spans="1:7" x14ac:dyDescent="0.3">
      <c r="A133" t="s">
        <v>521</v>
      </c>
      <c r="B133" t="s">
        <v>5959</v>
      </c>
      <c r="C133" t="s">
        <v>17</v>
      </c>
      <c r="D133" t="s">
        <v>5960</v>
      </c>
      <c r="E133" t="s">
        <v>103</v>
      </c>
      <c r="F133" t="s">
        <v>7206</v>
      </c>
      <c r="G133" t="s">
        <v>6512</v>
      </c>
    </row>
    <row r="134" spans="1:7" x14ac:dyDescent="0.3">
      <c r="A134" t="s">
        <v>522</v>
      </c>
      <c r="B134" t="s">
        <v>5959</v>
      </c>
      <c r="C134" t="s">
        <v>17</v>
      </c>
      <c r="D134" t="s">
        <v>5960</v>
      </c>
      <c r="E134" t="s">
        <v>117</v>
      </c>
      <c r="F134" t="s">
        <v>7206</v>
      </c>
      <c r="G134" t="s">
        <v>6513</v>
      </c>
    </row>
    <row r="135" spans="1:7" x14ac:dyDescent="0.3">
      <c r="A135" t="s">
        <v>523</v>
      </c>
      <c r="B135" t="s">
        <v>5959</v>
      </c>
      <c r="C135" t="s">
        <v>17</v>
      </c>
      <c r="D135" t="s">
        <v>5960</v>
      </c>
      <c r="E135" t="s">
        <v>126</v>
      </c>
      <c r="F135" t="s">
        <v>7207</v>
      </c>
      <c r="G135" t="s">
        <v>6514</v>
      </c>
    </row>
    <row r="136" spans="1:7" x14ac:dyDescent="0.3">
      <c r="A136" t="s">
        <v>524</v>
      </c>
      <c r="B136" t="s">
        <v>5959</v>
      </c>
      <c r="C136" t="s">
        <v>17</v>
      </c>
      <c r="D136" t="s">
        <v>5960</v>
      </c>
      <c r="E136" t="s">
        <v>119</v>
      </c>
      <c r="F136" t="s">
        <v>7208</v>
      </c>
      <c r="G136" t="s">
        <v>6515</v>
      </c>
    </row>
    <row r="137" spans="1:7" x14ac:dyDescent="0.3">
      <c r="A137" t="s">
        <v>525</v>
      </c>
      <c r="B137" t="s">
        <v>5959</v>
      </c>
      <c r="C137" t="s">
        <v>17</v>
      </c>
      <c r="D137" t="s">
        <v>5960</v>
      </c>
      <c r="E137" t="s">
        <v>135</v>
      </c>
      <c r="F137" t="s">
        <v>7209</v>
      </c>
      <c r="G137" t="s">
        <v>6516</v>
      </c>
    </row>
    <row r="138" spans="1:7" x14ac:dyDescent="0.3">
      <c r="A138" t="s">
        <v>526</v>
      </c>
      <c r="B138" t="s">
        <v>5959</v>
      </c>
      <c r="C138" t="s">
        <v>17</v>
      </c>
      <c r="D138" t="s">
        <v>5960</v>
      </c>
      <c r="E138" t="s">
        <v>145</v>
      </c>
      <c r="F138" t="s">
        <v>7210</v>
      </c>
      <c r="G138" t="s">
        <v>6517</v>
      </c>
    </row>
    <row r="139" spans="1:7" x14ac:dyDescent="0.3">
      <c r="A139" t="s">
        <v>527</v>
      </c>
      <c r="B139" t="s">
        <v>5959</v>
      </c>
      <c r="C139" t="s">
        <v>17</v>
      </c>
      <c r="D139" t="s">
        <v>5960</v>
      </c>
      <c r="E139" t="s">
        <v>6039</v>
      </c>
      <c r="F139" t="s">
        <v>7211</v>
      </c>
      <c r="G139" t="s">
        <v>6518</v>
      </c>
    </row>
    <row r="140" spans="1:7" x14ac:dyDescent="0.3">
      <c r="A140" t="s">
        <v>528</v>
      </c>
      <c r="B140" t="s">
        <v>5959</v>
      </c>
      <c r="C140" t="s">
        <v>17</v>
      </c>
      <c r="D140" t="s">
        <v>5960</v>
      </c>
      <c r="E140" t="s">
        <v>6041</v>
      </c>
      <c r="F140" t="s">
        <v>7212</v>
      </c>
      <c r="G140" t="s">
        <v>6519</v>
      </c>
    </row>
    <row r="141" spans="1:7" x14ac:dyDescent="0.3">
      <c r="A141" t="s">
        <v>529</v>
      </c>
      <c r="B141" t="s">
        <v>5959</v>
      </c>
      <c r="C141" t="s">
        <v>17</v>
      </c>
      <c r="D141" t="s">
        <v>5960</v>
      </c>
      <c r="E141" t="s">
        <v>157</v>
      </c>
      <c r="F141" t="s">
        <v>7213</v>
      </c>
      <c r="G141" t="s">
        <v>6520</v>
      </c>
    </row>
    <row r="142" spans="1:7" x14ac:dyDescent="0.3">
      <c r="A142" t="s">
        <v>530</v>
      </c>
      <c r="B142" t="s">
        <v>5959</v>
      </c>
      <c r="C142" t="s">
        <v>17</v>
      </c>
      <c r="D142" t="s">
        <v>5960</v>
      </c>
      <c r="E142" t="s">
        <v>151</v>
      </c>
      <c r="F142" t="s">
        <v>7214</v>
      </c>
      <c r="G142" t="s">
        <v>6521</v>
      </c>
    </row>
    <row r="143" spans="1:7" x14ac:dyDescent="0.3">
      <c r="A143" t="s">
        <v>531</v>
      </c>
      <c r="B143" t="s">
        <v>5959</v>
      </c>
      <c r="C143" t="s">
        <v>17</v>
      </c>
      <c r="D143" t="s">
        <v>5960</v>
      </c>
      <c r="E143" t="s">
        <v>160</v>
      </c>
      <c r="F143" t="s">
        <v>7215</v>
      </c>
      <c r="G143" t="s">
        <v>6522</v>
      </c>
    </row>
    <row r="144" spans="1:7" x14ac:dyDescent="0.3">
      <c r="A144" t="s">
        <v>532</v>
      </c>
      <c r="B144" t="s">
        <v>5959</v>
      </c>
      <c r="C144" t="s">
        <v>17</v>
      </c>
      <c r="D144" t="s">
        <v>5960</v>
      </c>
      <c r="E144" t="s">
        <v>162</v>
      </c>
      <c r="F144" t="s">
        <v>7216</v>
      </c>
      <c r="G144" t="s">
        <v>6523</v>
      </c>
    </row>
    <row r="145" spans="1:7" x14ac:dyDescent="0.3">
      <c r="A145" t="s">
        <v>533</v>
      </c>
      <c r="B145" t="s">
        <v>5959</v>
      </c>
      <c r="C145" t="s">
        <v>17</v>
      </c>
      <c r="D145" t="s">
        <v>5960</v>
      </c>
      <c r="E145" t="s">
        <v>136</v>
      </c>
      <c r="F145" t="s">
        <v>7217</v>
      </c>
      <c r="G145" t="s">
        <v>6524</v>
      </c>
    </row>
    <row r="146" spans="1:7" x14ac:dyDescent="0.3">
      <c r="A146" t="s">
        <v>534</v>
      </c>
      <c r="B146" t="s">
        <v>5959</v>
      </c>
      <c r="C146" t="s">
        <v>17</v>
      </c>
      <c r="D146" t="s">
        <v>5960</v>
      </c>
      <c r="E146" t="s">
        <v>178</v>
      </c>
      <c r="F146" t="s">
        <v>7218</v>
      </c>
      <c r="G146" t="s">
        <v>6525</v>
      </c>
    </row>
    <row r="147" spans="1:7" x14ac:dyDescent="0.3">
      <c r="A147" t="s">
        <v>535</v>
      </c>
      <c r="B147" t="s">
        <v>5959</v>
      </c>
      <c r="C147" t="s">
        <v>17</v>
      </c>
      <c r="D147" t="s">
        <v>5960</v>
      </c>
      <c r="E147" t="s">
        <v>179</v>
      </c>
      <c r="F147" t="s">
        <v>7219</v>
      </c>
      <c r="G147" t="s">
        <v>6526</v>
      </c>
    </row>
    <row r="148" spans="1:7" x14ac:dyDescent="0.3">
      <c r="A148" t="s">
        <v>536</v>
      </c>
      <c r="B148" t="s">
        <v>5959</v>
      </c>
      <c r="C148" t="s">
        <v>17</v>
      </c>
      <c r="D148" t="s">
        <v>5960</v>
      </c>
      <c r="E148" t="s">
        <v>167</v>
      </c>
      <c r="F148" t="s">
        <v>7220</v>
      </c>
      <c r="G148" t="s">
        <v>6527</v>
      </c>
    </row>
    <row r="149" spans="1:7" x14ac:dyDescent="0.3">
      <c r="A149" t="s">
        <v>537</v>
      </c>
      <c r="B149" t="s">
        <v>5959</v>
      </c>
      <c r="C149" t="s">
        <v>17</v>
      </c>
      <c r="D149" t="s">
        <v>5960</v>
      </c>
      <c r="E149" t="s">
        <v>6051</v>
      </c>
      <c r="F149" t="s">
        <v>7221</v>
      </c>
      <c r="G149" t="s">
        <v>6528</v>
      </c>
    </row>
    <row r="150" spans="1:7" x14ac:dyDescent="0.3">
      <c r="A150" t="s">
        <v>538</v>
      </c>
      <c r="B150" t="s">
        <v>5959</v>
      </c>
      <c r="C150" t="s">
        <v>17</v>
      </c>
      <c r="D150" t="s">
        <v>5960</v>
      </c>
      <c r="E150" t="s">
        <v>166</v>
      </c>
      <c r="F150" t="s">
        <v>7222</v>
      </c>
      <c r="G150" t="s">
        <v>6529</v>
      </c>
    </row>
    <row r="151" spans="1:7" x14ac:dyDescent="0.3">
      <c r="A151" t="s">
        <v>539</v>
      </c>
      <c r="B151" t="s">
        <v>5959</v>
      </c>
      <c r="C151" t="s">
        <v>17</v>
      </c>
      <c r="D151" t="s">
        <v>5960</v>
      </c>
      <c r="E151" t="s">
        <v>184</v>
      </c>
      <c r="F151" t="s">
        <v>7223</v>
      </c>
      <c r="G151" t="s">
        <v>6530</v>
      </c>
    </row>
    <row r="152" spans="1:7" x14ac:dyDescent="0.3">
      <c r="A152" t="s">
        <v>540</v>
      </c>
      <c r="B152" t="s">
        <v>5959</v>
      </c>
      <c r="C152" t="s">
        <v>17</v>
      </c>
      <c r="D152" t="s">
        <v>5960</v>
      </c>
      <c r="E152" t="s">
        <v>174</v>
      </c>
      <c r="F152" t="s">
        <v>7224</v>
      </c>
      <c r="G152" t="s">
        <v>6531</v>
      </c>
    </row>
    <row r="153" spans="1:7" x14ac:dyDescent="0.3">
      <c r="A153" t="s">
        <v>541</v>
      </c>
      <c r="B153" t="s">
        <v>5959</v>
      </c>
      <c r="C153" t="s">
        <v>17</v>
      </c>
      <c r="D153" t="s">
        <v>5960</v>
      </c>
      <c r="E153" t="s">
        <v>6056</v>
      </c>
      <c r="F153" t="s">
        <v>7225</v>
      </c>
      <c r="G153" t="s">
        <v>6532</v>
      </c>
    </row>
    <row r="154" spans="1:7" x14ac:dyDescent="0.3">
      <c r="A154" t="s">
        <v>542</v>
      </c>
      <c r="B154" t="s">
        <v>5959</v>
      </c>
      <c r="C154" t="s">
        <v>17</v>
      </c>
      <c r="D154" t="s">
        <v>5960</v>
      </c>
      <c r="E154" t="s">
        <v>240</v>
      </c>
      <c r="F154" t="s">
        <v>7226</v>
      </c>
      <c r="G154" t="s">
        <v>6533</v>
      </c>
    </row>
    <row r="155" spans="1:7" x14ac:dyDescent="0.3">
      <c r="A155" t="s">
        <v>543</v>
      </c>
      <c r="B155" t="s">
        <v>5959</v>
      </c>
      <c r="C155" t="s">
        <v>17</v>
      </c>
      <c r="D155" t="s">
        <v>5960</v>
      </c>
      <c r="E155" t="s">
        <v>226</v>
      </c>
      <c r="F155" t="s">
        <v>7227</v>
      </c>
      <c r="G155" t="s">
        <v>6534</v>
      </c>
    </row>
    <row r="156" spans="1:7" x14ac:dyDescent="0.3">
      <c r="A156" t="s">
        <v>544</v>
      </c>
      <c r="B156" t="s">
        <v>5959</v>
      </c>
      <c r="C156" t="s">
        <v>17</v>
      </c>
      <c r="D156" t="s">
        <v>5960</v>
      </c>
      <c r="E156" t="s">
        <v>227</v>
      </c>
      <c r="F156" t="s">
        <v>7228</v>
      </c>
      <c r="G156" t="s">
        <v>6535</v>
      </c>
    </row>
    <row r="157" spans="1:7" x14ac:dyDescent="0.3">
      <c r="A157" t="s">
        <v>545</v>
      </c>
      <c r="B157" t="s">
        <v>5959</v>
      </c>
      <c r="C157" t="s">
        <v>17</v>
      </c>
      <c r="D157" t="s">
        <v>5960</v>
      </c>
      <c r="E157" t="s">
        <v>229</v>
      </c>
      <c r="F157" t="s">
        <v>7229</v>
      </c>
      <c r="G157" t="s">
        <v>6536</v>
      </c>
    </row>
    <row r="158" spans="1:7" x14ac:dyDescent="0.3">
      <c r="A158" t="s">
        <v>546</v>
      </c>
      <c r="B158" t="s">
        <v>5959</v>
      </c>
      <c r="C158" t="s">
        <v>17</v>
      </c>
      <c r="D158" t="s">
        <v>5960</v>
      </c>
      <c r="E158" t="s">
        <v>6062</v>
      </c>
      <c r="F158" t="s">
        <v>7230</v>
      </c>
      <c r="G158" t="s">
        <v>6537</v>
      </c>
    </row>
    <row r="159" spans="1:7" x14ac:dyDescent="0.3">
      <c r="A159" t="s">
        <v>547</v>
      </c>
      <c r="B159" t="s">
        <v>5959</v>
      </c>
      <c r="C159" t="s">
        <v>17</v>
      </c>
      <c r="D159" t="s">
        <v>5960</v>
      </c>
      <c r="E159" t="s">
        <v>219</v>
      </c>
      <c r="F159" t="s">
        <v>7231</v>
      </c>
      <c r="G159" t="s">
        <v>6538</v>
      </c>
    </row>
    <row r="160" spans="1:7" x14ac:dyDescent="0.3">
      <c r="A160" t="s">
        <v>548</v>
      </c>
      <c r="B160" t="s">
        <v>5959</v>
      </c>
      <c r="C160" t="s">
        <v>17</v>
      </c>
      <c r="D160" t="s">
        <v>5960</v>
      </c>
      <c r="E160" t="s">
        <v>250</v>
      </c>
      <c r="F160" t="s">
        <v>7232</v>
      </c>
      <c r="G160" t="s">
        <v>6539</v>
      </c>
    </row>
    <row r="161" spans="1:7" x14ac:dyDescent="0.3">
      <c r="A161" t="s">
        <v>549</v>
      </c>
      <c r="B161" t="s">
        <v>5959</v>
      </c>
      <c r="C161" t="s">
        <v>17</v>
      </c>
      <c r="D161" t="s">
        <v>5960</v>
      </c>
      <c r="E161" t="s">
        <v>238</v>
      </c>
      <c r="F161" t="s">
        <v>7233</v>
      </c>
      <c r="G161" t="s">
        <v>6540</v>
      </c>
    </row>
    <row r="162" spans="1:7" x14ac:dyDescent="0.3">
      <c r="A162" t="s">
        <v>550</v>
      </c>
      <c r="B162" t="s">
        <v>5959</v>
      </c>
      <c r="C162" t="s">
        <v>17</v>
      </c>
      <c r="D162" t="s">
        <v>5960</v>
      </c>
      <c r="E162" t="s">
        <v>261</v>
      </c>
      <c r="F162" t="s">
        <v>7234</v>
      </c>
      <c r="G162" t="s">
        <v>6541</v>
      </c>
    </row>
    <row r="163" spans="1:7" x14ac:dyDescent="0.3">
      <c r="A163" t="s">
        <v>551</v>
      </c>
      <c r="B163" t="s">
        <v>5959</v>
      </c>
      <c r="C163" t="s">
        <v>17</v>
      </c>
      <c r="D163" t="s">
        <v>5960</v>
      </c>
      <c r="E163" t="s">
        <v>260</v>
      </c>
      <c r="F163" t="s">
        <v>7235</v>
      </c>
      <c r="G163" t="s">
        <v>6542</v>
      </c>
    </row>
    <row r="164" spans="1:7" x14ac:dyDescent="0.3">
      <c r="A164" t="s">
        <v>552</v>
      </c>
      <c r="B164" t="s">
        <v>5959</v>
      </c>
      <c r="C164" t="s">
        <v>17</v>
      </c>
      <c r="D164" t="s">
        <v>5960</v>
      </c>
      <c r="E164" t="s">
        <v>270</v>
      </c>
      <c r="F164" t="s">
        <v>7236</v>
      </c>
      <c r="G164" t="s">
        <v>6543</v>
      </c>
    </row>
    <row r="165" spans="1:7" x14ac:dyDescent="0.3">
      <c r="A165" t="s">
        <v>553</v>
      </c>
      <c r="B165" t="s">
        <v>5959</v>
      </c>
      <c r="C165" t="s">
        <v>17</v>
      </c>
      <c r="D165" t="s">
        <v>5960</v>
      </c>
      <c r="E165" t="s">
        <v>251</v>
      </c>
      <c r="F165" t="s">
        <v>7237</v>
      </c>
      <c r="G165" t="s">
        <v>6544</v>
      </c>
    </row>
    <row r="166" spans="1:7" x14ac:dyDescent="0.3">
      <c r="A166" t="s">
        <v>554</v>
      </c>
      <c r="B166" t="s">
        <v>5959</v>
      </c>
      <c r="C166" t="s">
        <v>17</v>
      </c>
      <c r="D166" t="s">
        <v>5960</v>
      </c>
      <c r="E166" t="s">
        <v>259</v>
      </c>
      <c r="F166" t="s">
        <v>7238</v>
      </c>
      <c r="G166" t="s">
        <v>6545</v>
      </c>
    </row>
    <row r="167" spans="1:7" x14ac:dyDescent="0.3">
      <c r="A167" t="s">
        <v>555</v>
      </c>
      <c r="B167" t="s">
        <v>5959</v>
      </c>
      <c r="C167" t="s">
        <v>17</v>
      </c>
      <c r="D167" t="s">
        <v>5960</v>
      </c>
      <c r="E167" t="s">
        <v>6072</v>
      </c>
      <c r="F167" t="s">
        <v>7239</v>
      </c>
      <c r="G167" t="s">
        <v>6546</v>
      </c>
    </row>
    <row r="168" spans="1:7" x14ac:dyDescent="0.3">
      <c r="A168" t="s">
        <v>556</v>
      </c>
      <c r="B168" t="s">
        <v>5959</v>
      </c>
      <c r="C168" t="s">
        <v>17</v>
      </c>
      <c r="D168" t="s">
        <v>5960</v>
      </c>
      <c r="E168" t="s">
        <v>6074</v>
      </c>
      <c r="F168" t="s">
        <v>7240</v>
      </c>
      <c r="G168" t="s">
        <v>6547</v>
      </c>
    </row>
    <row r="169" spans="1:7" x14ac:dyDescent="0.3">
      <c r="A169" t="s">
        <v>557</v>
      </c>
      <c r="B169" t="s">
        <v>5959</v>
      </c>
      <c r="C169" t="s">
        <v>17</v>
      </c>
      <c r="D169" t="s">
        <v>5960</v>
      </c>
      <c r="E169" t="s">
        <v>290</v>
      </c>
      <c r="F169" t="s">
        <v>7241</v>
      </c>
      <c r="G169" t="s">
        <v>6548</v>
      </c>
    </row>
    <row r="170" spans="1:7" x14ac:dyDescent="0.3">
      <c r="A170" t="s">
        <v>558</v>
      </c>
      <c r="B170" t="s">
        <v>5959</v>
      </c>
      <c r="C170" t="s">
        <v>17</v>
      </c>
      <c r="D170" t="s">
        <v>5960</v>
      </c>
      <c r="E170" t="s">
        <v>300</v>
      </c>
      <c r="F170" t="s">
        <v>7242</v>
      </c>
      <c r="G170" t="s">
        <v>6549</v>
      </c>
    </row>
    <row r="171" spans="1:7" x14ac:dyDescent="0.3">
      <c r="A171" t="s">
        <v>559</v>
      </c>
      <c r="B171" t="s">
        <v>5959</v>
      </c>
      <c r="C171" t="s">
        <v>17</v>
      </c>
      <c r="D171" t="s">
        <v>5960</v>
      </c>
      <c r="E171" t="s">
        <v>300</v>
      </c>
      <c r="F171" t="s">
        <v>7243</v>
      </c>
      <c r="G171" t="s">
        <v>6550</v>
      </c>
    </row>
    <row r="172" spans="1:7" x14ac:dyDescent="0.3">
      <c r="A172" t="s">
        <v>560</v>
      </c>
      <c r="B172" t="s">
        <v>5959</v>
      </c>
      <c r="C172" t="s">
        <v>17</v>
      </c>
      <c r="D172" t="s">
        <v>5960</v>
      </c>
      <c r="E172" t="s">
        <v>300</v>
      </c>
      <c r="F172" t="s">
        <v>7244</v>
      </c>
      <c r="G172" t="s">
        <v>6551</v>
      </c>
    </row>
    <row r="173" spans="1:7" x14ac:dyDescent="0.3">
      <c r="A173" t="s">
        <v>561</v>
      </c>
      <c r="B173" t="s">
        <v>5959</v>
      </c>
      <c r="C173" t="s">
        <v>17</v>
      </c>
      <c r="D173" t="s">
        <v>5960</v>
      </c>
      <c r="E173" t="s">
        <v>300</v>
      </c>
      <c r="F173" t="s">
        <v>7245</v>
      </c>
      <c r="G173" t="s">
        <v>6552</v>
      </c>
    </row>
    <row r="174" spans="1:7" x14ac:dyDescent="0.3">
      <c r="A174" t="s">
        <v>562</v>
      </c>
      <c r="B174" t="s">
        <v>5959</v>
      </c>
      <c r="C174" t="s">
        <v>17</v>
      </c>
      <c r="D174" t="s">
        <v>5960</v>
      </c>
      <c r="E174" t="s">
        <v>300</v>
      </c>
      <c r="F174" t="s">
        <v>7246</v>
      </c>
      <c r="G174" t="s">
        <v>6553</v>
      </c>
    </row>
    <row r="175" spans="1:7" x14ac:dyDescent="0.3">
      <c r="A175" t="s">
        <v>563</v>
      </c>
      <c r="B175" t="s">
        <v>5959</v>
      </c>
      <c r="C175" t="s">
        <v>17</v>
      </c>
      <c r="D175" t="s">
        <v>5960</v>
      </c>
      <c r="E175" t="s">
        <v>300</v>
      </c>
      <c r="F175" t="s">
        <v>7247</v>
      </c>
      <c r="G175" t="s">
        <v>6554</v>
      </c>
    </row>
    <row r="176" spans="1:7" x14ac:dyDescent="0.3">
      <c r="A176" t="s">
        <v>564</v>
      </c>
      <c r="B176" t="s">
        <v>5959</v>
      </c>
      <c r="C176" t="s">
        <v>17</v>
      </c>
      <c r="D176" t="s">
        <v>5960</v>
      </c>
      <c r="E176" t="s">
        <v>300</v>
      </c>
      <c r="F176" t="s">
        <v>7248</v>
      </c>
      <c r="G176" t="s">
        <v>6555</v>
      </c>
    </row>
    <row r="177" spans="1:7" x14ac:dyDescent="0.3">
      <c r="A177" t="s">
        <v>565</v>
      </c>
      <c r="B177" t="s">
        <v>5959</v>
      </c>
      <c r="C177" t="s">
        <v>17</v>
      </c>
      <c r="D177" t="s">
        <v>5960</v>
      </c>
      <c r="E177" t="s">
        <v>300</v>
      </c>
      <c r="F177" t="s">
        <v>7249</v>
      </c>
      <c r="G177" t="s">
        <v>6556</v>
      </c>
    </row>
    <row r="178" spans="1:7" x14ac:dyDescent="0.3">
      <c r="A178" t="s">
        <v>566</v>
      </c>
      <c r="B178" t="s">
        <v>5959</v>
      </c>
      <c r="C178" t="s">
        <v>17</v>
      </c>
      <c r="D178" t="s">
        <v>5960</v>
      </c>
      <c r="E178" t="s">
        <v>300</v>
      </c>
      <c r="F178" t="s">
        <v>7250</v>
      </c>
      <c r="G178" t="s">
        <v>6557</v>
      </c>
    </row>
    <row r="179" spans="1:7" x14ac:dyDescent="0.3">
      <c r="A179" t="s">
        <v>567</v>
      </c>
      <c r="B179" t="s">
        <v>5959</v>
      </c>
      <c r="C179" t="s">
        <v>17</v>
      </c>
      <c r="D179" t="s">
        <v>5960</v>
      </c>
      <c r="E179" t="s">
        <v>300</v>
      </c>
      <c r="F179" t="s">
        <v>7251</v>
      </c>
      <c r="G179" t="s">
        <v>6558</v>
      </c>
    </row>
    <row r="180" spans="1:7" x14ac:dyDescent="0.3">
      <c r="A180" t="s">
        <v>568</v>
      </c>
      <c r="B180" t="s">
        <v>5959</v>
      </c>
      <c r="C180" t="s">
        <v>17</v>
      </c>
      <c r="D180" t="s">
        <v>5960</v>
      </c>
      <c r="E180" t="s">
        <v>300</v>
      </c>
      <c r="F180" t="s">
        <v>7252</v>
      </c>
      <c r="G180" t="s">
        <v>6559</v>
      </c>
    </row>
    <row r="181" spans="1:7" x14ac:dyDescent="0.3">
      <c r="A181" t="s">
        <v>569</v>
      </c>
      <c r="B181" t="s">
        <v>5959</v>
      </c>
      <c r="C181" t="s">
        <v>17</v>
      </c>
      <c r="D181" t="s">
        <v>5960</v>
      </c>
      <c r="E181" t="s">
        <v>300</v>
      </c>
      <c r="F181" t="s">
        <v>7253</v>
      </c>
      <c r="G181" t="s">
        <v>6560</v>
      </c>
    </row>
    <row r="182" spans="1:7" x14ac:dyDescent="0.3">
      <c r="A182" t="s">
        <v>570</v>
      </c>
      <c r="B182" t="s">
        <v>5959</v>
      </c>
      <c r="C182" t="s">
        <v>17</v>
      </c>
      <c r="D182" t="s">
        <v>5960</v>
      </c>
      <c r="E182" t="s">
        <v>300</v>
      </c>
      <c r="F182" t="s">
        <v>7254</v>
      </c>
      <c r="G182" t="s">
        <v>6561</v>
      </c>
    </row>
    <row r="183" spans="1:7" x14ac:dyDescent="0.3">
      <c r="A183" t="s">
        <v>571</v>
      </c>
      <c r="B183" t="s">
        <v>5959</v>
      </c>
      <c r="C183" t="s">
        <v>17</v>
      </c>
      <c r="D183" t="s">
        <v>5960</v>
      </c>
      <c r="E183" t="s">
        <v>300</v>
      </c>
      <c r="F183" t="s">
        <v>7255</v>
      </c>
      <c r="G183" t="s">
        <v>6562</v>
      </c>
    </row>
    <row r="184" spans="1:7" x14ac:dyDescent="0.3">
      <c r="A184" t="s">
        <v>572</v>
      </c>
      <c r="B184" t="s">
        <v>5959</v>
      </c>
      <c r="C184" t="s">
        <v>17</v>
      </c>
      <c r="D184" t="s">
        <v>5960</v>
      </c>
      <c r="E184" t="s">
        <v>300</v>
      </c>
      <c r="F184" t="s">
        <v>7256</v>
      </c>
      <c r="G184" t="s">
        <v>6563</v>
      </c>
    </row>
    <row r="185" spans="1:7" x14ac:dyDescent="0.3">
      <c r="A185" t="s">
        <v>573</v>
      </c>
      <c r="B185" t="s">
        <v>5959</v>
      </c>
      <c r="C185" t="s">
        <v>17</v>
      </c>
      <c r="D185" t="s">
        <v>5960</v>
      </c>
      <c r="E185" t="s">
        <v>28</v>
      </c>
      <c r="F185" t="s">
        <v>7257</v>
      </c>
      <c r="G185" t="s">
        <v>6564</v>
      </c>
    </row>
    <row r="186" spans="1:7" x14ac:dyDescent="0.3">
      <c r="A186" t="s">
        <v>574</v>
      </c>
      <c r="B186" t="s">
        <v>5959</v>
      </c>
      <c r="C186" t="s">
        <v>17</v>
      </c>
      <c r="D186" t="s">
        <v>5960</v>
      </c>
      <c r="E186" t="s">
        <v>355</v>
      </c>
      <c r="F186" t="s">
        <v>7258</v>
      </c>
      <c r="G186" t="s">
        <v>6565</v>
      </c>
    </row>
    <row r="187" spans="1:7" x14ac:dyDescent="0.3">
      <c r="A187" t="s">
        <v>575</v>
      </c>
      <c r="B187" t="s">
        <v>5959</v>
      </c>
      <c r="C187" t="s">
        <v>17</v>
      </c>
      <c r="D187" t="s">
        <v>5960</v>
      </c>
      <c r="E187" t="s">
        <v>351</v>
      </c>
      <c r="F187" t="s">
        <v>7259</v>
      </c>
      <c r="G187" t="s">
        <v>6566</v>
      </c>
    </row>
    <row r="188" spans="1:7" x14ac:dyDescent="0.3">
      <c r="A188" t="s">
        <v>576</v>
      </c>
      <c r="B188" t="s">
        <v>5959</v>
      </c>
      <c r="C188" t="s">
        <v>17</v>
      </c>
      <c r="D188" t="s">
        <v>5960</v>
      </c>
      <c r="E188" t="s">
        <v>362</v>
      </c>
      <c r="F188" t="s">
        <v>7260</v>
      </c>
      <c r="G188" t="s">
        <v>6567</v>
      </c>
    </row>
    <row r="189" spans="1:7" x14ac:dyDescent="0.3">
      <c r="A189" t="s">
        <v>577</v>
      </c>
      <c r="B189" t="s">
        <v>5959</v>
      </c>
      <c r="C189" t="s">
        <v>17</v>
      </c>
      <c r="D189" t="s">
        <v>5960</v>
      </c>
      <c r="E189" t="s">
        <v>6082</v>
      </c>
      <c r="F189" t="s">
        <v>7261</v>
      </c>
      <c r="G189" t="s">
        <v>6568</v>
      </c>
    </row>
    <row r="190" spans="1:7" x14ac:dyDescent="0.3">
      <c r="A190" t="s">
        <v>578</v>
      </c>
      <c r="B190" t="s">
        <v>5959</v>
      </c>
      <c r="C190" t="s">
        <v>17</v>
      </c>
      <c r="D190" t="s">
        <v>5960</v>
      </c>
      <c r="E190" t="s">
        <v>213</v>
      </c>
      <c r="F190" t="s">
        <v>7262</v>
      </c>
      <c r="G190" t="s">
        <v>6569</v>
      </c>
    </row>
    <row r="191" spans="1:7" x14ac:dyDescent="0.3">
      <c r="A191" t="s">
        <v>579</v>
      </c>
      <c r="B191" t="s">
        <v>5959</v>
      </c>
      <c r="C191" t="s">
        <v>17</v>
      </c>
      <c r="D191" t="s">
        <v>5960</v>
      </c>
      <c r="E191" t="s">
        <v>218</v>
      </c>
      <c r="F191" t="s">
        <v>7263</v>
      </c>
      <c r="G191" t="s">
        <v>6570</v>
      </c>
    </row>
    <row r="192" spans="1:7" x14ac:dyDescent="0.3">
      <c r="A192" t="s">
        <v>580</v>
      </c>
      <c r="B192" t="s">
        <v>5959</v>
      </c>
      <c r="C192" t="s">
        <v>17</v>
      </c>
      <c r="D192" t="s">
        <v>5960</v>
      </c>
      <c r="E192" t="s">
        <v>29</v>
      </c>
      <c r="F192" t="s">
        <v>7264</v>
      </c>
      <c r="G192" t="s">
        <v>6571</v>
      </c>
    </row>
    <row r="193" spans="1:7" x14ac:dyDescent="0.3">
      <c r="A193" t="s">
        <v>581</v>
      </c>
      <c r="B193" t="s">
        <v>5959</v>
      </c>
      <c r="C193" t="s">
        <v>17</v>
      </c>
      <c r="D193" t="s">
        <v>5960</v>
      </c>
      <c r="E193" t="s">
        <v>16</v>
      </c>
      <c r="F193" t="s">
        <v>7265</v>
      </c>
      <c r="G193" t="s">
        <v>6572</v>
      </c>
    </row>
    <row r="194" spans="1:7" x14ac:dyDescent="0.3">
      <c r="A194" t="s">
        <v>582</v>
      </c>
      <c r="B194" t="s">
        <v>5959</v>
      </c>
      <c r="C194" t="s">
        <v>17</v>
      </c>
      <c r="D194" t="s">
        <v>5960</v>
      </c>
      <c r="E194" t="s">
        <v>39</v>
      </c>
      <c r="F194" t="s">
        <v>7266</v>
      </c>
      <c r="G194" t="s">
        <v>6573</v>
      </c>
    </row>
    <row r="195" spans="1:7" x14ac:dyDescent="0.3">
      <c r="A195" t="s">
        <v>583</v>
      </c>
      <c r="B195" t="s">
        <v>5959</v>
      </c>
      <c r="C195" t="s">
        <v>17</v>
      </c>
      <c r="D195" t="s">
        <v>5960</v>
      </c>
      <c r="E195" t="s">
        <v>42</v>
      </c>
      <c r="F195" t="s">
        <v>7267</v>
      </c>
      <c r="G195" t="s">
        <v>6574</v>
      </c>
    </row>
    <row r="196" spans="1:7" x14ac:dyDescent="0.3">
      <c r="A196" t="s">
        <v>584</v>
      </c>
      <c r="B196" t="s">
        <v>5959</v>
      </c>
      <c r="C196" t="s">
        <v>17</v>
      </c>
      <c r="D196" t="s">
        <v>5960</v>
      </c>
      <c r="E196" t="s">
        <v>6010</v>
      </c>
      <c r="F196" t="s">
        <v>7268</v>
      </c>
      <c r="G196" t="s">
        <v>6575</v>
      </c>
    </row>
    <row r="197" spans="1:7" x14ac:dyDescent="0.3">
      <c r="A197" t="s">
        <v>585</v>
      </c>
      <c r="B197" t="s">
        <v>5959</v>
      </c>
      <c r="C197" t="s">
        <v>17</v>
      </c>
      <c r="D197" t="s">
        <v>5960</v>
      </c>
      <c r="E197" t="s">
        <v>48</v>
      </c>
      <c r="F197" t="s">
        <v>7269</v>
      </c>
      <c r="G197" t="s">
        <v>6576</v>
      </c>
    </row>
    <row r="198" spans="1:7" x14ac:dyDescent="0.3">
      <c r="A198" t="s">
        <v>586</v>
      </c>
      <c r="B198" t="s">
        <v>5959</v>
      </c>
      <c r="C198" t="s">
        <v>17</v>
      </c>
      <c r="D198" t="s">
        <v>5960</v>
      </c>
      <c r="E198" t="s">
        <v>49</v>
      </c>
      <c r="F198" t="s">
        <v>7270</v>
      </c>
      <c r="G198" t="s">
        <v>6577</v>
      </c>
    </row>
    <row r="199" spans="1:7" x14ac:dyDescent="0.3">
      <c r="A199" t="s">
        <v>587</v>
      </c>
      <c r="B199" t="s">
        <v>5959</v>
      </c>
      <c r="C199" t="s">
        <v>17</v>
      </c>
      <c r="D199" t="s">
        <v>5960</v>
      </c>
      <c r="E199" t="s">
        <v>25</v>
      </c>
      <c r="F199" t="s">
        <v>7271</v>
      </c>
      <c r="G199" t="s">
        <v>6578</v>
      </c>
    </row>
    <row r="200" spans="1:7" x14ac:dyDescent="0.3">
      <c r="A200" t="s">
        <v>588</v>
      </c>
      <c r="B200" t="s">
        <v>5959</v>
      </c>
      <c r="C200" t="s">
        <v>17</v>
      </c>
      <c r="D200" t="s">
        <v>5960</v>
      </c>
      <c r="E200" t="s">
        <v>58</v>
      </c>
      <c r="F200" t="s">
        <v>7272</v>
      </c>
      <c r="G200" t="s">
        <v>6579</v>
      </c>
    </row>
    <row r="201" spans="1:7" x14ac:dyDescent="0.3">
      <c r="A201" t="s">
        <v>589</v>
      </c>
      <c r="B201" t="s">
        <v>5959</v>
      </c>
      <c r="C201" t="s">
        <v>17</v>
      </c>
      <c r="D201" t="s">
        <v>5960</v>
      </c>
      <c r="E201" t="s">
        <v>53</v>
      </c>
      <c r="F201" t="s">
        <v>7273</v>
      </c>
      <c r="G201" t="s">
        <v>6580</v>
      </c>
    </row>
    <row r="202" spans="1:7" x14ac:dyDescent="0.3">
      <c r="A202" t="s">
        <v>590</v>
      </c>
      <c r="B202" t="s">
        <v>5959</v>
      </c>
      <c r="C202" t="s">
        <v>17</v>
      </c>
      <c r="D202" t="s">
        <v>5960</v>
      </c>
      <c r="E202" t="s">
        <v>21</v>
      </c>
      <c r="F202" t="s">
        <v>7274</v>
      </c>
      <c r="G202" t="s">
        <v>6581</v>
      </c>
    </row>
    <row r="203" spans="1:7" x14ac:dyDescent="0.3">
      <c r="A203" t="s">
        <v>591</v>
      </c>
      <c r="B203" t="s">
        <v>5959</v>
      </c>
      <c r="C203" t="s">
        <v>17</v>
      </c>
      <c r="D203" t="s">
        <v>5960</v>
      </c>
      <c r="E203" t="s">
        <v>57</v>
      </c>
      <c r="F203" t="s">
        <v>7274</v>
      </c>
      <c r="G203" t="s">
        <v>6582</v>
      </c>
    </row>
    <row r="204" spans="1:7" x14ac:dyDescent="0.3">
      <c r="A204" t="s">
        <v>592</v>
      </c>
      <c r="B204" t="s">
        <v>5959</v>
      </c>
      <c r="C204" t="s">
        <v>17</v>
      </c>
      <c r="D204" t="s">
        <v>5960</v>
      </c>
      <c r="E204" t="s">
        <v>83</v>
      </c>
      <c r="F204" t="s">
        <v>7274</v>
      </c>
      <c r="G204" t="s">
        <v>6583</v>
      </c>
    </row>
    <row r="205" spans="1:7" x14ac:dyDescent="0.3">
      <c r="A205" t="s">
        <v>593</v>
      </c>
      <c r="B205" t="s">
        <v>5959</v>
      </c>
      <c r="C205" t="s">
        <v>17</v>
      </c>
      <c r="D205" t="s">
        <v>5960</v>
      </c>
      <c r="E205" t="s">
        <v>77</v>
      </c>
      <c r="F205" t="s">
        <v>7274</v>
      </c>
      <c r="G205" t="s">
        <v>6584</v>
      </c>
    </row>
    <row r="206" spans="1:7" x14ac:dyDescent="0.3">
      <c r="A206" t="s">
        <v>594</v>
      </c>
      <c r="B206" t="s">
        <v>5959</v>
      </c>
      <c r="C206" t="s">
        <v>17</v>
      </c>
      <c r="D206" t="s">
        <v>5960</v>
      </c>
      <c r="E206" t="s">
        <v>100</v>
      </c>
      <c r="F206" t="s">
        <v>7274</v>
      </c>
      <c r="G206" t="s">
        <v>6585</v>
      </c>
    </row>
    <row r="207" spans="1:7" x14ac:dyDescent="0.3">
      <c r="A207" t="s">
        <v>595</v>
      </c>
      <c r="B207" t="s">
        <v>5959</v>
      </c>
      <c r="C207" t="s">
        <v>17</v>
      </c>
      <c r="D207" t="s">
        <v>5960</v>
      </c>
      <c r="E207" t="s">
        <v>73</v>
      </c>
      <c r="F207" t="s">
        <v>7274</v>
      </c>
      <c r="G207" t="s">
        <v>6586</v>
      </c>
    </row>
    <row r="208" spans="1:7" x14ac:dyDescent="0.3">
      <c r="A208" t="s">
        <v>596</v>
      </c>
      <c r="B208" t="s">
        <v>5959</v>
      </c>
      <c r="C208" t="s">
        <v>17</v>
      </c>
      <c r="D208" t="s">
        <v>5960</v>
      </c>
      <c r="E208" t="s">
        <v>82</v>
      </c>
      <c r="F208" t="s">
        <v>7274</v>
      </c>
      <c r="G208" t="s">
        <v>6587</v>
      </c>
    </row>
    <row r="209" spans="1:7" x14ac:dyDescent="0.3">
      <c r="A209" t="s">
        <v>597</v>
      </c>
      <c r="B209" t="s">
        <v>5959</v>
      </c>
      <c r="C209" t="s">
        <v>17</v>
      </c>
      <c r="D209" t="s">
        <v>5960</v>
      </c>
      <c r="E209" t="s">
        <v>6024</v>
      </c>
      <c r="F209" t="s">
        <v>7274</v>
      </c>
      <c r="G209" t="s">
        <v>6588</v>
      </c>
    </row>
    <row r="210" spans="1:7" x14ac:dyDescent="0.3">
      <c r="A210" t="s">
        <v>598</v>
      </c>
      <c r="B210" t="s">
        <v>5959</v>
      </c>
      <c r="C210" t="s">
        <v>17</v>
      </c>
      <c r="D210" t="s">
        <v>5960</v>
      </c>
      <c r="E210" t="s">
        <v>93</v>
      </c>
      <c r="F210" t="s">
        <v>7274</v>
      </c>
      <c r="G210" t="s">
        <v>6589</v>
      </c>
    </row>
    <row r="211" spans="1:7" x14ac:dyDescent="0.3">
      <c r="A211" t="s">
        <v>599</v>
      </c>
      <c r="B211" t="s">
        <v>5959</v>
      </c>
      <c r="C211" t="s">
        <v>17</v>
      </c>
      <c r="D211" t="s">
        <v>5960</v>
      </c>
      <c r="E211" t="s">
        <v>6027</v>
      </c>
      <c r="F211" t="s">
        <v>7274</v>
      </c>
      <c r="G211" t="s">
        <v>6590</v>
      </c>
    </row>
    <row r="212" spans="1:7" x14ac:dyDescent="0.3">
      <c r="A212" t="s">
        <v>600</v>
      </c>
      <c r="B212" t="s">
        <v>5959</v>
      </c>
      <c r="C212" t="s">
        <v>17</v>
      </c>
      <c r="D212" t="s">
        <v>5960</v>
      </c>
      <c r="E212" t="s">
        <v>102</v>
      </c>
      <c r="F212" t="s">
        <v>7274</v>
      </c>
      <c r="G212" t="s">
        <v>6591</v>
      </c>
    </row>
    <row r="213" spans="1:7" x14ac:dyDescent="0.3">
      <c r="A213" t="s">
        <v>601</v>
      </c>
      <c r="B213" t="s">
        <v>5959</v>
      </c>
      <c r="C213" t="s">
        <v>17</v>
      </c>
      <c r="D213" t="s">
        <v>5960</v>
      </c>
      <c r="E213" t="s">
        <v>6030</v>
      </c>
      <c r="F213" t="s">
        <v>7274</v>
      </c>
      <c r="G213" t="s">
        <v>6592</v>
      </c>
    </row>
    <row r="214" spans="1:7" x14ac:dyDescent="0.3">
      <c r="A214" t="s">
        <v>602</v>
      </c>
      <c r="B214" t="s">
        <v>5959</v>
      </c>
      <c r="C214" t="s">
        <v>17</v>
      </c>
      <c r="D214" t="s">
        <v>5960</v>
      </c>
      <c r="E214" t="s">
        <v>108</v>
      </c>
      <c r="F214" t="s">
        <v>7274</v>
      </c>
      <c r="G214" t="s">
        <v>6593</v>
      </c>
    </row>
    <row r="215" spans="1:7" x14ac:dyDescent="0.3">
      <c r="A215" t="s">
        <v>603</v>
      </c>
      <c r="B215" t="s">
        <v>5959</v>
      </c>
      <c r="C215" t="s">
        <v>17</v>
      </c>
      <c r="D215" t="s">
        <v>5960</v>
      </c>
      <c r="E215" t="s">
        <v>103</v>
      </c>
      <c r="F215" t="s">
        <v>7274</v>
      </c>
      <c r="G215" t="s">
        <v>6594</v>
      </c>
    </row>
    <row r="216" spans="1:7" x14ac:dyDescent="0.3">
      <c r="A216" t="s">
        <v>604</v>
      </c>
      <c r="B216" t="s">
        <v>5959</v>
      </c>
      <c r="C216" t="s">
        <v>17</v>
      </c>
      <c r="D216" t="s">
        <v>5960</v>
      </c>
      <c r="E216" t="s">
        <v>117</v>
      </c>
      <c r="F216" t="s">
        <v>7274</v>
      </c>
      <c r="G216" t="s">
        <v>6595</v>
      </c>
    </row>
    <row r="217" spans="1:7" x14ac:dyDescent="0.3">
      <c r="A217" t="s">
        <v>605</v>
      </c>
      <c r="B217" t="s">
        <v>5959</v>
      </c>
      <c r="C217" t="s">
        <v>17</v>
      </c>
      <c r="D217" t="s">
        <v>5960</v>
      </c>
      <c r="E217" t="s">
        <v>126</v>
      </c>
      <c r="F217" t="s">
        <v>7275</v>
      </c>
      <c r="G217" t="s">
        <v>6596</v>
      </c>
    </row>
    <row r="218" spans="1:7" x14ac:dyDescent="0.3">
      <c r="A218" t="s">
        <v>606</v>
      </c>
      <c r="B218" t="s">
        <v>5959</v>
      </c>
      <c r="C218" t="s">
        <v>17</v>
      </c>
      <c r="D218" t="s">
        <v>5960</v>
      </c>
      <c r="E218" t="s">
        <v>119</v>
      </c>
      <c r="F218" t="s">
        <v>7276</v>
      </c>
      <c r="G218" t="s">
        <v>6597</v>
      </c>
    </row>
    <row r="219" spans="1:7" x14ac:dyDescent="0.3">
      <c r="A219" t="s">
        <v>607</v>
      </c>
      <c r="B219" t="s">
        <v>5959</v>
      </c>
      <c r="C219" t="s">
        <v>17</v>
      </c>
      <c r="D219" t="s">
        <v>5960</v>
      </c>
      <c r="E219" t="s">
        <v>135</v>
      </c>
      <c r="F219" t="s">
        <v>7277</v>
      </c>
      <c r="G219" t="s">
        <v>6598</v>
      </c>
    </row>
    <row r="220" spans="1:7" x14ac:dyDescent="0.3">
      <c r="A220" t="s">
        <v>608</v>
      </c>
      <c r="B220" t="s">
        <v>5959</v>
      </c>
      <c r="C220" t="s">
        <v>17</v>
      </c>
      <c r="D220" t="s">
        <v>5960</v>
      </c>
      <c r="E220" t="s">
        <v>145</v>
      </c>
      <c r="F220" t="s">
        <v>7278</v>
      </c>
      <c r="G220" t="s">
        <v>6599</v>
      </c>
    </row>
    <row r="221" spans="1:7" x14ac:dyDescent="0.3">
      <c r="A221" t="s">
        <v>609</v>
      </c>
      <c r="B221" t="s">
        <v>5959</v>
      </c>
      <c r="C221" t="s">
        <v>17</v>
      </c>
      <c r="D221" t="s">
        <v>5960</v>
      </c>
      <c r="E221" t="s">
        <v>6039</v>
      </c>
      <c r="F221" t="s">
        <v>7279</v>
      </c>
      <c r="G221" t="s">
        <v>6600</v>
      </c>
    </row>
    <row r="222" spans="1:7" x14ac:dyDescent="0.3">
      <c r="A222" t="s">
        <v>610</v>
      </c>
      <c r="B222" t="s">
        <v>5959</v>
      </c>
      <c r="C222" t="s">
        <v>17</v>
      </c>
      <c r="D222" t="s">
        <v>5960</v>
      </c>
      <c r="E222" t="s">
        <v>6041</v>
      </c>
      <c r="F222" t="s">
        <v>7280</v>
      </c>
      <c r="G222" t="s">
        <v>6601</v>
      </c>
    </row>
    <row r="223" spans="1:7" x14ac:dyDescent="0.3">
      <c r="A223" t="s">
        <v>611</v>
      </c>
      <c r="B223" t="s">
        <v>5959</v>
      </c>
      <c r="C223" t="s">
        <v>17</v>
      </c>
      <c r="D223" t="s">
        <v>5960</v>
      </c>
      <c r="E223" t="s">
        <v>157</v>
      </c>
      <c r="F223" t="s">
        <v>7281</v>
      </c>
      <c r="G223" t="s">
        <v>6602</v>
      </c>
    </row>
    <row r="224" spans="1:7" x14ac:dyDescent="0.3">
      <c r="A224" t="s">
        <v>612</v>
      </c>
      <c r="B224" t="s">
        <v>5959</v>
      </c>
      <c r="C224" t="s">
        <v>17</v>
      </c>
      <c r="D224" t="s">
        <v>5960</v>
      </c>
      <c r="E224" t="s">
        <v>151</v>
      </c>
      <c r="F224" t="s">
        <v>7282</v>
      </c>
      <c r="G224" t="s">
        <v>6603</v>
      </c>
    </row>
    <row r="225" spans="1:7" x14ac:dyDescent="0.3">
      <c r="A225" t="s">
        <v>613</v>
      </c>
      <c r="B225" t="s">
        <v>5959</v>
      </c>
      <c r="C225" t="s">
        <v>17</v>
      </c>
      <c r="D225" t="s">
        <v>5960</v>
      </c>
      <c r="E225" t="s">
        <v>160</v>
      </c>
      <c r="F225" t="s">
        <v>7282</v>
      </c>
      <c r="G225" t="s">
        <v>6604</v>
      </c>
    </row>
    <row r="226" spans="1:7" x14ac:dyDescent="0.3">
      <c r="A226" t="s">
        <v>614</v>
      </c>
      <c r="B226" t="s">
        <v>5959</v>
      </c>
      <c r="C226" t="s">
        <v>17</v>
      </c>
      <c r="D226" t="s">
        <v>5960</v>
      </c>
      <c r="E226" t="s">
        <v>162</v>
      </c>
      <c r="F226" t="s">
        <v>7282</v>
      </c>
      <c r="G226" t="s">
        <v>6605</v>
      </c>
    </row>
    <row r="227" spans="1:7" x14ac:dyDescent="0.3">
      <c r="A227" t="s">
        <v>615</v>
      </c>
      <c r="B227" t="s">
        <v>5959</v>
      </c>
      <c r="C227" t="s">
        <v>17</v>
      </c>
      <c r="D227" t="s">
        <v>5960</v>
      </c>
      <c r="E227" t="s">
        <v>136</v>
      </c>
      <c r="F227" t="s">
        <v>7282</v>
      </c>
      <c r="G227" t="s">
        <v>6606</v>
      </c>
    </row>
    <row r="228" spans="1:7" x14ac:dyDescent="0.3">
      <c r="A228" t="s">
        <v>616</v>
      </c>
      <c r="B228" t="s">
        <v>5959</v>
      </c>
      <c r="C228" t="s">
        <v>17</v>
      </c>
      <c r="D228" t="s">
        <v>5960</v>
      </c>
      <c r="E228" t="s">
        <v>178</v>
      </c>
      <c r="F228" t="s">
        <v>7282</v>
      </c>
      <c r="G228" t="s">
        <v>6607</v>
      </c>
    </row>
    <row r="229" spans="1:7" x14ac:dyDescent="0.3">
      <c r="A229" t="s">
        <v>617</v>
      </c>
      <c r="B229" t="s">
        <v>5959</v>
      </c>
      <c r="C229" t="s">
        <v>17</v>
      </c>
      <c r="D229" t="s">
        <v>5960</v>
      </c>
      <c r="E229" t="s">
        <v>179</v>
      </c>
      <c r="F229" t="s">
        <v>7282</v>
      </c>
      <c r="G229" t="s">
        <v>6608</v>
      </c>
    </row>
    <row r="230" spans="1:7" x14ac:dyDescent="0.3">
      <c r="A230" t="s">
        <v>618</v>
      </c>
      <c r="B230" t="s">
        <v>5959</v>
      </c>
      <c r="C230" t="s">
        <v>17</v>
      </c>
      <c r="D230" t="s">
        <v>5960</v>
      </c>
      <c r="E230" t="s">
        <v>167</v>
      </c>
      <c r="F230" t="s">
        <v>7282</v>
      </c>
      <c r="G230" t="s">
        <v>6609</v>
      </c>
    </row>
    <row r="231" spans="1:7" x14ac:dyDescent="0.3">
      <c r="A231" t="s">
        <v>619</v>
      </c>
      <c r="B231" t="s">
        <v>5959</v>
      </c>
      <c r="C231" t="s">
        <v>17</v>
      </c>
      <c r="D231" t="s">
        <v>5960</v>
      </c>
      <c r="E231" t="s">
        <v>6051</v>
      </c>
      <c r="F231" t="s">
        <v>7282</v>
      </c>
      <c r="G231" t="s">
        <v>6610</v>
      </c>
    </row>
    <row r="232" spans="1:7" x14ac:dyDescent="0.3">
      <c r="A232" t="s">
        <v>620</v>
      </c>
      <c r="B232" t="s">
        <v>5959</v>
      </c>
      <c r="C232" t="s">
        <v>17</v>
      </c>
      <c r="D232" t="s">
        <v>5960</v>
      </c>
      <c r="E232" t="s">
        <v>166</v>
      </c>
      <c r="F232" t="s">
        <v>7282</v>
      </c>
      <c r="G232" t="s">
        <v>6611</v>
      </c>
    </row>
    <row r="233" spans="1:7" x14ac:dyDescent="0.3">
      <c r="A233" t="s">
        <v>621</v>
      </c>
      <c r="B233" t="s">
        <v>5959</v>
      </c>
      <c r="C233" t="s">
        <v>17</v>
      </c>
      <c r="D233" t="s">
        <v>5960</v>
      </c>
      <c r="E233" t="s">
        <v>184</v>
      </c>
      <c r="F233" t="s">
        <v>7282</v>
      </c>
      <c r="G233" t="s">
        <v>6612</v>
      </c>
    </row>
    <row r="234" spans="1:7" x14ac:dyDescent="0.3">
      <c r="A234" t="s">
        <v>622</v>
      </c>
      <c r="B234" t="s">
        <v>5959</v>
      </c>
      <c r="C234" t="s">
        <v>17</v>
      </c>
      <c r="D234" t="s">
        <v>5960</v>
      </c>
      <c r="E234" t="s">
        <v>174</v>
      </c>
      <c r="F234" t="s">
        <v>7282</v>
      </c>
      <c r="G234" t="s">
        <v>6613</v>
      </c>
    </row>
    <row r="235" spans="1:7" x14ac:dyDescent="0.3">
      <c r="A235" t="s">
        <v>623</v>
      </c>
      <c r="B235" t="s">
        <v>5959</v>
      </c>
      <c r="C235" t="s">
        <v>17</v>
      </c>
      <c r="D235" t="s">
        <v>5960</v>
      </c>
      <c r="E235" t="s">
        <v>6056</v>
      </c>
      <c r="F235" t="s">
        <v>7282</v>
      </c>
      <c r="G235" t="s">
        <v>6614</v>
      </c>
    </row>
    <row r="236" spans="1:7" x14ac:dyDescent="0.3">
      <c r="A236" t="s">
        <v>624</v>
      </c>
      <c r="B236" t="s">
        <v>5959</v>
      </c>
      <c r="C236" t="s">
        <v>17</v>
      </c>
      <c r="D236" t="s">
        <v>5960</v>
      </c>
      <c r="E236" t="s">
        <v>240</v>
      </c>
      <c r="F236" t="s">
        <v>7282</v>
      </c>
      <c r="G236" t="s">
        <v>6615</v>
      </c>
    </row>
    <row r="237" spans="1:7" x14ac:dyDescent="0.3">
      <c r="A237" t="s">
        <v>625</v>
      </c>
      <c r="B237" t="s">
        <v>5959</v>
      </c>
      <c r="C237" t="s">
        <v>17</v>
      </c>
      <c r="D237" t="s">
        <v>5960</v>
      </c>
      <c r="E237" t="s">
        <v>226</v>
      </c>
      <c r="F237" t="s">
        <v>7282</v>
      </c>
      <c r="G237" t="s">
        <v>6616</v>
      </c>
    </row>
    <row r="238" spans="1:7" x14ac:dyDescent="0.3">
      <c r="A238" t="s">
        <v>626</v>
      </c>
      <c r="B238" t="s">
        <v>5959</v>
      </c>
      <c r="C238" t="s">
        <v>17</v>
      </c>
      <c r="D238" t="s">
        <v>5960</v>
      </c>
      <c r="E238" t="s">
        <v>227</v>
      </c>
      <c r="F238" t="s">
        <v>7283</v>
      </c>
      <c r="G238" t="s">
        <v>6617</v>
      </c>
    </row>
    <row r="239" spans="1:7" x14ac:dyDescent="0.3">
      <c r="A239" t="s">
        <v>627</v>
      </c>
      <c r="B239" t="s">
        <v>5959</v>
      </c>
      <c r="C239" t="s">
        <v>17</v>
      </c>
      <c r="D239" t="s">
        <v>5960</v>
      </c>
      <c r="E239" t="s">
        <v>229</v>
      </c>
      <c r="F239" t="s">
        <v>7284</v>
      </c>
      <c r="G239" t="s">
        <v>6618</v>
      </c>
    </row>
    <row r="240" spans="1:7" x14ac:dyDescent="0.3">
      <c r="A240" t="s">
        <v>628</v>
      </c>
      <c r="B240" t="s">
        <v>5959</v>
      </c>
      <c r="C240" t="s">
        <v>17</v>
      </c>
      <c r="D240" t="s">
        <v>5960</v>
      </c>
      <c r="E240" t="s">
        <v>6062</v>
      </c>
      <c r="F240" t="s">
        <v>7285</v>
      </c>
      <c r="G240" t="s">
        <v>6619</v>
      </c>
    </row>
    <row r="241" spans="1:7" x14ac:dyDescent="0.3">
      <c r="A241" t="s">
        <v>629</v>
      </c>
      <c r="B241" t="s">
        <v>5959</v>
      </c>
      <c r="C241" t="s">
        <v>17</v>
      </c>
      <c r="D241" t="s">
        <v>5960</v>
      </c>
      <c r="E241" t="s">
        <v>219</v>
      </c>
      <c r="F241" t="s">
        <v>7286</v>
      </c>
      <c r="G241" t="s">
        <v>6620</v>
      </c>
    </row>
    <row r="242" spans="1:7" x14ac:dyDescent="0.3">
      <c r="A242" t="s">
        <v>630</v>
      </c>
      <c r="B242" t="s">
        <v>5959</v>
      </c>
      <c r="C242" t="s">
        <v>17</v>
      </c>
      <c r="D242" t="s">
        <v>5960</v>
      </c>
      <c r="E242" t="s">
        <v>250</v>
      </c>
      <c r="F242" t="s">
        <v>7287</v>
      </c>
      <c r="G242" t="s">
        <v>6621</v>
      </c>
    </row>
    <row r="243" spans="1:7" x14ac:dyDescent="0.3">
      <c r="A243" t="s">
        <v>631</v>
      </c>
      <c r="B243" t="s">
        <v>5959</v>
      </c>
      <c r="C243" t="s">
        <v>17</v>
      </c>
      <c r="D243" t="s">
        <v>5960</v>
      </c>
      <c r="E243" t="s">
        <v>238</v>
      </c>
      <c r="F243" t="s">
        <v>7288</v>
      </c>
      <c r="G243" t="s">
        <v>6622</v>
      </c>
    </row>
    <row r="244" spans="1:7" x14ac:dyDescent="0.3">
      <c r="A244" t="s">
        <v>632</v>
      </c>
      <c r="B244" t="s">
        <v>5959</v>
      </c>
      <c r="C244" t="s">
        <v>17</v>
      </c>
      <c r="D244" t="s">
        <v>5960</v>
      </c>
      <c r="E244" t="s">
        <v>261</v>
      </c>
      <c r="F244" t="s">
        <v>7289</v>
      </c>
      <c r="G244" t="s">
        <v>6623</v>
      </c>
    </row>
    <row r="245" spans="1:7" x14ac:dyDescent="0.3">
      <c r="A245" t="s">
        <v>633</v>
      </c>
      <c r="B245" t="s">
        <v>5959</v>
      </c>
      <c r="C245" t="s">
        <v>17</v>
      </c>
      <c r="D245" t="s">
        <v>5960</v>
      </c>
      <c r="E245" t="s">
        <v>260</v>
      </c>
      <c r="F245" t="s">
        <v>7290</v>
      </c>
      <c r="G245" t="s">
        <v>6624</v>
      </c>
    </row>
    <row r="246" spans="1:7" x14ac:dyDescent="0.3">
      <c r="A246" t="s">
        <v>634</v>
      </c>
      <c r="B246" t="s">
        <v>5959</v>
      </c>
      <c r="C246" t="s">
        <v>17</v>
      </c>
      <c r="D246" t="s">
        <v>5960</v>
      </c>
      <c r="E246" t="s">
        <v>270</v>
      </c>
      <c r="F246" t="s">
        <v>7291</v>
      </c>
      <c r="G246" t="s">
        <v>6625</v>
      </c>
    </row>
    <row r="247" spans="1:7" x14ac:dyDescent="0.3">
      <c r="A247" t="s">
        <v>635</v>
      </c>
      <c r="B247" t="s">
        <v>5959</v>
      </c>
      <c r="C247" t="s">
        <v>17</v>
      </c>
      <c r="D247" t="s">
        <v>5960</v>
      </c>
      <c r="E247" t="s">
        <v>251</v>
      </c>
      <c r="F247" t="s">
        <v>7292</v>
      </c>
      <c r="G247" t="s">
        <v>6626</v>
      </c>
    </row>
    <row r="248" spans="1:7" x14ac:dyDescent="0.3">
      <c r="A248" t="s">
        <v>636</v>
      </c>
      <c r="B248" t="s">
        <v>5959</v>
      </c>
      <c r="C248" t="s">
        <v>17</v>
      </c>
      <c r="D248" t="s">
        <v>5960</v>
      </c>
      <c r="E248" t="s">
        <v>259</v>
      </c>
      <c r="F248" t="s">
        <v>7293</v>
      </c>
      <c r="G248" t="s">
        <v>6627</v>
      </c>
    </row>
    <row r="249" spans="1:7" x14ac:dyDescent="0.3">
      <c r="A249" t="s">
        <v>637</v>
      </c>
      <c r="B249" t="s">
        <v>5959</v>
      </c>
      <c r="C249" t="s">
        <v>17</v>
      </c>
      <c r="D249" t="s">
        <v>5960</v>
      </c>
      <c r="E249" t="s">
        <v>6072</v>
      </c>
      <c r="F249" t="s">
        <v>7294</v>
      </c>
      <c r="G249" t="s">
        <v>6628</v>
      </c>
    </row>
    <row r="250" spans="1:7" x14ac:dyDescent="0.3">
      <c r="A250" t="s">
        <v>638</v>
      </c>
      <c r="B250" t="s">
        <v>5959</v>
      </c>
      <c r="C250" t="s">
        <v>17</v>
      </c>
      <c r="D250" t="s">
        <v>5960</v>
      </c>
      <c r="E250" t="s">
        <v>6074</v>
      </c>
      <c r="F250" t="s">
        <v>7295</v>
      </c>
      <c r="G250" t="s">
        <v>6629</v>
      </c>
    </row>
    <row r="251" spans="1:7" x14ac:dyDescent="0.3">
      <c r="A251" t="s">
        <v>639</v>
      </c>
      <c r="B251" t="s">
        <v>5959</v>
      </c>
      <c r="C251" t="s">
        <v>17</v>
      </c>
      <c r="D251" t="s">
        <v>5960</v>
      </c>
      <c r="E251" t="s">
        <v>290</v>
      </c>
      <c r="F251" t="s">
        <v>7296</v>
      </c>
      <c r="G251" t="s">
        <v>6630</v>
      </c>
    </row>
    <row r="252" spans="1:7" x14ac:dyDescent="0.3">
      <c r="A252" t="s">
        <v>640</v>
      </c>
      <c r="B252" t="s">
        <v>5959</v>
      </c>
      <c r="C252" t="s">
        <v>17</v>
      </c>
      <c r="D252" t="s">
        <v>5960</v>
      </c>
      <c r="E252" t="s">
        <v>300</v>
      </c>
      <c r="F252" t="s">
        <v>7297</v>
      </c>
      <c r="G252" t="s">
        <v>6631</v>
      </c>
    </row>
    <row r="253" spans="1:7" x14ac:dyDescent="0.3">
      <c r="A253" t="s">
        <v>641</v>
      </c>
      <c r="B253" t="s">
        <v>5959</v>
      </c>
      <c r="C253" t="s">
        <v>17</v>
      </c>
      <c r="D253" t="s">
        <v>5960</v>
      </c>
      <c r="E253" t="s">
        <v>300</v>
      </c>
      <c r="F253" t="s">
        <v>7298</v>
      </c>
      <c r="G253" t="s">
        <v>6632</v>
      </c>
    </row>
    <row r="254" spans="1:7" x14ac:dyDescent="0.3">
      <c r="A254" t="s">
        <v>642</v>
      </c>
      <c r="B254" t="s">
        <v>5959</v>
      </c>
      <c r="C254" t="s">
        <v>17</v>
      </c>
      <c r="D254" t="s">
        <v>5960</v>
      </c>
      <c r="E254" t="s">
        <v>300</v>
      </c>
      <c r="F254" t="s">
        <v>7299</v>
      </c>
      <c r="G254" t="s">
        <v>6633</v>
      </c>
    </row>
    <row r="255" spans="1:7" x14ac:dyDescent="0.3">
      <c r="A255" t="s">
        <v>643</v>
      </c>
      <c r="B255" t="s">
        <v>5959</v>
      </c>
      <c r="C255" t="s">
        <v>17</v>
      </c>
      <c r="D255" t="s">
        <v>5960</v>
      </c>
      <c r="E255" t="s">
        <v>300</v>
      </c>
      <c r="F255" t="s">
        <v>7300</v>
      </c>
      <c r="G255" t="s">
        <v>6634</v>
      </c>
    </row>
    <row r="256" spans="1:7" x14ac:dyDescent="0.3">
      <c r="A256" t="s">
        <v>644</v>
      </c>
      <c r="B256" t="s">
        <v>5959</v>
      </c>
      <c r="C256" t="s">
        <v>17</v>
      </c>
      <c r="D256" t="s">
        <v>5960</v>
      </c>
      <c r="E256" t="s">
        <v>300</v>
      </c>
      <c r="F256" t="s">
        <v>7301</v>
      </c>
      <c r="G256" t="s">
        <v>6635</v>
      </c>
    </row>
    <row r="257" spans="1:7" x14ac:dyDescent="0.3">
      <c r="A257" t="s">
        <v>645</v>
      </c>
      <c r="B257" t="s">
        <v>5959</v>
      </c>
      <c r="C257" t="s">
        <v>17</v>
      </c>
      <c r="D257" t="s">
        <v>5960</v>
      </c>
      <c r="E257" t="s">
        <v>300</v>
      </c>
      <c r="F257" t="s">
        <v>7302</v>
      </c>
      <c r="G257" t="s">
        <v>6636</v>
      </c>
    </row>
    <row r="258" spans="1:7" x14ac:dyDescent="0.3">
      <c r="A258" t="s">
        <v>646</v>
      </c>
      <c r="B258" t="s">
        <v>5959</v>
      </c>
      <c r="C258" t="s">
        <v>17</v>
      </c>
      <c r="D258" t="s">
        <v>5960</v>
      </c>
      <c r="E258" t="s">
        <v>300</v>
      </c>
      <c r="F258" t="s">
        <v>7303</v>
      </c>
      <c r="G258" t="s">
        <v>6637</v>
      </c>
    </row>
    <row r="259" spans="1:7" x14ac:dyDescent="0.3">
      <c r="A259" t="s">
        <v>647</v>
      </c>
      <c r="B259" t="s">
        <v>5959</v>
      </c>
      <c r="C259" t="s">
        <v>17</v>
      </c>
      <c r="D259" t="s">
        <v>5960</v>
      </c>
      <c r="E259" t="s">
        <v>300</v>
      </c>
      <c r="F259" t="s">
        <v>7304</v>
      </c>
      <c r="G259" t="s">
        <v>6638</v>
      </c>
    </row>
    <row r="260" spans="1:7" x14ac:dyDescent="0.3">
      <c r="A260" t="s">
        <v>648</v>
      </c>
      <c r="B260" t="s">
        <v>5959</v>
      </c>
      <c r="C260" t="s">
        <v>17</v>
      </c>
      <c r="D260" t="s">
        <v>5960</v>
      </c>
      <c r="E260" t="s">
        <v>300</v>
      </c>
      <c r="F260" t="s">
        <v>7305</v>
      </c>
      <c r="G260" t="s">
        <v>6639</v>
      </c>
    </row>
    <row r="261" spans="1:7" x14ac:dyDescent="0.3">
      <c r="A261" t="s">
        <v>649</v>
      </c>
      <c r="B261" t="s">
        <v>5959</v>
      </c>
      <c r="C261" t="s">
        <v>17</v>
      </c>
      <c r="D261" t="s">
        <v>5960</v>
      </c>
      <c r="E261" t="s">
        <v>300</v>
      </c>
      <c r="F261" t="s">
        <v>7306</v>
      </c>
      <c r="G261" t="s">
        <v>6640</v>
      </c>
    </row>
    <row r="262" spans="1:7" x14ac:dyDescent="0.3">
      <c r="A262" t="s">
        <v>650</v>
      </c>
      <c r="B262" t="s">
        <v>5959</v>
      </c>
      <c r="C262" t="s">
        <v>17</v>
      </c>
      <c r="D262" t="s">
        <v>5960</v>
      </c>
      <c r="E262" t="s">
        <v>300</v>
      </c>
      <c r="F262" t="s">
        <v>7307</v>
      </c>
      <c r="G262" t="s">
        <v>6641</v>
      </c>
    </row>
    <row r="263" spans="1:7" x14ac:dyDescent="0.3">
      <c r="A263" t="s">
        <v>651</v>
      </c>
      <c r="B263" t="s">
        <v>5959</v>
      </c>
      <c r="C263" t="s">
        <v>17</v>
      </c>
      <c r="D263" t="s">
        <v>5960</v>
      </c>
      <c r="E263" t="s">
        <v>300</v>
      </c>
      <c r="F263" t="s">
        <v>7308</v>
      </c>
      <c r="G263" t="s">
        <v>6642</v>
      </c>
    </row>
    <row r="264" spans="1:7" x14ac:dyDescent="0.3">
      <c r="A264" t="s">
        <v>652</v>
      </c>
      <c r="B264" t="s">
        <v>5959</v>
      </c>
      <c r="C264" t="s">
        <v>17</v>
      </c>
      <c r="D264" t="s">
        <v>5960</v>
      </c>
      <c r="E264" t="s">
        <v>300</v>
      </c>
      <c r="F264" t="s">
        <v>7309</v>
      </c>
      <c r="G264" t="s">
        <v>6643</v>
      </c>
    </row>
    <row r="265" spans="1:7" x14ac:dyDescent="0.3">
      <c r="A265" t="s">
        <v>653</v>
      </c>
      <c r="B265" t="s">
        <v>5959</v>
      </c>
      <c r="C265" t="s">
        <v>17</v>
      </c>
      <c r="D265" t="s">
        <v>5960</v>
      </c>
      <c r="E265" t="s">
        <v>300</v>
      </c>
      <c r="F265" t="s">
        <v>7310</v>
      </c>
      <c r="G265" t="s">
        <v>6644</v>
      </c>
    </row>
    <row r="266" spans="1:7" x14ac:dyDescent="0.3">
      <c r="A266" t="s">
        <v>654</v>
      </c>
      <c r="B266" t="s">
        <v>5959</v>
      </c>
      <c r="C266" t="s">
        <v>17</v>
      </c>
      <c r="D266" t="s">
        <v>5960</v>
      </c>
      <c r="E266" t="s">
        <v>300</v>
      </c>
      <c r="F266" t="s">
        <v>7311</v>
      </c>
      <c r="G266" t="s">
        <v>6645</v>
      </c>
    </row>
    <row r="267" spans="1:7" x14ac:dyDescent="0.3">
      <c r="A267" t="s">
        <v>655</v>
      </c>
      <c r="B267" t="s">
        <v>5959</v>
      </c>
      <c r="C267" t="s">
        <v>17</v>
      </c>
      <c r="D267" t="s">
        <v>5960</v>
      </c>
      <c r="E267" t="s">
        <v>28</v>
      </c>
      <c r="F267" t="s">
        <v>7312</v>
      </c>
      <c r="G267" t="s">
        <v>6646</v>
      </c>
    </row>
    <row r="268" spans="1:7" x14ac:dyDescent="0.3">
      <c r="A268" t="s">
        <v>656</v>
      </c>
      <c r="B268" t="s">
        <v>5959</v>
      </c>
      <c r="C268" t="s">
        <v>17</v>
      </c>
      <c r="D268" t="s">
        <v>5960</v>
      </c>
      <c r="E268" t="s">
        <v>355</v>
      </c>
      <c r="F268" t="s">
        <v>7313</v>
      </c>
      <c r="G268" t="s">
        <v>6647</v>
      </c>
    </row>
    <row r="269" spans="1:7" x14ac:dyDescent="0.3">
      <c r="A269" t="s">
        <v>657</v>
      </c>
      <c r="B269" t="s">
        <v>5959</v>
      </c>
      <c r="C269" t="s">
        <v>17</v>
      </c>
      <c r="D269" t="s">
        <v>5960</v>
      </c>
      <c r="E269" t="s">
        <v>351</v>
      </c>
      <c r="F269" t="s">
        <v>7314</v>
      </c>
      <c r="G269" t="s">
        <v>6648</v>
      </c>
    </row>
    <row r="270" spans="1:7" x14ac:dyDescent="0.3">
      <c r="A270" t="s">
        <v>658</v>
      </c>
      <c r="B270" t="s">
        <v>5959</v>
      </c>
      <c r="C270" t="s">
        <v>17</v>
      </c>
      <c r="D270" t="s">
        <v>5960</v>
      </c>
      <c r="E270" t="s">
        <v>362</v>
      </c>
      <c r="F270" t="s">
        <v>7315</v>
      </c>
      <c r="G270" t="s">
        <v>6649</v>
      </c>
    </row>
    <row r="271" spans="1:7" x14ac:dyDescent="0.3">
      <c r="A271" t="s">
        <v>659</v>
      </c>
      <c r="B271" t="s">
        <v>5959</v>
      </c>
      <c r="C271" t="s">
        <v>17</v>
      </c>
      <c r="D271" t="s">
        <v>5960</v>
      </c>
      <c r="E271" t="s">
        <v>6082</v>
      </c>
      <c r="F271" t="s">
        <v>7316</v>
      </c>
      <c r="G271" t="s">
        <v>6650</v>
      </c>
    </row>
    <row r="272" spans="1:7" x14ac:dyDescent="0.3">
      <c r="A272" t="s">
        <v>660</v>
      </c>
      <c r="B272" t="s">
        <v>5959</v>
      </c>
      <c r="C272" t="s">
        <v>17</v>
      </c>
      <c r="D272" t="s">
        <v>5960</v>
      </c>
      <c r="E272" t="s">
        <v>213</v>
      </c>
      <c r="F272" t="s">
        <v>7317</v>
      </c>
      <c r="G272" t="s">
        <v>6651</v>
      </c>
    </row>
    <row r="273" spans="1:7" x14ac:dyDescent="0.3">
      <c r="A273" t="s">
        <v>661</v>
      </c>
      <c r="B273" t="s">
        <v>5959</v>
      </c>
      <c r="C273" t="s">
        <v>17</v>
      </c>
      <c r="D273" t="s">
        <v>5960</v>
      </c>
      <c r="E273" t="s">
        <v>218</v>
      </c>
      <c r="F273" t="s">
        <v>7318</v>
      </c>
      <c r="G273" t="s">
        <v>6652</v>
      </c>
    </row>
    <row r="274" spans="1:7" x14ac:dyDescent="0.3">
      <c r="A274" t="s">
        <v>662</v>
      </c>
      <c r="B274" t="s">
        <v>5959</v>
      </c>
      <c r="C274" t="s">
        <v>19</v>
      </c>
      <c r="D274" t="s">
        <v>5960</v>
      </c>
      <c r="E274" t="s">
        <v>14</v>
      </c>
      <c r="F274" t="s">
        <v>6086</v>
      </c>
      <c r="G274" t="s">
        <v>6653</v>
      </c>
    </row>
    <row r="275" spans="1:7" x14ac:dyDescent="0.3">
      <c r="A275" t="s">
        <v>663</v>
      </c>
      <c r="B275" t="s">
        <v>5959</v>
      </c>
      <c r="C275" t="s">
        <v>19</v>
      </c>
      <c r="D275" t="s">
        <v>5960</v>
      </c>
      <c r="E275" t="s">
        <v>14</v>
      </c>
      <c r="F275" t="s">
        <v>6088</v>
      </c>
      <c r="G275" t="s">
        <v>6654</v>
      </c>
    </row>
    <row r="276" spans="1:7" x14ac:dyDescent="0.3">
      <c r="A276" t="s">
        <v>664</v>
      </c>
      <c r="B276" t="s">
        <v>5959</v>
      </c>
      <c r="C276" t="s">
        <v>19</v>
      </c>
      <c r="D276" t="s">
        <v>5960</v>
      </c>
      <c r="E276" t="s">
        <v>14</v>
      </c>
      <c r="F276" t="s">
        <v>6090</v>
      </c>
      <c r="G276" t="s">
        <v>6655</v>
      </c>
    </row>
    <row r="277" spans="1:7" x14ac:dyDescent="0.3">
      <c r="A277" t="s">
        <v>665</v>
      </c>
      <c r="B277" t="s">
        <v>5959</v>
      </c>
      <c r="C277" t="s">
        <v>19</v>
      </c>
      <c r="D277" t="s">
        <v>5960</v>
      </c>
      <c r="E277" t="s">
        <v>14</v>
      </c>
      <c r="F277" t="s">
        <v>6092</v>
      </c>
      <c r="G277" t="s">
        <v>6656</v>
      </c>
    </row>
    <row r="278" spans="1:7" x14ac:dyDescent="0.3">
      <c r="A278" t="s">
        <v>666</v>
      </c>
      <c r="B278" t="s">
        <v>5959</v>
      </c>
      <c r="C278" t="s">
        <v>19</v>
      </c>
      <c r="D278" t="s">
        <v>5960</v>
      </c>
      <c r="E278" t="s">
        <v>14</v>
      </c>
      <c r="F278" t="s">
        <v>6094</v>
      </c>
      <c r="G278" t="s">
        <v>6657</v>
      </c>
    </row>
    <row r="279" spans="1:7" x14ac:dyDescent="0.3">
      <c r="A279" t="s">
        <v>667</v>
      </c>
      <c r="B279" t="s">
        <v>5959</v>
      </c>
      <c r="C279" t="s">
        <v>19</v>
      </c>
      <c r="D279" t="s">
        <v>5960</v>
      </c>
      <c r="E279" t="s">
        <v>14</v>
      </c>
      <c r="F279" t="s">
        <v>6096</v>
      </c>
      <c r="G279" t="s">
        <v>6658</v>
      </c>
    </row>
    <row r="280" spans="1:7" x14ac:dyDescent="0.3">
      <c r="A280" t="s">
        <v>668</v>
      </c>
      <c r="B280" t="s">
        <v>5959</v>
      </c>
      <c r="C280" t="s">
        <v>19</v>
      </c>
      <c r="D280" t="s">
        <v>5960</v>
      </c>
      <c r="E280" t="s">
        <v>14</v>
      </c>
      <c r="F280" t="s">
        <v>6098</v>
      </c>
      <c r="G280" t="s">
        <v>6659</v>
      </c>
    </row>
    <row r="281" spans="1:7" x14ac:dyDescent="0.3">
      <c r="A281" t="s">
        <v>669</v>
      </c>
      <c r="B281" t="s">
        <v>5959</v>
      </c>
      <c r="C281" t="s">
        <v>19</v>
      </c>
      <c r="D281" t="s">
        <v>5960</v>
      </c>
      <c r="E281" t="s">
        <v>14</v>
      </c>
      <c r="F281" t="s">
        <v>6100</v>
      </c>
      <c r="G281" t="s">
        <v>6660</v>
      </c>
    </row>
    <row r="282" spans="1:7" x14ac:dyDescent="0.3">
      <c r="A282" t="s">
        <v>670</v>
      </c>
      <c r="B282" t="s">
        <v>5959</v>
      </c>
      <c r="C282" t="s">
        <v>19</v>
      </c>
      <c r="D282" t="s">
        <v>5960</v>
      </c>
      <c r="E282" t="s">
        <v>14</v>
      </c>
      <c r="F282" t="s">
        <v>6102</v>
      </c>
      <c r="G282" t="s">
        <v>6661</v>
      </c>
    </row>
    <row r="283" spans="1:7" x14ac:dyDescent="0.3">
      <c r="A283" t="s">
        <v>671</v>
      </c>
      <c r="B283" t="s">
        <v>5959</v>
      </c>
      <c r="C283" t="s">
        <v>19</v>
      </c>
      <c r="D283" t="s">
        <v>5960</v>
      </c>
      <c r="E283" t="s">
        <v>14</v>
      </c>
      <c r="F283" t="s">
        <v>6104</v>
      </c>
      <c r="G283" t="s">
        <v>6662</v>
      </c>
    </row>
    <row r="284" spans="1:7" x14ac:dyDescent="0.3">
      <c r="A284" t="s">
        <v>672</v>
      </c>
      <c r="B284" t="s">
        <v>5959</v>
      </c>
      <c r="C284" t="s">
        <v>19</v>
      </c>
      <c r="D284" t="s">
        <v>5960</v>
      </c>
      <c r="E284" t="s">
        <v>14</v>
      </c>
      <c r="F284" t="s">
        <v>6106</v>
      </c>
      <c r="G284" t="s">
        <v>6663</v>
      </c>
    </row>
    <row r="285" spans="1:7" x14ac:dyDescent="0.3">
      <c r="A285" t="s">
        <v>673</v>
      </c>
      <c r="B285" t="s">
        <v>5959</v>
      </c>
      <c r="C285" t="s">
        <v>19</v>
      </c>
      <c r="D285" t="s">
        <v>5960</v>
      </c>
      <c r="E285" t="s">
        <v>14</v>
      </c>
      <c r="F285" t="s">
        <v>6108</v>
      </c>
      <c r="G285" t="s">
        <v>6664</v>
      </c>
    </row>
    <row r="286" spans="1:7" x14ac:dyDescent="0.3">
      <c r="A286" t="s">
        <v>674</v>
      </c>
      <c r="B286" t="s">
        <v>5959</v>
      </c>
      <c r="C286" t="s">
        <v>19</v>
      </c>
      <c r="D286" t="s">
        <v>5960</v>
      </c>
      <c r="E286" t="s">
        <v>14</v>
      </c>
      <c r="F286" t="s">
        <v>6110</v>
      </c>
      <c r="G286" t="s">
        <v>6665</v>
      </c>
    </row>
    <row r="287" spans="1:7" x14ac:dyDescent="0.3">
      <c r="A287" t="s">
        <v>675</v>
      </c>
      <c r="B287" t="s">
        <v>5959</v>
      </c>
      <c r="C287" t="s">
        <v>19</v>
      </c>
      <c r="D287" t="s">
        <v>5960</v>
      </c>
      <c r="E287" t="s">
        <v>14</v>
      </c>
      <c r="F287" t="s">
        <v>6112</v>
      </c>
      <c r="G287" t="s">
        <v>6666</v>
      </c>
    </row>
    <row r="288" spans="1:7" x14ac:dyDescent="0.3">
      <c r="A288" t="s">
        <v>676</v>
      </c>
      <c r="B288" t="s">
        <v>5959</v>
      </c>
      <c r="C288" t="s">
        <v>15</v>
      </c>
      <c r="D288" t="s">
        <v>5960</v>
      </c>
      <c r="E288" t="s">
        <v>367</v>
      </c>
      <c r="F288" t="s">
        <v>7319</v>
      </c>
      <c r="G288" t="s">
        <v>6667</v>
      </c>
    </row>
    <row r="289" spans="1:7" x14ac:dyDescent="0.3">
      <c r="A289" t="s">
        <v>677</v>
      </c>
      <c r="B289" t="s">
        <v>5959</v>
      </c>
      <c r="C289" t="s">
        <v>15</v>
      </c>
      <c r="D289" t="s">
        <v>5960</v>
      </c>
      <c r="E289" t="s">
        <v>368</v>
      </c>
      <c r="F289" t="s">
        <v>7319</v>
      </c>
      <c r="G289" t="s">
        <v>6668</v>
      </c>
    </row>
    <row r="290" spans="1:7" x14ac:dyDescent="0.3">
      <c r="A290" t="s">
        <v>678</v>
      </c>
      <c r="B290" t="s">
        <v>5959</v>
      </c>
      <c r="C290" t="s">
        <v>15</v>
      </c>
      <c r="D290" t="s">
        <v>5960</v>
      </c>
      <c r="E290" t="s">
        <v>369</v>
      </c>
      <c r="F290" t="s">
        <v>7319</v>
      </c>
      <c r="G290" t="s">
        <v>6669</v>
      </c>
    </row>
    <row r="291" spans="1:7" x14ac:dyDescent="0.3">
      <c r="A291" t="s">
        <v>679</v>
      </c>
      <c r="B291" t="s">
        <v>5959</v>
      </c>
      <c r="C291" t="s">
        <v>15</v>
      </c>
      <c r="D291" t="s">
        <v>5960</v>
      </c>
      <c r="E291" t="s">
        <v>370</v>
      </c>
      <c r="F291" t="s">
        <v>7319</v>
      </c>
      <c r="G291" t="s">
        <v>6670</v>
      </c>
    </row>
    <row r="292" spans="1:7" x14ac:dyDescent="0.3">
      <c r="A292" t="s">
        <v>680</v>
      </c>
      <c r="B292" t="s">
        <v>5959</v>
      </c>
      <c r="C292" t="s">
        <v>15</v>
      </c>
      <c r="D292" t="s">
        <v>5960</v>
      </c>
      <c r="E292" t="s">
        <v>371</v>
      </c>
      <c r="F292" t="s">
        <v>7319</v>
      </c>
      <c r="G292" t="s">
        <v>6671</v>
      </c>
    </row>
    <row r="293" spans="1:7" x14ac:dyDescent="0.3">
      <c r="A293" t="s">
        <v>681</v>
      </c>
      <c r="B293" t="s">
        <v>5959</v>
      </c>
      <c r="C293" t="s">
        <v>15</v>
      </c>
      <c r="D293" t="s">
        <v>5960</v>
      </c>
      <c r="E293" t="s">
        <v>372</v>
      </c>
      <c r="F293" t="s">
        <v>7319</v>
      </c>
      <c r="G293" t="s">
        <v>6672</v>
      </c>
    </row>
    <row r="294" spans="1:7" x14ac:dyDescent="0.3">
      <c r="A294" t="s">
        <v>682</v>
      </c>
      <c r="B294" t="s">
        <v>5959</v>
      </c>
      <c r="C294" t="s">
        <v>15</v>
      </c>
      <c r="D294" t="s">
        <v>5960</v>
      </c>
      <c r="E294" t="s">
        <v>373</v>
      </c>
      <c r="F294" t="s">
        <v>7319</v>
      </c>
      <c r="G294" t="s">
        <v>6673</v>
      </c>
    </row>
    <row r="295" spans="1:7" x14ac:dyDescent="0.3">
      <c r="A295" t="s">
        <v>683</v>
      </c>
      <c r="B295" t="s">
        <v>5959</v>
      </c>
      <c r="C295" t="s">
        <v>15</v>
      </c>
      <c r="D295" t="s">
        <v>5960</v>
      </c>
      <c r="E295" t="s">
        <v>374</v>
      </c>
      <c r="F295" t="s">
        <v>7319</v>
      </c>
      <c r="G295" t="s">
        <v>6674</v>
      </c>
    </row>
    <row r="296" spans="1:7" x14ac:dyDescent="0.3">
      <c r="A296" t="s">
        <v>684</v>
      </c>
      <c r="B296" t="s">
        <v>5959</v>
      </c>
      <c r="C296" t="s">
        <v>15</v>
      </c>
      <c r="D296" t="s">
        <v>5960</v>
      </c>
      <c r="E296" t="s">
        <v>375</v>
      </c>
      <c r="F296" t="s">
        <v>7319</v>
      </c>
      <c r="G296" t="s">
        <v>6675</v>
      </c>
    </row>
    <row r="297" spans="1:7" x14ac:dyDescent="0.3">
      <c r="A297" t="s">
        <v>685</v>
      </c>
      <c r="B297" t="s">
        <v>5959</v>
      </c>
      <c r="C297" t="s">
        <v>15</v>
      </c>
      <c r="D297" t="s">
        <v>5960</v>
      </c>
      <c r="E297" t="s">
        <v>376</v>
      </c>
      <c r="F297" t="s">
        <v>7319</v>
      </c>
      <c r="G297" t="s">
        <v>6676</v>
      </c>
    </row>
    <row r="298" spans="1:7" x14ac:dyDescent="0.3">
      <c r="A298" t="s">
        <v>686</v>
      </c>
      <c r="B298" t="s">
        <v>5959</v>
      </c>
      <c r="C298" t="s">
        <v>15</v>
      </c>
      <c r="D298" t="s">
        <v>5960</v>
      </c>
      <c r="E298" t="s">
        <v>377</v>
      </c>
      <c r="F298" t="s">
        <v>7319</v>
      </c>
      <c r="G298" t="s">
        <v>6677</v>
      </c>
    </row>
    <row r="299" spans="1:7" x14ac:dyDescent="0.3">
      <c r="A299" t="s">
        <v>687</v>
      </c>
      <c r="B299" t="s">
        <v>5959</v>
      </c>
      <c r="C299" t="s">
        <v>15</v>
      </c>
      <c r="D299" t="s">
        <v>5960</v>
      </c>
      <c r="E299" t="s">
        <v>378</v>
      </c>
      <c r="F299" t="s">
        <v>7319</v>
      </c>
      <c r="G299" t="s">
        <v>6678</v>
      </c>
    </row>
    <row r="300" spans="1:7" x14ac:dyDescent="0.3">
      <c r="A300" t="s">
        <v>688</v>
      </c>
      <c r="B300" t="s">
        <v>5959</v>
      </c>
      <c r="C300" t="s">
        <v>15</v>
      </c>
      <c r="D300" t="s">
        <v>5960</v>
      </c>
      <c r="E300" t="s">
        <v>379</v>
      </c>
      <c r="F300" t="s">
        <v>7319</v>
      </c>
      <c r="G300" t="s">
        <v>6679</v>
      </c>
    </row>
    <row r="301" spans="1:7" x14ac:dyDescent="0.3">
      <c r="A301" t="s">
        <v>689</v>
      </c>
      <c r="B301" t="s">
        <v>5959</v>
      </c>
      <c r="C301" t="s">
        <v>15</v>
      </c>
      <c r="D301" t="s">
        <v>5960</v>
      </c>
      <c r="E301" t="s">
        <v>380</v>
      </c>
      <c r="F301" t="s">
        <v>7319</v>
      </c>
      <c r="G301" t="s">
        <v>6680</v>
      </c>
    </row>
    <row r="302" spans="1:7" x14ac:dyDescent="0.3">
      <c r="A302" t="s">
        <v>690</v>
      </c>
      <c r="B302" t="s">
        <v>5959</v>
      </c>
      <c r="C302" t="s">
        <v>15</v>
      </c>
      <c r="D302" t="s">
        <v>5960</v>
      </c>
      <c r="E302" t="s">
        <v>381</v>
      </c>
      <c r="F302" t="s">
        <v>7319</v>
      </c>
      <c r="G302" t="s">
        <v>6681</v>
      </c>
    </row>
    <row r="303" spans="1:7" x14ac:dyDescent="0.3">
      <c r="A303" t="s">
        <v>691</v>
      </c>
      <c r="B303" t="s">
        <v>5959</v>
      </c>
      <c r="C303" t="s">
        <v>15</v>
      </c>
      <c r="D303" t="s">
        <v>5960</v>
      </c>
      <c r="E303" t="s">
        <v>382</v>
      </c>
      <c r="F303" t="s">
        <v>7319</v>
      </c>
      <c r="G303" t="s">
        <v>6682</v>
      </c>
    </row>
    <row r="304" spans="1:7" x14ac:dyDescent="0.3">
      <c r="A304" t="s">
        <v>692</v>
      </c>
      <c r="B304" t="s">
        <v>5959</v>
      </c>
      <c r="C304" t="s">
        <v>15</v>
      </c>
      <c r="D304" t="s">
        <v>5960</v>
      </c>
      <c r="E304" t="s">
        <v>367</v>
      </c>
      <c r="F304" t="s">
        <v>7320</v>
      </c>
      <c r="G304" t="s">
        <v>6683</v>
      </c>
    </row>
    <row r="305" spans="1:7" x14ac:dyDescent="0.3">
      <c r="A305" t="s">
        <v>693</v>
      </c>
      <c r="B305" t="s">
        <v>5959</v>
      </c>
      <c r="C305" t="s">
        <v>15</v>
      </c>
      <c r="D305" t="s">
        <v>5960</v>
      </c>
      <c r="E305" t="s">
        <v>368</v>
      </c>
      <c r="F305" t="s">
        <v>7320</v>
      </c>
      <c r="G305" t="s">
        <v>6684</v>
      </c>
    </row>
    <row r="306" spans="1:7" x14ac:dyDescent="0.3">
      <c r="A306" t="s">
        <v>694</v>
      </c>
      <c r="B306" t="s">
        <v>5959</v>
      </c>
      <c r="C306" t="s">
        <v>15</v>
      </c>
      <c r="D306" t="s">
        <v>5960</v>
      </c>
      <c r="E306" t="s">
        <v>369</v>
      </c>
      <c r="F306" t="s">
        <v>7320</v>
      </c>
      <c r="G306" t="s">
        <v>6685</v>
      </c>
    </row>
    <row r="307" spans="1:7" x14ac:dyDescent="0.3">
      <c r="A307" t="s">
        <v>695</v>
      </c>
      <c r="B307" t="s">
        <v>5959</v>
      </c>
      <c r="C307" t="s">
        <v>15</v>
      </c>
      <c r="D307" t="s">
        <v>5960</v>
      </c>
      <c r="E307" t="s">
        <v>370</v>
      </c>
      <c r="F307" t="s">
        <v>7320</v>
      </c>
      <c r="G307" t="s">
        <v>6686</v>
      </c>
    </row>
    <row r="308" spans="1:7" x14ac:dyDescent="0.3">
      <c r="A308" t="s">
        <v>696</v>
      </c>
      <c r="B308" t="s">
        <v>5959</v>
      </c>
      <c r="C308" t="s">
        <v>15</v>
      </c>
      <c r="D308" t="s">
        <v>5960</v>
      </c>
      <c r="E308" t="s">
        <v>371</v>
      </c>
      <c r="F308" t="s">
        <v>7320</v>
      </c>
      <c r="G308" t="s">
        <v>6687</v>
      </c>
    </row>
    <row r="309" spans="1:7" x14ac:dyDescent="0.3">
      <c r="A309" t="s">
        <v>697</v>
      </c>
      <c r="B309" t="s">
        <v>5959</v>
      </c>
      <c r="C309" t="s">
        <v>15</v>
      </c>
      <c r="D309" t="s">
        <v>5960</v>
      </c>
      <c r="E309" t="s">
        <v>372</v>
      </c>
      <c r="F309" t="s">
        <v>7320</v>
      </c>
      <c r="G309" t="s">
        <v>6688</v>
      </c>
    </row>
    <row r="310" spans="1:7" x14ac:dyDescent="0.3">
      <c r="A310" t="s">
        <v>698</v>
      </c>
      <c r="B310" t="s">
        <v>5959</v>
      </c>
      <c r="C310" t="s">
        <v>15</v>
      </c>
      <c r="D310" t="s">
        <v>5960</v>
      </c>
      <c r="E310" t="s">
        <v>373</v>
      </c>
      <c r="F310" t="s">
        <v>7320</v>
      </c>
      <c r="G310" t="s">
        <v>6689</v>
      </c>
    </row>
    <row r="311" spans="1:7" x14ac:dyDescent="0.3">
      <c r="A311" t="s">
        <v>699</v>
      </c>
      <c r="B311" t="s">
        <v>5959</v>
      </c>
      <c r="C311" t="s">
        <v>15</v>
      </c>
      <c r="D311" t="s">
        <v>5960</v>
      </c>
      <c r="E311" t="s">
        <v>374</v>
      </c>
      <c r="F311" t="s">
        <v>7320</v>
      </c>
      <c r="G311" t="s">
        <v>6690</v>
      </c>
    </row>
    <row r="312" spans="1:7" x14ac:dyDescent="0.3">
      <c r="A312" t="s">
        <v>700</v>
      </c>
      <c r="B312" t="s">
        <v>5959</v>
      </c>
      <c r="C312" t="s">
        <v>15</v>
      </c>
      <c r="D312" t="s">
        <v>5960</v>
      </c>
      <c r="E312" t="s">
        <v>375</v>
      </c>
      <c r="F312" t="s">
        <v>7320</v>
      </c>
      <c r="G312" t="s">
        <v>6691</v>
      </c>
    </row>
    <row r="313" spans="1:7" x14ac:dyDescent="0.3">
      <c r="A313" t="s">
        <v>701</v>
      </c>
      <c r="B313" t="s">
        <v>5959</v>
      </c>
      <c r="C313" t="s">
        <v>15</v>
      </c>
      <c r="D313" t="s">
        <v>5960</v>
      </c>
      <c r="E313" t="s">
        <v>376</v>
      </c>
      <c r="F313" t="s">
        <v>7320</v>
      </c>
      <c r="G313" t="s">
        <v>6692</v>
      </c>
    </row>
    <row r="314" spans="1:7" x14ac:dyDescent="0.3">
      <c r="A314" t="s">
        <v>702</v>
      </c>
      <c r="B314" t="s">
        <v>5959</v>
      </c>
      <c r="C314" t="s">
        <v>15</v>
      </c>
      <c r="D314" t="s">
        <v>5960</v>
      </c>
      <c r="E314" t="s">
        <v>377</v>
      </c>
      <c r="F314" t="s">
        <v>7320</v>
      </c>
      <c r="G314" t="s">
        <v>6693</v>
      </c>
    </row>
    <row r="315" spans="1:7" x14ac:dyDescent="0.3">
      <c r="A315" t="s">
        <v>703</v>
      </c>
      <c r="B315" t="s">
        <v>5959</v>
      </c>
      <c r="C315" t="s">
        <v>15</v>
      </c>
      <c r="D315" t="s">
        <v>5960</v>
      </c>
      <c r="E315" t="s">
        <v>378</v>
      </c>
      <c r="F315" t="s">
        <v>7320</v>
      </c>
      <c r="G315" t="s">
        <v>6694</v>
      </c>
    </row>
    <row r="316" spans="1:7" x14ac:dyDescent="0.3">
      <c r="A316" t="s">
        <v>704</v>
      </c>
      <c r="B316" t="s">
        <v>5959</v>
      </c>
      <c r="C316" t="s">
        <v>15</v>
      </c>
      <c r="D316" t="s">
        <v>5960</v>
      </c>
      <c r="E316" t="s">
        <v>379</v>
      </c>
      <c r="F316" t="s">
        <v>7320</v>
      </c>
      <c r="G316" t="s">
        <v>6695</v>
      </c>
    </row>
    <row r="317" spans="1:7" x14ac:dyDescent="0.3">
      <c r="A317" t="s">
        <v>705</v>
      </c>
      <c r="B317" t="s">
        <v>5959</v>
      </c>
      <c r="C317" t="s">
        <v>15</v>
      </c>
      <c r="D317" t="s">
        <v>5960</v>
      </c>
      <c r="E317" t="s">
        <v>380</v>
      </c>
      <c r="F317" t="s">
        <v>7320</v>
      </c>
      <c r="G317" t="s">
        <v>6696</v>
      </c>
    </row>
    <row r="318" spans="1:7" x14ac:dyDescent="0.3">
      <c r="A318" t="s">
        <v>706</v>
      </c>
      <c r="B318" t="s">
        <v>5959</v>
      </c>
      <c r="C318" t="s">
        <v>15</v>
      </c>
      <c r="D318" t="s">
        <v>5960</v>
      </c>
      <c r="E318" t="s">
        <v>381</v>
      </c>
      <c r="F318" t="s">
        <v>7320</v>
      </c>
      <c r="G318" t="s">
        <v>6697</v>
      </c>
    </row>
    <row r="319" spans="1:7" x14ac:dyDescent="0.3">
      <c r="A319" t="s">
        <v>707</v>
      </c>
      <c r="B319" t="s">
        <v>5959</v>
      </c>
      <c r="C319" t="s">
        <v>15</v>
      </c>
      <c r="D319" t="s">
        <v>5960</v>
      </c>
      <c r="E319" t="s">
        <v>382</v>
      </c>
      <c r="F319" t="s">
        <v>7320</v>
      </c>
      <c r="G319" t="s">
        <v>6698</v>
      </c>
    </row>
    <row r="320" spans="1:7" x14ac:dyDescent="0.3">
      <c r="A320" t="s">
        <v>708</v>
      </c>
      <c r="B320" t="s">
        <v>5959</v>
      </c>
      <c r="C320" t="s">
        <v>15</v>
      </c>
      <c r="D320" t="s">
        <v>5960</v>
      </c>
      <c r="E320" t="s">
        <v>367</v>
      </c>
      <c r="F320" t="s">
        <v>7321</v>
      </c>
      <c r="G320" t="s">
        <v>6699</v>
      </c>
    </row>
    <row r="321" spans="1:7" x14ac:dyDescent="0.3">
      <c r="A321" t="s">
        <v>709</v>
      </c>
      <c r="B321" t="s">
        <v>5959</v>
      </c>
      <c r="C321" t="s">
        <v>15</v>
      </c>
      <c r="D321" t="s">
        <v>5960</v>
      </c>
      <c r="E321" t="s">
        <v>368</v>
      </c>
      <c r="F321" t="s">
        <v>7322</v>
      </c>
      <c r="G321" t="s">
        <v>6700</v>
      </c>
    </row>
    <row r="322" spans="1:7" x14ac:dyDescent="0.3">
      <c r="A322" t="s">
        <v>710</v>
      </c>
      <c r="B322" t="s">
        <v>5959</v>
      </c>
      <c r="C322" t="s">
        <v>15</v>
      </c>
      <c r="D322" t="s">
        <v>5960</v>
      </c>
      <c r="E322" t="s">
        <v>369</v>
      </c>
      <c r="F322" t="s">
        <v>7323</v>
      </c>
      <c r="G322" t="s">
        <v>6701</v>
      </c>
    </row>
    <row r="323" spans="1:7" x14ac:dyDescent="0.3">
      <c r="A323" t="s">
        <v>711</v>
      </c>
      <c r="B323" t="s">
        <v>5959</v>
      </c>
      <c r="C323" t="s">
        <v>15</v>
      </c>
      <c r="D323" t="s">
        <v>5960</v>
      </c>
      <c r="E323" t="s">
        <v>370</v>
      </c>
      <c r="F323" t="s">
        <v>7324</v>
      </c>
      <c r="G323" t="s">
        <v>6702</v>
      </c>
    </row>
    <row r="324" spans="1:7" x14ac:dyDescent="0.3">
      <c r="A324" t="s">
        <v>712</v>
      </c>
      <c r="B324" t="s">
        <v>5959</v>
      </c>
      <c r="C324" t="s">
        <v>15</v>
      </c>
      <c r="D324" t="s">
        <v>5960</v>
      </c>
      <c r="E324" t="s">
        <v>371</v>
      </c>
      <c r="F324" t="s">
        <v>7325</v>
      </c>
      <c r="G324" t="s">
        <v>6703</v>
      </c>
    </row>
    <row r="325" spans="1:7" x14ac:dyDescent="0.3">
      <c r="A325" t="s">
        <v>713</v>
      </c>
      <c r="B325" t="s">
        <v>5959</v>
      </c>
      <c r="C325" t="s">
        <v>15</v>
      </c>
      <c r="D325" t="s">
        <v>5960</v>
      </c>
      <c r="E325" t="s">
        <v>372</v>
      </c>
      <c r="F325" t="s">
        <v>7326</v>
      </c>
      <c r="G325" t="s">
        <v>6704</v>
      </c>
    </row>
    <row r="326" spans="1:7" x14ac:dyDescent="0.3">
      <c r="A326" t="s">
        <v>714</v>
      </c>
      <c r="B326" t="s">
        <v>5959</v>
      </c>
      <c r="C326" t="s">
        <v>15</v>
      </c>
      <c r="D326" t="s">
        <v>5960</v>
      </c>
      <c r="E326" t="s">
        <v>373</v>
      </c>
      <c r="F326" t="s">
        <v>7327</v>
      </c>
      <c r="G326" t="s">
        <v>6705</v>
      </c>
    </row>
    <row r="327" spans="1:7" x14ac:dyDescent="0.3">
      <c r="A327" t="s">
        <v>715</v>
      </c>
      <c r="B327" t="s">
        <v>5959</v>
      </c>
      <c r="C327" t="s">
        <v>15</v>
      </c>
      <c r="D327" t="s">
        <v>5960</v>
      </c>
      <c r="E327" t="s">
        <v>374</v>
      </c>
      <c r="F327" t="s">
        <v>7328</v>
      </c>
      <c r="G327" t="s">
        <v>6706</v>
      </c>
    </row>
    <row r="328" spans="1:7" x14ac:dyDescent="0.3">
      <c r="A328" t="s">
        <v>716</v>
      </c>
      <c r="B328" t="s">
        <v>5959</v>
      </c>
      <c r="C328" t="s">
        <v>15</v>
      </c>
      <c r="D328" t="s">
        <v>5960</v>
      </c>
      <c r="E328" t="s">
        <v>375</v>
      </c>
      <c r="F328" t="s">
        <v>7329</v>
      </c>
      <c r="G328" t="s">
        <v>6707</v>
      </c>
    </row>
    <row r="329" spans="1:7" x14ac:dyDescent="0.3">
      <c r="A329" t="s">
        <v>717</v>
      </c>
      <c r="B329" t="s">
        <v>5959</v>
      </c>
      <c r="C329" t="s">
        <v>15</v>
      </c>
      <c r="D329" t="s">
        <v>5960</v>
      </c>
      <c r="E329" t="s">
        <v>376</v>
      </c>
      <c r="F329" t="s">
        <v>7330</v>
      </c>
      <c r="G329" t="s">
        <v>6708</v>
      </c>
    </row>
    <row r="330" spans="1:7" x14ac:dyDescent="0.3">
      <c r="A330" t="s">
        <v>718</v>
      </c>
      <c r="B330" t="s">
        <v>5959</v>
      </c>
      <c r="C330" t="s">
        <v>15</v>
      </c>
      <c r="D330" t="s">
        <v>5960</v>
      </c>
      <c r="E330" t="s">
        <v>377</v>
      </c>
      <c r="F330" t="s">
        <v>7331</v>
      </c>
      <c r="G330" t="s">
        <v>6709</v>
      </c>
    </row>
    <row r="331" spans="1:7" x14ac:dyDescent="0.3">
      <c r="A331" t="s">
        <v>719</v>
      </c>
      <c r="B331" t="s">
        <v>5959</v>
      </c>
      <c r="C331" t="s">
        <v>15</v>
      </c>
      <c r="D331" t="s">
        <v>5960</v>
      </c>
      <c r="E331" t="s">
        <v>378</v>
      </c>
      <c r="F331" t="s">
        <v>7332</v>
      </c>
      <c r="G331" t="s">
        <v>6710</v>
      </c>
    </row>
    <row r="332" spans="1:7" x14ac:dyDescent="0.3">
      <c r="A332" t="s">
        <v>720</v>
      </c>
      <c r="B332" t="s">
        <v>5959</v>
      </c>
      <c r="C332" t="s">
        <v>15</v>
      </c>
      <c r="D332" t="s">
        <v>5960</v>
      </c>
      <c r="E332" t="s">
        <v>379</v>
      </c>
      <c r="F332" t="s">
        <v>7333</v>
      </c>
      <c r="G332" t="s">
        <v>6711</v>
      </c>
    </row>
    <row r="333" spans="1:7" x14ac:dyDescent="0.3">
      <c r="A333" t="s">
        <v>721</v>
      </c>
      <c r="B333" t="s">
        <v>5959</v>
      </c>
      <c r="C333" t="s">
        <v>15</v>
      </c>
      <c r="D333" t="s">
        <v>5960</v>
      </c>
      <c r="E333" t="s">
        <v>380</v>
      </c>
      <c r="F333" t="s">
        <v>7334</v>
      </c>
      <c r="G333" t="s">
        <v>6712</v>
      </c>
    </row>
    <row r="334" spans="1:7" x14ac:dyDescent="0.3">
      <c r="A334" t="s">
        <v>722</v>
      </c>
      <c r="B334" t="s">
        <v>5959</v>
      </c>
      <c r="C334" t="s">
        <v>15</v>
      </c>
      <c r="D334" t="s">
        <v>5960</v>
      </c>
      <c r="E334" t="s">
        <v>381</v>
      </c>
      <c r="F334" t="s">
        <v>7335</v>
      </c>
      <c r="G334" t="s">
        <v>6713</v>
      </c>
    </row>
    <row r="335" spans="1:7" x14ac:dyDescent="0.3">
      <c r="A335" t="s">
        <v>723</v>
      </c>
      <c r="B335" t="s">
        <v>5959</v>
      </c>
      <c r="C335" t="s">
        <v>15</v>
      </c>
      <c r="D335" t="s">
        <v>5960</v>
      </c>
      <c r="E335" t="s">
        <v>382</v>
      </c>
      <c r="F335" t="s">
        <v>7336</v>
      </c>
      <c r="G335" t="s">
        <v>6714</v>
      </c>
    </row>
    <row r="336" spans="1:7" x14ac:dyDescent="0.3">
      <c r="A336" t="s">
        <v>724</v>
      </c>
      <c r="B336" t="s">
        <v>5959</v>
      </c>
      <c r="C336" t="s">
        <v>19</v>
      </c>
      <c r="D336" t="s">
        <v>5960</v>
      </c>
      <c r="E336" t="s">
        <v>14</v>
      </c>
      <c r="F336" t="s">
        <v>6116</v>
      </c>
      <c r="G336" t="s">
        <v>6715</v>
      </c>
    </row>
    <row r="337" spans="1:7" x14ac:dyDescent="0.3">
      <c r="A337" t="s">
        <v>725</v>
      </c>
      <c r="B337" t="s">
        <v>5959</v>
      </c>
      <c r="C337" t="s">
        <v>19</v>
      </c>
      <c r="D337" t="s">
        <v>5960</v>
      </c>
      <c r="E337" t="s">
        <v>14</v>
      </c>
      <c r="F337" t="s">
        <v>6118</v>
      </c>
      <c r="G337" t="s">
        <v>6716</v>
      </c>
    </row>
    <row r="338" spans="1:7" x14ac:dyDescent="0.3">
      <c r="A338" t="s">
        <v>726</v>
      </c>
      <c r="B338" t="s">
        <v>5959</v>
      </c>
      <c r="C338" t="s">
        <v>19</v>
      </c>
      <c r="D338" t="s">
        <v>5960</v>
      </c>
      <c r="E338" t="s">
        <v>14</v>
      </c>
      <c r="F338" t="s">
        <v>6120</v>
      </c>
      <c r="G338" t="s">
        <v>6717</v>
      </c>
    </row>
    <row r="339" spans="1:7" x14ac:dyDescent="0.3">
      <c r="A339" t="s">
        <v>727</v>
      </c>
      <c r="B339" t="s">
        <v>5959</v>
      </c>
      <c r="C339" t="s">
        <v>19</v>
      </c>
      <c r="D339" t="s">
        <v>5960</v>
      </c>
      <c r="E339" t="s">
        <v>14</v>
      </c>
      <c r="F339" t="s">
        <v>6122</v>
      </c>
      <c r="G339" t="s">
        <v>6718</v>
      </c>
    </row>
    <row r="340" spans="1:7" x14ac:dyDescent="0.3">
      <c r="A340" t="s">
        <v>728</v>
      </c>
      <c r="B340" t="s">
        <v>5959</v>
      </c>
      <c r="C340" t="s">
        <v>19</v>
      </c>
      <c r="D340" t="s">
        <v>5960</v>
      </c>
      <c r="E340" t="s">
        <v>14</v>
      </c>
      <c r="F340" t="s">
        <v>6124</v>
      </c>
      <c r="G340" t="s">
        <v>6719</v>
      </c>
    </row>
    <row r="341" spans="1:7" x14ac:dyDescent="0.3">
      <c r="A341" t="s">
        <v>729</v>
      </c>
      <c r="B341" t="s">
        <v>5959</v>
      </c>
      <c r="C341" t="s">
        <v>19</v>
      </c>
      <c r="D341" t="s">
        <v>5960</v>
      </c>
      <c r="E341" t="s">
        <v>14</v>
      </c>
      <c r="F341" t="s">
        <v>6126</v>
      </c>
      <c r="G341" t="s">
        <v>6720</v>
      </c>
    </row>
    <row r="342" spans="1:7" x14ac:dyDescent="0.3">
      <c r="A342" t="s">
        <v>730</v>
      </c>
      <c r="B342" t="s">
        <v>5959</v>
      </c>
      <c r="C342" t="s">
        <v>19</v>
      </c>
      <c r="D342" t="s">
        <v>5960</v>
      </c>
      <c r="E342" t="s">
        <v>14</v>
      </c>
      <c r="F342" t="s">
        <v>6128</v>
      </c>
      <c r="G342" t="s">
        <v>6721</v>
      </c>
    </row>
    <row r="343" spans="1:7" x14ac:dyDescent="0.3">
      <c r="A343" t="s">
        <v>731</v>
      </c>
      <c r="B343" t="s">
        <v>5959</v>
      </c>
      <c r="C343" t="s">
        <v>19</v>
      </c>
      <c r="D343" t="s">
        <v>5960</v>
      </c>
      <c r="E343" t="s">
        <v>14</v>
      </c>
      <c r="F343" t="s">
        <v>6130</v>
      </c>
      <c r="G343" t="s">
        <v>6722</v>
      </c>
    </row>
    <row r="344" spans="1:7" x14ac:dyDescent="0.3">
      <c r="A344" t="s">
        <v>732</v>
      </c>
      <c r="B344" t="s">
        <v>5959</v>
      </c>
      <c r="C344" t="s">
        <v>19</v>
      </c>
      <c r="D344" t="s">
        <v>5960</v>
      </c>
      <c r="E344" t="s">
        <v>14</v>
      </c>
      <c r="F344" t="s">
        <v>6132</v>
      </c>
      <c r="G344" t="s">
        <v>6723</v>
      </c>
    </row>
    <row r="345" spans="1:7" x14ac:dyDescent="0.3">
      <c r="A345" t="s">
        <v>733</v>
      </c>
      <c r="B345" t="s">
        <v>5959</v>
      </c>
      <c r="C345" t="s">
        <v>19</v>
      </c>
      <c r="D345" t="s">
        <v>5960</v>
      </c>
      <c r="E345" t="s">
        <v>14</v>
      </c>
      <c r="F345" t="s">
        <v>6134</v>
      </c>
      <c r="G345" t="s">
        <v>6724</v>
      </c>
    </row>
    <row r="346" spans="1:7" x14ac:dyDescent="0.3">
      <c r="A346" t="s">
        <v>734</v>
      </c>
      <c r="B346" t="s">
        <v>5959</v>
      </c>
      <c r="C346" t="s">
        <v>19</v>
      </c>
      <c r="D346" t="s">
        <v>5960</v>
      </c>
      <c r="E346" t="s">
        <v>14</v>
      </c>
      <c r="F346" t="s">
        <v>6136</v>
      </c>
      <c r="G346" t="s">
        <v>6725</v>
      </c>
    </row>
    <row r="347" spans="1:7" x14ac:dyDescent="0.3">
      <c r="A347" t="s">
        <v>735</v>
      </c>
      <c r="B347" t="s">
        <v>5959</v>
      </c>
      <c r="C347" t="s">
        <v>19</v>
      </c>
      <c r="D347" t="s">
        <v>5960</v>
      </c>
      <c r="E347" t="s">
        <v>14</v>
      </c>
      <c r="F347" t="s">
        <v>6138</v>
      </c>
      <c r="G347" t="s">
        <v>6726</v>
      </c>
    </row>
    <row r="348" spans="1:7" x14ac:dyDescent="0.3">
      <c r="A348" t="s">
        <v>736</v>
      </c>
      <c r="B348" t="s">
        <v>5959</v>
      </c>
      <c r="C348" t="s">
        <v>19</v>
      </c>
      <c r="D348" t="s">
        <v>5960</v>
      </c>
      <c r="E348" t="s">
        <v>14</v>
      </c>
      <c r="F348" t="s">
        <v>6140</v>
      </c>
      <c r="G348" t="s">
        <v>6727</v>
      </c>
    </row>
    <row r="349" spans="1:7" x14ac:dyDescent="0.3">
      <c r="A349" t="s">
        <v>737</v>
      </c>
      <c r="B349" t="s">
        <v>5959</v>
      </c>
      <c r="C349" t="s">
        <v>19</v>
      </c>
      <c r="D349" t="s">
        <v>5960</v>
      </c>
      <c r="E349" t="s">
        <v>14</v>
      </c>
      <c r="F349" t="s">
        <v>6142</v>
      </c>
      <c r="G349" t="s">
        <v>6728</v>
      </c>
    </row>
    <row r="350" spans="1:7" x14ac:dyDescent="0.3">
      <c r="A350" t="s">
        <v>738</v>
      </c>
      <c r="B350" t="s">
        <v>5959</v>
      </c>
      <c r="C350" t="s">
        <v>19</v>
      </c>
      <c r="D350" t="s">
        <v>5960</v>
      </c>
      <c r="E350" t="s">
        <v>14</v>
      </c>
      <c r="F350" t="s">
        <v>6144</v>
      </c>
      <c r="G350" t="s">
        <v>6729</v>
      </c>
    </row>
    <row r="351" spans="1:7" x14ac:dyDescent="0.3">
      <c r="A351" t="s">
        <v>739</v>
      </c>
      <c r="B351" t="s">
        <v>5959</v>
      </c>
      <c r="C351" t="s">
        <v>19</v>
      </c>
      <c r="D351" t="s">
        <v>5960</v>
      </c>
      <c r="E351" t="s">
        <v>14</v>
      </c>
      <c r="F351" t="s">
        <v>6146</v>
      </c>
      <c r="G351" t="s">
        <v>6730</v>
      </c>
    </row>
    <row r="352" spans="1:7" x14ac:dyDescent="0.3">
      <c r="A352" t="s">
        <v>740</v>
      </c>
      <c r="B352" t="s">
        <v>5959</v>
      </c>
      <c r="C352" t="s">
        <v>19</v>
      </c>
      <c r="D352" t="s">
        <v>5960</v>
      </c>
      <c r="E352" t="s">
        <v>14</v>
      </c>
      <c r="F352" t="s">
        <v>6149</v>
      </c>
      <c r="G352" t="s">
        <v>6731</v>
      </c>
    </row>
    <row r="353" spans="1:7" x14ac:dyDescent="0.3">
      <c r="A353" t="s">
        <v>741</v>
      </c>
      <c r="B353" t="s">
        <v>5959</v>
      </c>
      <c r="C353" t="s">
        <v>19</v>
      </c>
      <c r="D353" t="s">
        <v>5960</v>
      </c>
      <c r="E353" t="s">
        <v>14</v>
      </c>
      <c r="F353" t="s">
        <v>6153</v>
      </c>
      <c r="G353" t="s">
        <v>6732</v>
      </c>
    </row>
    <row r="354" spans="1:7" x14ac:dyDescent="0.3">
      <c r="A354" t="s">
        <v>742</v>
      </c>
      <c r="B354" t="s">
        <v>5959</v>
      </c>
      <c r="C354" t="s">
        <v>19</v>
      </c>
      <c r="D354" t="s">
        <v>5960</v>
      </c>
      <c r="E354" t="s">
        <v>14</v>
      </c>
      <c r="F354" t="s">
        <v>6155</v>
      </c>
      <c r="G354" t="s">
        <v>6733</v>
      </c>
    </row>
    <row r="355" spans="1:7" x14ac:dyDescent="0.3">
      <c r="A355" t="s">
        <v>743</v>
      </c>
      <c r="B355" t="s">
        <v>5959</v>
      </c>
      <c r="C355" t="s">
        <v>19</v>
      </c>
      <c r="D355" t="s">
        <v>5960</v>
      </c>
      <c r="E355" t="s">
        <v>14</v>
      </c>
      <c r="F355" t="s">
        <v>6157</v>
      </c>
      <c r="G355" t="s">
        <v>6734</v>
      </c>
    </row>
    <row r="356" spans="1:7" x14ac:dyDescent="0.3">
      <c r="A356" t="s">
        <v>744</v>
      </c>
      <c r="B356" t="s">
        <v>5959</v>
      </c>
      <c r="C356" t="s">
        <v>19</v>
      </c>
      <c r="D356" t="s">
        <v>5960</v>
      </c>
      <c r="E356" t="s">
        <v>14</v>
      </c>
      <c r="F356" t="s">
        <v>6159</v>
      </c>
      <c r="G356" t="s">
        <v>6735</v>
      </c>
    </row>
    <row r="357" spans="1:7" x14ac:dyDescent="0.3">
      <c r="A357" t="s">
        <v>745</v>
      </c>
      <c r="B357" t="s">
        <v>5959</v>
      </c>
      <c r="C357" t="s">
        <v>19</v>
      </c>
      <c r="D357" t="s">
        <v>5960</v>
      </c>
      <c r="E357" t="s">
        <v>14</v>
      </c>
      <c r="F357" t="s">
        <v>6161</v>
      </c>
      <c r="G357" t="s">
        <v>6736</v>
      </c>
    </row>
    <row r="358" spans="1:7" x14ac:dyDescent="0.3">
      <c r="A358" t="s">
        <v>746</v>
      </c>
      <c r="B358" t="s">
        <v>5959</v>
      </c>
      <c r="C358" t="s">
        <v>19</v>
      </c>
      <c r="D358" t="s">
        <v>5960</v>
      </c>
      <c r="E358" t="s">
        <v>14</v>
      </c>
      <c r="F358" t="s">
        <v>6163</v>
      </c>
      <c r="G358" t="s">
        <v>6737</v>
      </c>
    </row>
    <row r="359" spans="1:7" x14ac:dyDescent="0.3">
      <c r="A359" t="s">
        <v>747</v>
      </c>
      <c r="B359" t="s">
        <v>5959</v>
      </c>
      <c r="C359" t="s">
        <v>19</v>
      </c>
      <c r="D359" t="s">
        <v>5960</v>
      </c>
      <c r="E359" t="s">
        <v>14</v>
      </c>
      <c r="F359" t="s">
        <v>6165</v>
      </c>
      <c r="G359" t="s">
        <v>6738</v>
      </c>
    </row>
    <row r="360" spans="1:7" x14ac:dyDescent="0.3">
      <c r="A360" t="s">
        <v>748</v>
      </c>
      <c r="B360" t="s">
        <v>5959</v>
      </c>
      <c r="C360" t="s">
        <v>19</v>
      </c>
      <c r="D360" t="s">
        <v>5960</v>
      </c>
      <c r="E360" t="s">
        <v>14</v>
      </c>
      <c r="F360" t="s">
        <v>6167</v>
      </c>
      <c r="G360" t="s">
        <v>6739</v>
      </c>
    </row>
    <row r="361" spans="1:7" x14ac:dyDescent="0.3">
      <c r="A361" t="s">
        <v>749</v>
      </c>
      <c r="B361" t="s">
        <v>5959</v>
      </c>
      <c r="C361" t="s">
        <v>19</v>
      </c>
      <c r="D361" t="s">
        <v>5960</v>
      </c>
      <c r="E361" t="s">
        <v>14</v>
      </c>
      <c r="F361" t="s">
        <v>6171</v>
      </c>
      <c r="G361" t="s">
        <v>6740</v>
      </c>
    </row>
    <row r="362" spans="1:7" x14ac:dyDescent="0.3">
      <c r="A362" t="s">
        <v>750</v>
      </c>
      <c r="B362" t="s">
        <v>5959</v>
      </c>
      <c r="C362" t="s">
        <v>19</v>
      </c>
      <c r="D362" t="s">
        <v>5960</v>
      </c>
      <c r="E362" t="s">
        <v>14</v>
      </c>
      <c r="F362" t="s">
        <v>6173</v>
      </c>
      <c r="G362" t="s">
        <v>6741</v>
      </c>
    </row>
    <row r="363" spans="1:7" x14ac:dyDescent="0.3">
      <c r="A363" t="s">
        <v>751</v>
      </c>
      <c r="B363" t="s">
        <v>5959</v>
      </c>
      <c r="C363" t="s">
        <v>19</v>
      </c>
      <c r="D363" t="s">
        <v>5960</v>
      </c>
      <c r="E363" t="s">
        <v>14</v>
      </c>
      <c r="F363" t="s">
        <v>6175</v>
      </c>
      <c r="G363" t="s">
        <v>6742</v>
      </c>
    </row>
    <row r="364" spans="1:7" x14ac:dyDescent="0.3">
      <c r="A364" t="s">
        <v>752</v>
      </c>
      <c r="B364" t="s">
        <v>5959</v>
      </c>
      <c r="C364" t="s">
        <v>19</v>
      </c>
      <c r="D364" t="s">
        <v>5960</v>
      </c>
      <c r="E364" t="s">
        <v>14</v>
      </c>
      <c r="F364" t="s">
        <v>6177</v>
      </c>
      <c r="G364" t="s">
        <v>6743</v>
      </c>
    </row>
    <row r="365" spans="1:7" x14ac:dyDescent="0.3">
      <c r="A365" t="s">
        <v>753</v>
      </c>
      <c r="B365" t="s">
        <v>5959</v>
      </c>
      <c r="C365" t="s">
        <v>19</v>
      </c>
      <c r="D365" t="s">
        <v>5960</v>
      </c>
      <c r="E365" t="s">
        <v>14</v>
      </c>
      <c r="F365" t="s">
        <v>6179</v>
      </c>
      <c r="G365" t="s">
        <v>6744</v>
      </c>
    </row>
    <row r="366" spans="1:7" x14ac:dyDescent="0.3">
      <c r="A366" t="s">
        <v>754</v>
      </c>
      <c r="B366" t="s">
        <v>5959</v>
      </c>
      <c r="C366" t="s">
        <v>19</v>
      </c>
      <c r="D366" t="s">
        <v>5960</v>
      </c>
      <c r="E366" t="s">
        <v>14</v>
      </c>
      <c r="F366" t="s">
        <v>6181</v>
      </c>
      <c r="G366" t="s">
        <v>6745</v>
      </c>
    </row>
    <row r="367" spans="1:7" x14ac:dyDescent="0.3">
      <c r="A367" t="s">
        <v>755</v>
      </c>
      <c r="B367" t="s">
        <v>5959</v>
      </c>
      <c r="C367" t="s">
        <v>19</v>
      </c>
      <c r="D367" t="s">
        <v>5960</v>
      </c>
      <c r="E367" t="s">
        <v>14</v>
      </c>
      <c r="F367" t="s">
        <v>6183</v>
      </c>
      <c r="G367" t="s">
        <v>6746</v>
      </c>
    </row>
    <row r="368" spans="1:7" x14ac:dyDescent="0.3">
      <c r="A368" t="s">
        <v>756</v>
      </c>
      <c r="B368" t="s">
        <v>5959</v>
      </c>
      <c r="C368" t="s">
        <v>19</v>
      </c>
      <c r="D368" t="s">
        <v>5960</v>
      </c>
      <c r="E368" t="s">
        <v>14</v>
      </c>
      <c r="F368" t="s">
        <v>6186</v>
      </c>
      <c r="G368" t="s">
        <v>6747</v>
      </c>
    </row>
    <row r="369" spans="1:7" x14ac:dyDescent="0.3">
      <c r="A369" t="s">
        <v>757</v>
      </c>
      <c r="B369" t="s">
        <v>5959</v>
      </c>
      <c r="C369" t="s">
        <v>19</v>
      </c>
      <c r="D369" t="s">
        <v>5960</v>
      </c>
      <c r="E369" t="s">
        <v>14</v>
      </c>
      <c r="F369" t="s">
        <v>6189</v>
      </c>
      <c r="G369" t="s">
        <v>6748</v>
      </c>
    </row>
    <row r="370" spans="1:7" x14ac:dyDescent="0.3">
      <c r="A370" t="s">
        <v>758</v>
      </c>
      <c r="B370" t="s">
        <v>7577</v>
      </c>
      <c r="C370" t="s">
        <v>19</v>
      </c>
      <c r="D370" t="s">
        <v>7576</v>
      </c>
      <c r="E370" t="s">
        <v>14</v>
      </c>
      <c r="F370" t="s">
        <v>6192</v>
      </c>
      <c r="G370" t="s">
        <v>6767</v>
      </c>
    </row>
    <row r="371" spans="1:7" x14ac:dyDescent="0.3">
      <c r="A371" t="s">
        <v>759</v>
      </c>
      <c r="B371" t="s">
        <v>7579</v>
      </c>
      <c r="C371" t="s">
        <v>19</v>
      </c>
      <c r="D371" t="s">
        <v>7576</v>
      </c>
      <c r="E371" t="s">
        <v>14</v>
      </c>
      <c r="F371" t="s">
        <v>6195</v>
      </c>
      <c r="G371" t="s">
        <v>6768</v>
      </c>
    </row>
    <row r="372" spans="1:7" x14ac:dyDescent="0.3">
      <c r="A372" t="s">
        <v>760</v>
      </c>
      <c r="B372" t="s">
        <v>7580</v>
      </c>
      <c r="C372" t="s">
        <v>19</v>
      </c>
      <c r="D372" t="s">
        <v>7576</v>
      </c>
      <c r="E372" t="s">
        <v>14</v>
      </c>
      <c r="F372" t="s">
        <v>6198</v>
      </c>
      <c r="G372" t="s">
        <v>6769</v>
      </c>
    </row>
    <row r="373" spans="1:7" x14ac:dyDescent="0.3">
      <c r="A373" t="s">
        <v>761</v>
      </c>
      <c r="B373" t="s">
        <v>7581</v>
      </c>
      <c r="C373" t="s">
        <v>15</v>
      </c>
      <c r="D373" t="s">
        <v>7576</v>
      </c>
      <c r="E373" t="s">
        <v>367</v>
      </c>
      <c r="F373" t="s">
        <v>7337</v>
      </c>
      <c r="G373" t="s">
        <v>6770</v>
      </c>
    </row>
    <row r="374" spans="1:7" x14ac:dyDescent="0.3">
      <c r="A374" t="s">
        <v>762</v>
      </c>
      <c r="B374" t="s">
        <v>7581</v>
      </c>
      <c r="C374" t="s">
        <v>15</v>
      </c>
      <c r="D374" t="s">
        <v>7576</v>
      </c>
      <c r="E374" t="s">
        <v>368</v>
      </c>
      <c r="F374" t="s">
        <v>7338</v>
      </c>
      <c r="G374" t="s">
        <v>6771</v>
      </c>
    </row>
    <row r="375" spans="1:7" x14ac:dyDescent="0.3">
      <c r="A375" t="s">
        <v>763</v>
      </c>
      <c r="B375" t="s">
        <v>7581</v>
      </c>
      <c r="C375" t="s">
        <v>15</v>
      </c>
      <c r="D375" t="s">
        <v>7576</v>
      </c>
      <c r="E375" t="s">
        <v>369</v>
      </c>
      <c r="F375" t="s">
        <v>7339</v>
      </c>
      <c r="G375" t="s">
        <v>6772</v>
      </c>
    </row>
    <row r="376" spans="1:7" x14ac:dyDescent="0.3">
      <c r="A376" t="s">
        <v>764</v>
      </c>
      <c r="B376" t="s">
        <v>7581</v>
      </c>
      <c r="C376" t="s">
        <v>15</v>
      </c>
      <c r="D376" t="s">
        <v>7576</v>
      </c>
      <c r="E376" t="s">
        <v>370</v>
      </c>
      <c r="F376" t="s">
        <v>7340</v>
      </c>
      <c r="G376" t="s">
        <v>6773</v>
      </c>
    </row>
    <row r="377" spans="1:7" x14ac:dyDescent="0.3">
      <c r="A377" t="s">
        <v>765</v>
      </c>
      <c r="B377" t="s">
        <v>7581</v>
      </c>
      <c r="C377" t="s">
        <v>15</v>
      </c>
      <c r="D377" t="s">
        <v>7576</v>
      </c>
      <c r="E377" t="s">
        <v>371</v>
      </c>
      <c r="F377" t="s">
        <v>7341</v>
      </c>
      <c r="G377" t="s">
        <v>6774</v>
      </c>
    </row>
    <row r="378" spans="1:7" x14ac:dyDescent="0.3">
      <c r="A378" t="s">
        <v>766</v>
      </c>
      <c r="B378" t="s">
        <v>7581</v>
      </c>
      <c r="C378" t="s">
        <v>15</v>
      </c>
      <c r="D378" t="s">
        <v>7576</v>
      </c>
      <c r="E378" t="s">
        <v>372</v>
      </c>
      <c r="F378" t="s">
        <v>7342</v>
      </c>
      <c r="G378" t="s">
        <v>6775</v>
      </c>
    </row>
    <row r="379" spans="1:7" x14ac:dyDescent="0.3">
      <c r="A379" t="s">
        <v>767</v>
      </c>
      <c r="B379" t="s">
        <v>7581</v>
      </c>
      <c r="C379" t="s">
        <v>15</v>
      </c>
      <c r="D379" t="s">
        <v>7576</v>
      </c>
      <c r="E379" t="s">
        <v>373</v>
      </c>
      <c r="F379" t="s">
        <v>7343</v>
      </c>
      <c r="G379" t="s">
        <v>6776</v>
      </c>
    </row>
    <row r="380" spans="1:7" x14ac:dyDescent="0.3">
      <c r="A380" t="s">
        <v>768</v>
      </c>
      <c r="B380" t="s">
        <v>7581</v>
      </c>
      <c r="C380" t="s">
        <v>15</v>
      </c>
      <c r="D380" t="s">
        <v>7576</v>
      </c>
      <c r="E380" t="s">
        <v>374</v>
      </c>
      <c r="F380" t="s">
        <v>7344</v>
      </c>
      <c r="G380" t="s">
        <v>6777</v>
      </c>
    </row>
    <row r="381" spans="1:7" x14ac:dyDescent="0.3">
      <c r="A381" t="s">
        <v>769</v>
      </c>
      <c r="B381" t="s">
        <v>7581</v>
      </c>
      <c r="C381" t="s">
        <v>15</v>
      </c>
      <c r="D381" t="s">
        <v>7576</v>
      </c>
      <c r="E381" t="s">
        <v>375</v>
      </c>
      <c r="F381" t="s">
        <v>7345</v>
      </c>
      <c r="G381" t="s">
        <v>6778</v>
      </c>
    </row>
    <row r="382" spans="1:7" x14ac:dyDescent="0.3">
      <c r="A382" t="s">
        <v>770</v>
      </c>
      <c r="B382" t="s">
        <v>7581</v>
      </c>
      <c r="C382" t="s">
        <v>15</v>
      </c>
      <c r="D382" t="s">
        <v>7576</v>
      </c>
      <c r="E382" t="s">
        <v>376</v>
      </c>
      <c r="F382" t="s">
        <v>7346</v>
      </c>
      <c r="G382" t="s">
        <v>6779</v>
      </c>
    </row>
    <row r="383" spans="1:7" x14ac:dyDescent="0.3">
      <c r="A383" t="s">
        <v>771</v>
      </c>
      <c r="B383" t="s">
        <v>7581</v>
      </c>
      <c r="C383" t="s">
        <v>15</v>
      </c>
      <c r="D383" t="s">
        <v>7576</v>
      </c>
      <c r="E383" t="s">
        <v>377</v>
      </c>
      <c r="F383" t="s">
        <v>7347</v>
      </c>
      <c r="G383" t="s">
        <v>6780</v>
      </c>
    </row>
    <row r="384" spans="1:7" x14ac:dyDescent="0.3">
      <c r="A384" t="s">
        <v>772</v>
      </c>
      <c r="B384" t="s">
        <v>7581</v>
      </c>
      <c r="C384" t="s">
        <v>15</v>
      </c>
      <c r="D384" t="s">
        <v>7576</v>
      </c>
      <c r="E384" t="s">
        <v>378</v>
      </c>
      <c r="F384" t="s">
        <v>7348</v>
      </c>
      <c r="G384" t="s">
        <v>6781</v>
      </c>
    </row>
    <row r="385" spans="1:7" x14ac:dyDescent="0.3">
      <c r="A385" t="s">
        <v>773</v>
      </c>
      <c r="B385" t="s">
        <v>7581</v>
      </c>
      <c r="C385" t="s">
        <v>15</v>
      </c>
      <c r="D385" t="s">
        <v>7576</v>
      </c>
      <c r="E385" t="s">
        <v>379</v>
      </c>
      <c r="F385" t="s">
        <v>7349</v>
      </c>
      <c r="G385" t="s">
        <v>6782</v>
      </c>
    </row>
    <row r="386" spans="1:7" x14ac:dyDescent="0.3">
      <c r="A386" t="s">
        <v>774</v>
      </c>
      <c r="B386" t="s">
        <v>7581</v>
      </c>
      <c r="C386" t="s">
        <v>15</v>
      </c>
      <c r="D386" t="s">
        <v>7576</v>
      </c>
      <c r="E386" t="s">
        <v>380</v>
      </c>
      <c r="F386" t="s">
        <v>7350</v>
      </c>
      <c r="G386" t="s">
        <v>6783</v>
      </c>
    </row>
    <row r="387" spans="1:7" x14ac:dyDescent="0.3">
      <c r="A387" t="s">
        <v>775</v>
      </c>
      <c r="B387" t="s">
        <v>7581</v>
      </c>
      <c r="C387" t="s">
        <v>15</v>
      </c>
      <c r="D387" t="s">
        <v>7576</v>
      </c>
      <c r="E387" t="s">
        <v>381</v>
      </c>
      <c r="F387" t="s">
        <v>7351</v>
      </c>
      <c r="G387" t="s">
        <v>6784</v>
      </c>
    </row>
    <row r="388" spans="1:7" x14ac:dyDescent="0.3">
      <c r="A388" t="s">
        <v>776</v>
      </c>
      <c r="B388" t="s">
        <v>7581</v>
      </c>
      <c r="C388" t="s">
        <v>15</v>
      </c>
      <c r="D388" t="s">
        <v>7576</v>
      </c>
      <c r="E388" t="s">
        <v>382</v>
      </c>
      <c r="F388" t="s">
        <v>7352</v>
      </c>
      <c r="G388" t="s">
        <v>6785</v>
      </c>
    </row>
    <row r="389" spans="1:7" x14ac:dyDescent="0.3">
      <c r="A389" t="s">
        <v>777</v>
      </c>
      <c r="B389" t="s">
        <v>7581</v>
      </c>
      <c r="C389" t="s">
        <v>15</v>
      </c>
      <c r="D389" t="s">
        <v>7576</v>
      </c>
      <c r="E389" t="s">
        <v>367</v>
      </c>
      <c r="F389" t="s">
        <v>7353</v>
      </c>
      <c r="G389" t="s">
        <v>6786</v>
      </c>
    </row>
    <row r="390" spans="1:7" x14ac:dyDescent="0.3">
      <c r="A390" t="s">
        <v>778</v>
      </c>
      <c r="B390" t="s">
        <v>7581</v>
      </c>
      <c r="C390" t="s">
        <v>15</v>
      </c>
      <c r="D390" t="s">
        <v>7576</v>
      </c>
      <c r="E390" t="s">
        <v>368</v>
      </c>
      <c r="F390" t="s">
        <v>7354</v>
      </c>
      <c r="G390" t="s">
        <v>6787</v>
      </c>
    </row>
    <row r="391" spans="1:7" x14ac:dyDescent="0.3">
      <c r="A391" t="s">
        <v>779</v>
      </c>
      <c r="B391" t="s">
        <v>7581</v>
      </c>
      <c r="C391" t="s">
        <v>15</v>
      </c>
      <c r="D391" t="s">
        <v>7576</v>
      </c>
      <c r="E391" t="s">
        <v>369</v>
      </c>
      <c r="F391" t="s">
        <v>7355</v>
      </c>
      <c r="G391" t="s">
        <v>6788</v>
      </c>
    </row>
    <row r="392" spans="1:7" x14ac:dyDescent="0.3">
      <c r="A392" t="s">
        <v>780</v>
      </c>
      <c r="B392" t="s">
        <v>7581</v>
      </c>
      <c r="C392" t="s">
        <v>15</v>
      </c>
      <c r="D392" t="s">
        <v>7576</v>
      </c>
      <c r="E392" t="s">
        <v>370</v>
      </c>
      <c r="F392" t="s">
        <v>7356</v>
      </c>
      <c r="G392" t="s">
        <v>6789</v>
      </c>
    </row>
    <row r="393" spans="1:7" x14ac:dyDescent="0.3">
      <c r="A393" t="s">
        <v>781</v>
      </c>
      <c r="B393" t="s">
        <v>7581</v>
      </c>
      <c r="C393" t="s">
        <v>15</v>
      </c>
      <c r="D393" t="s">
        <v>7576</v>
      </c>
      <c r="E393" t="s">
        <v>371</v>
      </c>
      <c r="F393" t="s">
        <v>7357</v>
      </c>
      <c r="G393" t="s">
        <v>6790</v>
      </c>
    </row>
    <row r="394" spans="1:7" x14ac:dyDescent="0.3">
      <c r="A394" t="s">
        <v>782</v>
      </c>
      <c r="B394" t="s">
        <v>7581</v>
      </c>
      <c r="C394" t="s">
        <v>15</v>
      </c>
      <c r="D394" t="s">
        <v>7576</v>
      </c>
      <c r="E394" t="s">
        <v>372</v>
      </c>
      <c r="F394" t="s">
        <v>7358</v>
      </c>
      <c r="G394" t="s">
        <v>6791</v>
      </c>
    </row>
    <row r="395" spans="1:7" x14ac:dyDescent="0.3">
      <c r="A395" t="s">
        <v>783</v>
      </c>
      <c r="B395" t="s">
        <v>7581</v>
      </c>
      <c r="C395" t="s">
        <v>15</v>
      </c>
      <c r="D395" t="s">
        <v>7576</v>
      </c>
      <c r="E395" t="s">
        <v>373</v>
      </c>
      <c r="F395" t="s">
        <v>7359</v>
      </c>
      <c r="G395" t="s">
        <v>6792</v>
      </c>
    </row>
    <row r="396" spans="1:7" x14ac:dyDescent="0.3">
      <c r="A396" t="s">
        <v>784</v>
      </c>
      <c r="B396" t="s">
        <v>7581</v>
      </c>
      <c r="C396" t="s">
        <v>15</v>
      </c>
      <c r="D396" t="s">
        <v>7576</v>
      </c>
      <c r="E396" t="s">
        <v>374</v>
      </c>
      <c r="F396" t="s">
        <v>7360</v>
      </c>
      <c r="G396" t="s">
        <v>6793</v>
      </c>
    </row>
    <row r="397" spans="1:7" x14ac:dyDescent="0.3">
      <c r="A397" t="s">
        <v>785</v>
      </c>
      <c r="B397" t="s">
        <v>7581</v>
      </c>
      <c r="C397" t="s">
        <v>15</v>
      </c>
      <c r="D397" t="s">
        <v>7576</v>
      </c>
      <c r="E397" t="s">
        <v>375</v>
      </c>
      <c r="F397" t="s">
        <v>7361</v>
      </c>
      <c r="G397" t="s">
        <v>6794</v>
      </c>
    </row>
    <row r="398" spans="1:7" x14ac:dyDescent="0.3">
      <c r="A398" t="s">
        <v>786</v>
      </c>
      <c r="B398" t="s">
        <v>7581</v>
      </c>
      <c r="C398" t="s">
        <v>15</v>
      </c>
      <c r="D398" t="s">
        <v>7576</v>
      </c>
      <c r="E398" t="s">
        <v>376</v>
      </c>
      <c r="F398" t="s">
        <v>7362</v>
      </c>
      <c r="G398" t="s">
        <v>6795</v>
      </c>
    </row>
    <row r="399" spans="1:7" x14ac:dyDescent="0.3">
      <c r="A399" t="s">
        <v>787</v>
      </c>
      <c r="B399" t="s">
        <v>7581</v>
      </c>
      <c r="C399" t="s">
        <v>15</v>
      </c>
      <c r="D399" t="s">
        <v>7576</v>
      </c>
      <c r="E399" t="s">
        <v>377</v>
      </c>
      <c r="F399" t="s">
        <v>7363</v>
      </c>
      <c r="G399" t="s">
        <v>6796</v>
      </c>
    </row>
    <row r="400" spans="1:7" x14ac:dyDescent="0.3">
      <c r="A400" t="s">
        <v>788</v>
      </c>
      <c r="B400" t="s">
        <v>7581</v>
      </c>
      <c r="C400" t="s">
        <v>15</v>
      </c>
      <c r="D400" t="s">
        <v>7576</v>
      </c>
      <c r="E400" t="s">
        <v>378</v>
      </c>
      <c r="F400" t="s">
        <v>7364</v>
      </c>
      <c r="G400" t="s">
        <v>6797</v>
      </c>
    </row>
    <row r="401" spans="1:7" x14ac:dyDescent="0.3">
      <c r="A401" t="s">
        <v>789</v>
      </c>
      <c r="B401" t="s">
        <v>7581</v>
      </c>
      <c r="C401" t="s">
        <v>15</v>
      </c>
      <c r="D401" t="s">
        <v>7576</v>
      </c>
      <c r="E401" t="s">
        <v>379</v>
      </c>
      <c r="F401" t="s">
        <v>7365</v>
      </c>
      <c r="G401" t="s">
        <v>6798</v>
      </c>
    </row>
    <row r="402" spans="1:7" x14ac:dyDescent="0.3">
      <c r="A402" t="s">
        <v>790</v>
      </c>
      <c r="B402" t="s">
        <v>7581</v>
      </c>
      <c r="C402" t="s">
        <v>15</v>
      </c>
      <c r="D402" t="s">
        <v>7576</v>
      </c>
      <c r="E402" t="s">
        <v>380</v>
      </c>
      <c r="F402" t="s">
        <v>7366</v>
      </c>
      <c r="G402" t="s">
        <v>6799</v>
      </c>
    </row>
    <row r="403" spans="1:7" x14ac:dyDescent="0.3">
      <c r="A403" t="s">
        <v>791</v>
      </c>
      <c r="B403" t="s">
        <v>7581</v>
      </c>
      <c r="C403" t="s">
        <v>15</v>
      </c>
      <c r="D403" t="s">
        <v>7576</v>
      </c>
      <c r="E403" t="s">
        <v>381</v>
      </c>
      <c r="F403" t="s">
        <v>7367</v>
      </c>
      <c r="G403" t="s">
        <v>6800</v>
      </c>
    </row>
    <row r="404" spans="1:7" x14ac:dyDescent="0.3">
      <c r="A404" t="s">
        <v>792</v>
      </c>
      <c r="B404" t="s">
        <v>7581</v>
      </c>
      <c r="C404" t="s">
        <v>15</v>
      </c>
      <c r="D404" t="s">
        <v>7576</v>
      </c>
      <c r="E404" t="s">
        <v>382</v>
      </c>
      <c r="F404" t="s">
        <v>7368</v>
      </c>
      <c r="G404" t="s">
        <v>6801</v>
      </c>
    </row>
    <row r="405" spans="1:7" x14ac:dyDescent="0.3">
      <c r="A405" t="s">
        <v>793</v>
      </c>
      <c r="B405" t="s">
        <v>7581</v>
      </c>
      <c r="C405" t="s">
        <v>15</v>
      </c>
      <c r="D405" t="s">
        <v>7576</v>
      </c>
      <c r="E405" t="s">
        <v>367</v>
      </c>
      <c r="F405" t="s">
        <v>6455</v>
      </c>
      <c r="G405" t="s">
        <v>6802</v>
      </c>
    </row>
    <row r="406" spans="1:7" x14ac:dyDescent="0.3">
      <c r="A406" t="s">
        <v>794</v>
      </c>
      <c r="B406" t="s">
        <v>7581</v>
      </c>
      <c r="C406" t="s">
        <v>15</v>
      </c>
      <c r="D406" t="s">
        <v>7576</v>
      </c>
      <c r="E406" t="s">
        <v>368</v>
      </c>
      <c r="F406" t="s">
        <v>7369</v>
      </c>
      <c r="G406" t="s">
        <v>6803</v>
      </c>
    </row>
    <row r="407" spans="1:7" x14ac:dyDescent="0.3">
      <c r="A407" t="s">
        <v>795</v>
      </c>
      <c r="B407" t="s">
        <v>7581</v>
      </c>
      <c r="C407" t="s">
        <v>15</v>
      </c>
      <c r="D407" t="s">
        <v>7576</v>
      </c>
      <c r="E407" t="s">
        <v>369</v>
      </c>
      <c r="F407" t="s">
        <v>7370</v>
      </c>
      <c r="G407" t="s">
        <v>6804</v>
      </c>
    </row>
    <row r="408" spans="1:7" x14ac:dyDescent="0.3">
      <c r="A408" t="s">
        <v>796</v>
      </c>
      <c r="B408" t="s">
        <v>7581</v>
      </c>
      <c r="C408" t="s">
        <v>15</v>
      </c>
      <c r="D408" t="s">
        <v>7576</v>
      </c>
      <c r="E408" t="s">
        <v>370</v>
      </c>
      <c r="F408" t="s">
        <v>7371</v>
      </c>
      <c r="G408" t="s">
        <v>6805</v>
      </c>
    </row>
    <row r="409" spans="1:7" x14ac:dyDescent="0.3">
      <c r="A409" t="s">
        <v>797</v>
      </c>
      <c r="B409" t="s">
        <v>7581</v>
      </c>
      <c r="C409" t="s">
        <v>15</v>
      </c>
      <c r="D409" t="s">
        <v>7576</v>
      </c>
      <c r="E409" t="s">
        <v>371</v>
      </c>
      <c r="F409" t="s">
        <v>7372</v>
      </c>
      <c r="G409" t="s">
        <v>6806</v>
      </c>
    </row>
    <row r="410" spans="1:7" x14ac:dyDescent="0.3">
      <c r="A410" t="s">
        <v>798</v>
      </c>
      <c r="B410" t="s">
        <v>7581</v>
      </c>
      <c r="C410" t="s">
        <v>15</v>
      </c>
      <c r="D410" t="s">
        <v>7576</v>
      </c>
      <c r="E410" t="s">
        <v>372</v>
      </c>
      <c r="F410" t="s">
        <v>7373</v>
      </c>
      <c r="G410" t="s">
        <v>6807</v>
      </c>
    </row>
    <row r="411" spans="1:7" x14ac:dyDescent="0.3">
      <c r="A411" t="s">
        <v>799</v>
      </c>
      <c r="B411" t="s">
        <v>7581</v>
      </c>
      <c r="C411" t="s">
        <v>15</v>
      </c>
      <c r="D411" t="s">
        <v>7576</v>
      </c>
      <c r="E411" t="s">
        <v>373</v>
      </c>
      <c r="F411" t="s">
        <v>7374</v>
      </c>
      <c r="G411" t="s">
        <v>6808</v>
      </c>
    </row>
    <row r="412" spans="1:7" x14ac:dyDescent="0.3">
      <c r="A412" t="s">
        <v>800</v>
      </c>
      <c r="B412" t="s">
        <v>7581</v>
      </c>
      <c r="C412" t="s">
        <v>15</v>
      </c>
      <c r="D412" t="s">
        <v>7576</v>
      </c>
      <c r="E412" t="s">
        <v>374</v>
      </c>
      <c r="F412" t="s">
        <v>7375</v>
      </c>
      <c r="G412" t="s">
        <v>6809</v>
      </c>
    </row>
    <row r="413" spans="1:7" x14ac:dyDescent="0.3">
      <c r="A413" t="s">
        <v>801</v>
      </c>
      <c r="B413" t="s">
        <v>7581</v>
      </c>
      <c r="C413" t="s">
        <v>15</v>
      </c>
      <c r="D413" t="s">
        <v>7576</v>
      </c>
      <c r="E413" t="s">
        <v>375</v>
      </c>
      <c r="F413" t="s">
        <v>7376</v>
      </c>
      <c r="G413" t="s">
        <v>6810</v>
      </c>
    </row>
    <row r="414" spans="1:7" x14ac:dyDescent="0.3">
      <c r="A414" t="s">
        <v>802</v>
      </c>
      <c r="B414" t="s">
        <v>7581</v>
      </c>
      <c r="C414" t="s">
        <v>15</v>
      </c>
      <c r="D414" t="s">
        <v>7576</v>
      </c>
      <c r="E414" t="s">
        <v>376</v>
      </c>
      <c r="F414" t="s">
        <v>7377</v>
      </c>
      <c r="G414" t="s">
        <v>6811</v>
      </c>
    </row>
    <row r="415" spans="1:7" x14ac:dyDescent="0.3">
      <c r="A415" t="s">
        <v>803</v>
      </c>
      <c r="B415" t="s">
        <v>7581</v>
      </c>
      <c r="C415" t="s">
        <v>15</v>
      </c>
      <c r="D415" t="s">
        <v>7576</v>
      </c>
      <c r="E415" t="s">
        <v>377</v>
      </c>
      <c r="F415" t="s">
        <v>7378</v>
      </c>
      <c r="G415" t="s">
        <v>6812</v>
      </c>
    </row>
    <row r="416" spans="1:7" x14ac:dyDescent="0.3">
      <c r="A416" t="s">
        <v>804</v>
      </c>
      <c r="B416" t="s">
        <v>7581</v>
      </c>
      <c r="C416" t="s">
        <v>15</v>
      </c>
      <c r="D416" t="s">
        <v>7576</v>
      </c>
      <c r="E416" t="s">
        <v>378</v>
      </c>
      <c r="F416" t="s">
        <v>7379</v>
      </c>
      <c r="G416" t="s">
        <v>6813</v>
      </c>
    </row>
    <row r="417" spans="1:7" x14ac:dyDescent="0.3">
      <c r="A417" t="s">
        <v>805</v>
      </c>
      <c r="B417" t="s">
        <v>7581</v>
      </c>
      <c r="C417" t="s">
        <v>15</v>
      </c>
      <c r="D417" t="s">
        <v>7576</v>
      </c>
      <c r="E417" t="s">
        <v>379</v>
      </c>
      <c r="F417" t="s">
        <v>7380</v>
      </c>
      <c r="G417" t="s">
        <v>6814</v>
      </c>
    </row>
    <row r="418" spans="1:7" x14ac:dyDescent="0.3">
      <c r="A418" t="s">
        <v>806</v>
      </c>
      <c r="B418" t="s">
        <v>7581</v>
      </c>
      <c r="C418" t="s">
        <v>15</v>
      </c>
      <c r="D418" t="s">
        <v>7576</v>
      </c>
      <c r="E418" t="s">
        <v>380</v>
      </c>
      <c r="F418" t="s">
        <v>7381</v>
      </c>
      <c r="G418" t="s">
        <v>6815</v>
      </c>
    </row>
    <row r="419" spans="1:7" x14ac:dyDescent="0.3">
      <c r="A419" t="s">
        <v>807</v>
      </c>
      <c r="B419" t="s">
        <v>7581</v>
      </c>
      <c r="C419" t="s">
        <v>15</v>
      </c>
      <c r="D419" t="s">
        <v>7576</v>
      </c>
      <c r="E419" t="s">
        <v>381</v>
      </c>
      <c r="F419" t="s">
        <v>7382</v>
      </c>
      <c r="G419" t="s">
        <v>6816</v>
      </c>
    </row>
    <row r="420" spans="1:7" x14ac:dyDescent="0.3">
      <c r="A420" t="s">
        <v>808</v>
      </c>
      <c r="B420" t="s">
        <v>7581</v>
      </c>
      <c r="C420" t="s">
        <v>15</v>
      </c>
      <c r="D420" t="s">
        <v>7576</v>
      </c>
      <c r="E420" t="s">
        <v>382</v>
      </c>
      <c r="F420" t="s">
        <v>7383</v>
      </c>
      <c r="G420" t="s">
        <v>6817</v>
      </c>
    </row>
    <row r="421" spans="1:7" x14ac:dyDescent="0.3">
      <c r="A421" t="s">
        <v>809</v>
      </c>
      <c r="B421" t="s">
        <v>7581</v>
      </c>
      <c r="C421" t="s">
        <v>17</v>
      </c>
      <c r="D421" t="s">
        <v>7576</v>
      </c>
      <c r="E421" t="s">
        <v>29</v>
      </c>
      <c r="F421" t="s">
        <v>7384</v>
      </c>
      <c r="G421" t="s">
        <v>6818</v>
      </c>
    </row>
    <row r="422" spans="1:7" x14ac:dyDescent="0.3">
      <c r="A422" t="s">
        <v>810</v>
      </c>
      <c r="B422" t="s">
        <v>7581</v>
      </c>
      <c r="C422" t="s">
        <v>17</v>
      </c>
      <c r="D422" t="s">
        <v>7576</v>
      </c>
      <c r="E422" t="s">
        <v>16</v>
      </c>
      <c r="F422" t="s">
        <v>7385</v>
      </c>
      <c r="G422" t="s">
        <v>6819</v>
      </c>
    </row>
    <row r="423" spans="1:7" x14ac:dyDescent="0.3">
      <c r="A423" t="s">
        <v>811</v>
      </c>
      <c r="B423" t="s">
        <v>7581</v>
      </c>
      <c r="C423" t="s">
        <v>17</v>
      </c>
      <c r="D423" t="s">
        <v>7576</v>
      </c>
      <c r="E423" t="s">
        <v>39</v>
      </c>
      <c r="F423" t="s">
        <v>7386</v>
      </c>
      <c r="G423" t="s">
        <v>6820</v>
      </c>
    </row>
    <row r="424" spans="1:7" x14ac:dyDescent="0.3">
      <c r="A424" t="s">
        <v>812</v>
      </c>
      <c r="B424" t="s">
        <v>7581</v>
      </c>
      <c r="C424" t="s">
        <v>17</v>
      </c>
      <c r="D424" t="s">
        <v>7576</v>
      </c>
      <c r="E424" t="s">
        <v>42</v>
      </c>
      <c r="F424" t="s">
        <v>7387</v>
      </c>
      <c r="G424" t="s">
        <v>6821</v>
      </c>
    </row>
    <row r="425" spans="1:7" x14ac:dyDescent="0.3">
      <c r="A425" t="s">
        <v>813</v>
      </c>
      <c r="B425" t="s">
        <v>7581</v>
      </c>
      <c r="C425" t="s">
        <v>17</v>
      </c>
      <c r="D425" t="s">
        <v>7576</v>
      </c>
      <c r="E425" t="s">
        <v>6010</v>
      </c>
      <c r="F425" t="s">
        <v>7388</v>
      </c>
      <c r="G425" t="s">
        <v>6822</v>
      </c>
    </row>
    <row r="426" spans="1:7" x14ac:dyDescent="0.3">
      <c r="A426" t="s">
        <v>814</v>
      </c>
      <c r="B426" t="s">
        <v>7581</v>
      </c>
      <c r="C426" t="s">
        <v>17</v>
      </c>
      <c r="D426" t="s">
        <v>7576</v>
      </c>
      <c r="E426" t="s">
        <v>48</v>
      </c>
      <c r="F426" t="s">
        <v>7389</v>
      </c>
      <c r="G426" t="s">
        <v>6823</v>
      </c>
    </row>
    <row r="427" spans="1:7" x14ac:dyDescent="0.3">
      <c r="A427" t="s">
        <v>815</v>
      </c>
      <c r="B427" t="s">
        <v>7581</v>
      </c>
      <c r="C427" t="s">
        <v>17</v>
      </c>
      <c r="D427" t="s">
        <v>7576</v>
      </c>
      <c r="E427" t="s">
        <v>49</v>
      </c>
      <c r="F427" t="s">
        <v>7390</v>
      </c>
      <c r="G427" t="s">
        <v>6824</v>
      </c>
    </row>
    <row r="428" spans="1:7" x14ac:dyDescent="0.3">
      <c r="A428" t="s">
        <v>816</v>
      </c>
      <c r="B428" t="s">
        <v>7581</v>
      </c>
      <c r="C428" t="s">
        <v>17</v>
      </c>
      <c r="D428" t="s">
        <v>7576</v>
      </c>
      <c r="E428" t="s">
        <v>25</v>
      </c>
      <c r="F428" t="s">
        <v>7391</v>
      </c>
      <c r="G428" t="s">
        <v>6825</v>
      </c>
    </row>
    <row r="429" spans="1:7" x14ac:dyDescent="0.3">
      <c r="A429" t="s">
        <v>817</v>
      </c>
      <c r="B429" t="s">
        <v>7581</v>
      </c>
      <c r="C429" t="s">
        <v>17</v>
      </c>
      <c r="D429" t="s">
        <v>7576</v>
      </c>
      <c r="E429" t="s">
        <v>58</v>
      </c>
      <c r="F429" t="s">
        <v>7392</v>
      </c>
      <c r="G429" t="s">
        <v>6826</v>
      </c>
    </row>
    <row r="430" spans="1:7" x14ac:dyDescent="0.3">
      <c r="A430" t="s">
        <v>818</v>
      </c>
      <c r="B430" t="s">
        <v>7581</v>
      </c>
      <c r="C430" t="s">
        <v>17</v>
      </c>
      <c r="D430" t="s">
        <v>7576</v>
      </c>
      <c r="E430" t="s">
        <v>53</v>
      </c>
      <c r="F430" t="s">
        <v>7393</v>
      </c>
      <c r="G430" t="s">
        <v>6827</v>
      </c>
    </row>
    <row r="431" spans="1:7" x14ac:dyDescent="0.3">
      <c r="A431" t="s">
        <v>819</v>
      </c>
      <c r="B431" t="s">
        <v>7581</v>
      </c>
      <c r="C431" t="s">
        <v>17</v>
      </c>
      <c r="D431" t="s">
        <v>7576</v>
      </c>
      <c r="E431" t="s">
        <v>21</v>
      </c>
      <c r="F431" t="s">
        <v>7394</v>
      </c>
      <c r="G431" t="s">
        <v>6828</v>
      </c>
    </row>
    <row r="432" spans="1:7" x14ac:dyDescent="0.3">
      <c r="A432" t="s">
        <v>820</v>
      </c>
      <c r="B432" t="s">
        <v>7581</v>
      </c>
      <c r="C432" t="s">
        <v>17</v>
      </c>
      <c r="D432" t="s">
        <v>7576</v>
      </c>
      <c r="E432" t="s">
        <v>57</v>
      </c>
      <c r="F432" t="s">
        <v>7395</v>
      </c>
      <c r="G432" t="s">
        <v>6829</v>
      </c>
    </row>
    <row r="433" spans="1:7" x14ac:dyDescent="0.3">
      <c r="A433" t="s">
        <v>821</v>
      </c>
      <c r="B433" t="s">
        <v>7581</v>
      </c>
      <c r="C433" t="s">
        <v>17</v>
      </c>
      <c r="D433" t="s">
        <v>7576</v>
      </c>
      <c r="E433" t="s">
        <v>83</v>
      </c>
      <c r="F433" t="s">
        <v>7396</v>
      </c>
      <c r="G433" t="s">
        <v>6830</v>
      </c>
    </row>
    <row r="434" spans="1:7" x14ac:dyDescent="0.3">
      <c r="A434" t="s">
        <v>822</v>
      </c>
      <c r="B434" t="s">
        <v>7581</v>
      </c>
      <c r="C434" t="s">
        <v>17</v>
      </c>
      <c r="D434" t="s">
        <v>7576</v>
      </c>
      <c r="E434" t="s">
        <v>77</v>
      </c>
      <c r="F434" t="s">
        <v>7397</v>
      </c>
      <c r="G434" t="s">
        <v>6831</v>
      </c>
    </row>
    <row r="435" spans="1:7" x14ac:dyDescent="0.3">
      <c r="A435" t="s">
        <v>823</v>
      </c>
      <c r="B435" t="s">
        <v>7581</v>
      </c>
      <c r="C435" t="s">
        <v>17</v>
      </c>
      <c r="D435" t="s">
        <v>7576</v>
      </c>
      <c r="E435" t="s">
        <v>100</v>
      </c>
      <c r="F435" t="s">
        <v>7398</v>
      </c>
      <c r="G435" t="s">
        <v>6832</v>
      </c>
    </row>
    <row r="436" spans="1:7" x14ac:dyDescent="0.3">
      <c r="A436" t="s">
        <v>824</v>
      </c>
      <c r="B436" t="s">
        <v>7581</v>
      </c>
      <c r="C436" t="s">
        <v>17</v>
      </c>
      <c r="D436" t="s">
        <v>7576</v>
      </c>
      <c r="E436" t="s">
        <v>73</v>
      </c>
      <c r="F436" t="s">
        <v>7399</v>
      </c>
      <c r="G436" t="s">
        <v>6833</v>
      </c>
    </row>
    <row r="437" spans="1:7" x14ac:dyDescent="0.3">
      <c r="A437" t="s">
        <v>825</v>
      </c>
      <c r="B437" t="s">
        <v>7581</v>
      </c>
      <c r="C437" t="s">
        <v>17</v>
      </c>
      <c r="D437" t="s">
        <v>7576</v>
      </c>
      <c r="E437" t="s">
        <v>82</v>
      </c>
      <c r="F437" t="s">
        <v>7400</v>
      </c>
      <c r="G437" t="s">
        <v>6834</v>
      </c>
    </row>
    <row r="438" spans="1:7" x14ac:dyDescent="0.3">
      <c r="A438" t="s">
        <v>826</v>
      </c>
      <c r="B438" t="s">
        <v>7581</v>
      </c>
      <c r="C438" t="s">
        <v>17</v>
      </c>
      <c r="D438" t="s">
        <v>7576</v>
      </c>
      <c r="E438" t="s">
        <v>6024</v>
      </c>
      <c r="F438" t="s">
        <v>7401</v>
      </c>
      <c r="G438" t="s">
        <v>6835</v>
      </c>
    </row>
    <row r="439" spans="1:7" x14ac:dyDescent="0.3">
      <c r="A439" t="s">
        <v>827</v>
      </c>
      <c r="B439" t="s">
        <v>7581</v>
      </c>
      <c r="C439" t="s">
        <v>17</v>
      </c>
      <c r="D439" t="s">
        <v>7576</v>
      </c>
      <c r="E439" t="s">
        <v>93</v>
      </c>
      <c r="F439" t="s">
        <v>7402</v>
      </c>
      <c r="G439" t="s">
        <v>6836</v>
      </c>
    </row>
    <row r="440" spans="1:7" x14ac:dyDescent="0.3">
      <c r="A440" t="s">
        <v>828</v>
      </c>
      <c r="B440" t="s">
        <v>7581</v>
      </c>
      <c r="C440" t="s">
        <v>17</v>
      </c>
      <c r="D440" t="s">
        <v>7576</v>
      </c>
      <c r="E440" t="s">
        <v>6027</v>
      </c>
      <c r="F440" t="s">
        <v>7403</v>
      </c>
      <c r="G440" t="s">
        <v>6837</v>
      </c>
    </row>
    <row r="441" spans="1:7" x14ac:dyDescent="0.3">
      <c r="A441" t="s">
        <v>829</v>
      </c>
      <c r="B441" t="s">
        <v>7581</v>
      </c>
      <c r="C441" t="s">
        <v>17</v>
      </c>
      <c r="D441" t="s">
        <v>7576</v>
      </c>
      <c r="E441" t="s">
        <v>102</v>
      </c>
      <c r="F441" t="s">
        <v>7404</v>
      </c>
      <c r="G441" t="s">
        <v>6838</v>
      </c>
    </row>
    <row r="442" spans="1:7" x14ac:dyDescent="0.3">
      <c r="A442" t="s">
        <v>830</v>
      </c>
      <c r="B442" t="s">
        <v>7581</v>
      </c>
      <c r="C442" t="s">
        <v>17</v>
      </c>
      <c r="D442" t="s">
        <v>7576</v>
      </c>
      <c r="E442" t="s">
        <v>6030</v>
      </c>
      <c r="F442" t="s">
        <v>7405</v>
      </c>
      <c r="G442" t="s">
        <v>6839</v>
      </c>
    </row>
    <row r="443" spans="1:7" x14ac:dyDescent="0.3">
      <c r="A443" t="s">
        <v>831</v>
      </c>
      <c r="B443" t="s">
        <v>7581</v>
      </c>
      <c r="C443" t="s">
        <v>17</v>
      </c>
      <c r="D443" t="s">
        <v>7576</v>
      </c>
      <c r="E443" t="s">
        <v>108</v>
      </c>
      <c r="F443" t="s">
        <v>7406</v>
      </c>
      <c r="G443" t="s">
        <v>6840</v>
      </c>
    </row>
    <row r="444" spans="1:7" x14ac:dyDescent="0.3">
      <c r="A444" t="s">
        <v>832</v>
      </c>
      <c r="B444" t="s">
        <v>7581</v>
      </c>
      <c r="C444" t="s">
        <v>17</v>
      </c>
      <c r="D444" t="s">
        <v>7576</v>
      </c>
      <c r="E444" t="s">
        <v>103</v>
      </c>
      <c r="F444" t="s">
        <v>7407</v>
      </c>
      <c r="G444" t="s">
        <v>6841</v>
      </c>
    </row>
    <row r="445" spans="1:7" x14ac:dyDescent="0.3">
      <c r="A445" t="s">
        <v>833</v>
      </c>
      <c r="B445" t="s">
        <v>7581</v>
      </c>
      <c r="C445" t="s">
        <v>17</v>
      </c>
      <c r="D445" t="s">
        <v>7576</v>
      </c>
      <c r="E445" t="s">
        <v>117</v>
      </c>
      <c r="F445" t="s">
        <v>7408</v>
      </c>
      <c r="G445" t="s">
        <v>6842</v>
      </c>
    </row>
    <row r="446" spans="1:7" x14ac:dyDescent="0.3">
      <c r="A446" t="s">
        <v>834</v>
      </c>
      <c r="B446" t="s">
        <v>7581</v>
      </c>
      <c r="C446" t="s">
        <v>17</v>
      </c>
      <c r="D446" t="s">
        <v>7576</v>
      </c>
      <c r="E446" t="s">
        <v>126</v>
      </c>
      <c r="F446" t="s">
        <v>7409</v>
      </c>
      <c r="G446" t="s">
        <v>6843</v>
      </c>
    </row>
    <row r="447" spans="1:7" x14ac:dyDescent="0.3">
      <c r="A447" t="s">
        <v>835</v>
      </c>
      <c r="B447" t="s">
        <v>7581</v>
      </c>
      <c r="C447" t="s">
        <v>17</v>
      </c>
      <c r="D447" t="s">
        <v>7576</v>
      </c>
      <c r="E447" t="s">
        <v>119</v>
      </c>
      <c r="F447" t="s">
        <v>7410</v>
      </c>
      <c r="G447" t="s">
        <v>6844</v>
      </c>
    </row>
    <row r="448" spans="1:7" x14ac:dyDescent="0.3">
      <c r="A448" t="s">
        <v>836</v>
      </c>
      <c r="B448" t="s">
        <v>7581</v>
      </c>
      <c r="C448" t="s">
        <v>17</v>
      </c>
      <c r="D448" t="s">
        <v>7576</v>
      </c>
      <c r="E448" t="s">
        <v>135</v>
      </c>
      <c r="F448" t="s">
        <v>7411</v>
      </c>
      <c r="G448" t="s">
        <v>6845</v>
      </c>
    </row>
    <row r="449" spans="1:7" x14ac:dyDescent="0.3">
      <c r="A449" t="s">
        <v>837</v>
      </c>
      <c r="B449" t="s">
        <v>7581</v>
      </c>
      <c r="C449" t="s">
        <v>17</v>
      </c>
      <c r="D449" t="s">
        <v>7576</v>
      </c>
      <c r="E449" t="s">
        <v>145</v>
      </c>
      <c r="F449" t="s">
        <v>7412</v>
      </c>
      <c r="G449" t="s">
        <v>6846</v>
      </c>
    </row>
    <row r="450" spans="1:7" x14ac:dyDescent="0.3">
      <c r="A450" t="s">
        <v>838</v>
      </c>
      <c r="B450" t="s">
        <v>7581</v>
      </c>
      <c r="C450" t="s">
        <v>17</v>
      </c>
      <c r="D450" t="s">
        <v>7576</v>
      </c>
      <c r="E450" t="s">
        <v>6039</v>
      </c>
      <c r="F450" t="s">
        <v>7413</v>
      </c>
      <c r="G450" t="s">
        <v>6847</v>
      </c>
    </row>
    <row r="451" spans="1:7" x14ac:dyDescent="0.3">
      <c r="A451" t="s">
        <v>839</v>
      </c>
      <c r="B451" t="s">
        <v>7581</v>
      </c>
      <c r="C451" t="s">
        <v>17</v>
      </c>
      <c r="D451" t="s">
        <v>7576</v>
      </c>
      <c r="E451" t="s">
        <v>6041</v>
      </c>
      <c r="F451" t="s">
        <v>7414</v>
      </c>
      <c r="G451" t="s">
        <v>6848</v>
      </c>
    </row>
    <row r="452" spans="1:7" x14ac:dyDescent="0.3">
      <c r="A452" t="s">
        <v>840</v>
      </c>
      <c r="B452" t="s">
        <v>7581</v>
      </c>
      <c r="C452" t="s">
        <v>17</v>
      </c>
      <c r="D452" t="s">
        <v>7576</v>
      </c>
      <c r="E452" t="s">
        <v>157</v>
      </c>
      <c r="F452" t="s">
        <v>7415</v>
      </c>
      <c r="G452" t="s">
        <v>6849</v>
      </c>
    </row>
    <row r="453" spans="1:7" x14ac:dyDescent="0.3">
      <c r="A453" t="s">
        <v>841</v>
      </c>
      <c r="B453" t="s">
        <v>7581</v>
      </c>
      <c r="C453" t="s">
        <v>17</v>
      </c>
      <c r="D453" t="s">
        <v>7576</v>
      </c>
      <c r="E453" t="s">
        <v>151</v>
      </c>
      <c r="F453" t="s">
        <v>7416</v>
      </c>
      <c r="G453" t="s">
        <v>6850</v>
      </c>
    </row>
    <row r="454" spans="1:7" x14ac:dyDescent="0.3">
      <c r="A454" t="s">
        <v>842</v>
      </c>
      <c r="B454" t="s">
        <v>7581</v>
      </c>
      <c r="C454" t="s">
        <v>17</v>
      </c>
      <c r="D454" t="s">
        <v>7576</v>
      </c>
      <c r="E454" t="s">
        <v>160</v>
      </c>
      <c r="F454" t="s">
        <v>7417</v>
      </c>
      <c r="G454" t="s">
        <v>6851</v>
      </c>
    </row>
    <row r="455" spans="1:7" x14ac:dyDescent="0.3">
      <c r="A455" t="s">
        <v>843</v>
      </c>
      <c r="B455" t="s">
        <v>7581</v>
      </c>
      <c r="C455" t="s">
        <v>17</v>
      </c>
      <c r="D455" t="s">
        <v>7576</v>
      </c>
      <c r="E455" t="s">
        <v>162</v>
      </c>
      <c r="F455" t="s">
        <v>7418</v>
      </c>
      <c r="G455" t="s">
        <v>6852</v>
      </c>
    </row>
    <row r="456" spans="1:7" x14ac:dyDescent="0.3">
      <c r="A456" t="s">
        <v>844</v>
      </c>
      <c r="B456" t="s">
        <v>7581</v>
      </c>
      <c r="C456" t="s">
        <v>17</v>
      </c>
      <c r="D456" t="s">
        <v>7576</v>
      </c>
      <c r="E456" t="s">
        <v>136</v>
      </c>
      <c r="F456" t="s">
        <v>7419</v>
      </c>
      <c r="G456" t="s">
        <v>6853</v>
      </c>
    </row>
    <row r="457" spans="1:7" x14ac:dyDescent="0.3">
      <c r="A457" t="s">
        <v>845</v>
      </c>
      <c r="B457" t="s">
        <v>7581</v>
      </c>
      <c r="C457" t="s">
        <v>17</v>
      </c>
      <c r="D457" t="s">
        <v>7576</v>
      </c>
      <c r="E457" t="s">
        <v>178</v>
      </c>
      <c r="F457" t="s">
        <v>7420</v>
      </c>
      <c r="G457" t="s">
        <v>6854</v>
      </c>
    </row>
    <row r="458" spans="1:7" x14ac:dyDescent="0.3">
      <c r="A458" t="s">
        <v>846</v>
      </c>
      <c r="B458" t="s">
        <v>7581</v>
      </c>
      <c r="C458" t="s">
        <v>17</v>
      </c>
      <c r="D458" t="s">
        <v>7576</v>
      </c>
      <c r="E458" t="s">
        <v>179</v>
      </c>
      <c r="F458" t="s">
        <v>7421</v>
      </c>
      <c r="G458" t="s">
        <v>6855</v>
      </c>
    </row>
    <row r="459" spans="1:7" x14ac:dyDescent="0.3">
      <c r="A459" t="s">
        <v>847</v>
      </c>
      <c r="B459" t="s">
        <v>7581</v>
      </c>
      <c r="C459" t="s">
        <v>17</v>
      </c>
      <c r="D459" t="s">
        <v>7576</v>
      </c>
      <c r="E459" t="s">
        <v>167</v>
      </c>
      <c r="F459" t="s">
        <v>7422</v>
      </c>
      <c r="G459" t="s">
        <v>6856</v>
      </c>
    </row>
    <row r="460" spans="1:7" x14ac:dyDescent="0.3">
      <c r="A460" t="s">
        <v>848</v>
      </c>
      <c r="B460" t="s">
        <v>7581</v>
      </c>
      <c r="C460" t="s">
        <v>17</v>
      </c>
      <c r="D460" t="s">
        <v>7576</v>
      </c>
      <c r="E460" t="s">
        <v>6051</v>
      </c>
      <c r="F460" t="s">
        <v>7423</v>
      </c>
      <c r="G460" t="s">
        <v>6857</v>
      </c>
    </row>
    <row r="461" spans="1:7" x14ac:dyDescent="0.3">
      <c r="A461" t="s">
        <v>849</v>
      </c>
      <c r="B461" t="s">
        <v>7581</v>
      </c>
      <c r="C461" t="s">
        <v>17</v>
      </c>
      <c r="D461" t="s">
        <v>7576</v>
      </c>
      <c r="E461" t="s">
        <v>166</v>
      </c>
      <c r="F461" t="s">
        <v>7424</v>
      </c>
      <c r="G461" t="s">
        <v>6858</v>
      </c>
    </row>
    <row r="462" spans="1:7" x14ac:dyDescent="0.3">
      <c r="A462" t="s">
        <v>850</v>
      </c>
      <c r="B462" t="s">
        <v>7581</v>
      </c>
      <c r="C462" t="s">
        <v>17</v>
      </c>
      <c r="D462" t="s">
        <v>7576</v>
      </c>
      <c r="E462" t="s">
        <v>184</v>
      </c>
      <c r="F462" t="s">
        <v>7425</v>
      </c>
      <c r="G462" t="s">
        <v>6859</v>
      </c>
    </row>
    <row r="463" spans="1:7" x14ac:dyDescent="0.3">
      <c r="A463" t="s">
        <v>851</v>
      </c>
      <c r="B463" t="s">
        <v>7581</v>
      </c>
      <c r="C463" t="s">
        <v>17</v>
      </c>
      <c r="D463" t="s">
        <v>7576</v>
      </c>
      <c r="E463" t="s">
        <v>174</v>
      </c>
      <c r="F463" t="s">
        <v>7426</v>
      </c>
      <c r="G463" t="s">
        <v>6860</v>
      </c>
    </row>
    <row r="464" spans="1:7" x14ac:dyDescent="0.3">
      <c r="A464" t="s">
        <v>852</v>
      </c>
      <c r="B464" t="s">
        <v>7581</v>
      </c>
      <c r="C464" t="s">
        <v>17</v>
      </c>
      <c r="D464" t="s">
        <v>7576</v>
      </c>
      <c r="E464" t="s">
        <v>6056</v>
      </c>
      <c r="F464" t="s">
        <v>7427</v>
      </c>
      <c r="G464" t="s">
        <v>6861</v>
      </c>
    </row>
    <row r="465" spans="1:7" x14ac:dyDescent="0.3">
      <c r="A465" t="s">
        <v>853</v>
      </c>
      <c r="B465" t="s">
        <v>7581</v>
      </c>
      <c r="C465" t="s">
        <v>17</v>
      </c>
      <c r="D465" t="s">
        <v>7576</v>
      </c>
      <c r="E465" t="s">
        <v>240</v>
      </c>
      <c r="F465" t="s">
        <v>7428</v>
      </c>
      <c r="G465" t="s">
        <v>6862</v>
      </c>
    </row>
    <row r="466" spans="1:7" x14ac:dyDescent="0.3">
      <c r="A466" t="s">
        <v>854</v>
      </c>
      <c r="B466" t="s">
        <v>7581</v>
      </c>
      <c r="C466" t="s">
        <v>17</v>
      </c>
      <c r="D466" t="s">
        <v>7576</v>
      </c>
      <c r="E466" t="s">
        <v>226</v>
      </c>
      <c r="F466" t="s">
        <v>7429</v>
      </c>
      <c r="G466" t="s">
        <v>6863</v>
      </c>
    </row>
    <row r="467" spans="1:7" x14ac:dyDescent="0.3">
      <c r="A467" t="s">
        <v>855</v>
      </c>
      <c r="B467" t="s">
        <v>7581</v>
      </c>
      <c r="C467" t="s">
        <v>17</v>
      </c>
      <c r="D467" t="s">
        <v>7576</v>
      </c>
      <c r="E467" t="s">
        <v>227</v>
      </c>
      <c r="F467" t="s">
        <v>7430</v>
      </c>
      <c r="G467" t="s">
        <v>6864</v>
      </c>
    </row>
    <row r="468" spans="1:7" x14ac:dyDescent="0.3">
      <c r="A468" t="s">
        <v>856</v>
      </c>
      <c r="B468" t="s">
        <v>7581</v>
      </c>
      <c r="C468" t="s">
        <v>17</v>
      </c>
      <c r="D468" t="s">
        <v>7576</v>
      </c>
      <c r="E468" t="s">
        <v>229</v>
      </c>
      <c r="F468" t="s">
        <v>7431</v>
      </c>
      <c r="G468" t="s">
        <v>6865</v>
      </c>
    </row>
    <row r="469" spans="1:7" x14ac:dyDescent="0.3">
      <c r="A469" t="s">
        <v>857</v>
      </c>
      <c r="B469" t="s">
        <v>7581</v>
      </c>
      <c r="C469" t="s">
        <v>17</v>
      </c>
      <c r="D469" t="s">
        <v>7576</v>
      </c>
      <c r="E469" t="s">
        <v>6062</v>
      </c>
      <c r="F469" t="s">
        <v>7432</v>
      </c>
      <c r="G469" t="s">
        <v>6866</v>
      </c>
    </row>
    <row r="470" spans="1:7" x14ac:dyDescent="0.3">
      <c r="A470" t="s">
        <v>858</v>
      </c>
      <c r="B470" t="s">
        <v>7581</v>
      </c>
      <c r="C470" t="s">
        <v>17</v>
      </c>
      <c r="D470" t="s">
        <v>7576</v>
      </c>
      <c r="E470" t="s">
        <v>219</v>
      </c>
      <c r="F470" t="s">
        <v>7433</v>
      </c>
      <c r="G470" t="s">
        <v>6867</v>
      </c>
    </row>
    <row r="471" spans="1:7" x14ac:dyDescent="0.3">
      <c r="A471" t="s">
        <v>859</v>
      </c>
      <c r="B471" t="s">
        <v>7581</v>
      </c>
      <c r="C471" t="s">
        <v>17</v>
      </c>
      <c r="D471" t="s">
        <v>7576</v>
      </c>
      <c r="E471" t="s">
        <v>250</v>
      </c>
      <c r="F471" t="s">
        <v>7434</v>
      </c>
      <c r="G471" t="s">
        <v>6868</v>
      </c>
    </row>
    <row r="472" spans="1:7" x14ac:dyDescent="0.3">
      <c r="A472" t="s">
        <v>860</v>
      </c>
      <c r="B472" t="s">
        <v>7581</v>
      </c>
      <c r="C472" t="s">
        <v>17</v>
      </c>
      <c r="D472" t="s">
        <v>7576</v>
      </c>
      <c r="E472" t="s">
        <v>238</v>
      </c>
      <c r="F472" t="s">
        <v>7435</v>
      </c>
      <c r="G472" t="s">
        <v>6869</v>
      </c>
    </row>
    <row r="473" spans="1:7" x14ac:dyDescent="0.3">
      <c r="A473" t="s">
        <v>861</v>
      </c>
      <c r="B473" t="s">
        <v>7581</v>
      </c>
      <c r="C473" t="s">
        <v>17</v>
      </c>
      <c r="D473" t="s">
        <v>7576</v>
      </c>
      <c r="E473" t="s">
        <v>261</v>
      </c>
      <c r="F473" t="s">
        <v>7436</v>
      </c>
      <c r="G473" t="s">
        <v>6870</v>
      </c>
    </row>
    <row r="474" spans="1:7" x14ac:dyDescent="0.3">
      <c r="A474" t="s">
        <v>862</v>
      </c>
      <c r="B474" t="s">
        <v>7581</v>
      </c>
      <c r="C474" t="s">
        <v>17</v>
      </c>
      <c r="D474" t="s">
        <v>7576</v>
      </c>
      <c r="E474" t="s">
        <v>260</v>
      </c>
      <c r="F474" t="s">
        <v>7437</v>
      </c>
      <c r="G474" t="s">
        <v>6871</v>
      </c>
    </row>
    <row r="475" spans="1:7" x14ac:dyDescent="0.3">
      <c r="A475" t="s">
        <v>863</v>
      </c>
      <c r="B475" t="s">
        <v>7581</v>
      </c>
      <c r="C475" t="s">
        <v>17</v>
      </c>
      <c r="D475" t="s">
        <v>7576</v>
      </c>
      <c r="E475" t="s">
        <v>270</v>
      </c>
      <c r="F475" t="s">
        <v>7438</v>
      </c>
      <c r="G475" t="s">
        <v>6872</v>
      </c>
    </row>
    <row r="476" spans="1:7" x14ac:dyDescent="0.3">
      <c r="A476" t="s">
        <v>864</v>
      </c>
      <c r="B476" t="s">
        <v>7581</v>
      </c>
      <c r="C476" t="s">
        <v>17</v>
      </c>
      <c r="D476" t="s">
        <v>7576</v>
      </c>
      <c r="E476" t="s">
        <v>251</v>
      </c>
      <c r="F476" t="s">
        <v>7439</v>
      </c>
      <c r="G476" t="s">
        <v>6873</v>
      </c>
    </row>
    <row r="477" spans="1:7" x14ac:dyDescent="0.3">
      <c r="A477" t="s">
        <v>865</v>
      </c>
      <c r="B477" t="s">
        <v>7581</v>
      </c>
      <c r="C477" t="s">
        <v>17</v>
      </c>
      <c r="D477" t="s">
        <v>7576</v>
      </c>
      <c r="E477" t="s">
        <v>259</v>
      </c>
      <c r="F477" t="s">
        <v>7440</v>
      </c>
      <c r="G477" t="s">
        <v>6874</v>
      </c>
    </row>
    <row r="478" spans="1:7" x14ac:dyDescent="0.3">
      <c r="A478" t="s">
        <v>866</v>
      </c>
      <c r="B478" t="s">
        <v>7581</v>
      </c>
      <c r="C478" t="s">
        <v>17</v>
      </c>
      <c r="D478" t="s">
        <v>7576</v>
      </c>
      <c r="E478" t="s">
        <v>6072</v>
      </c>
      <c r="F478" t="s">
        <v>7441</v>
      </c>
      <c r="G478" t="s">
        <v>6875</v>
      </c>
    </row>
    <row r="479" spans="1:7" x14ac:dyDescent="0.3">
      <c r="A479" t="s">
        <v>867</v>
      </c>
      <c r="B479" t="s">
        <v>7581</v>
      </c>
      <c r="C479" t="s">
        <v>17</v>
      </c>
      <c r="D479" t="s">
        <v>7576</v>
      </c>
      <c r="E479" t="s">
        <v>6074</v>
      </c>
      <c r="F479" t="s">
        <v>7442</v>
      </c>
      <c r="G479" t="s">
        <v>6876</v>
      </c>
    </row>
    <row r="480" spans="1:7" x14ac:dyDescent="0.3">
      <c r="A480" t="s">
        <v>868</v>
      </c>
      <c r="B480" t="s">
        <v>7581</v>
      </c>
      <c r="C480" t="s">
        <v>17</v>
      </c>
      <c r="D480" t="s">
        <v>7576</v>
      </c>
      <c r="E480" t="s">
        <v>290</v>
      </c>
      <c r="F480" t="s">
        <v>7443</v>
      </c>
      <c r="G480" t="s">
        <v>6877</v>
      </c>
    </row>
    <row r="481" spans="1:7" x14ac:dyDescent="0.3">
      <c r="A481" t="s">
        <v>869</v>
      </c>
      <c r="B481" t="s">
        <v>7581</v>
      </c>
      <c r="C481" t="s">
        <v>17</v>
      </c>
      <c r="D481" t="s">
        <v>7576</v>
      </c>
      <c r="E481" t="s">
        <v>300</v>
      </c>
      <c r="F481" t="s">
        <v>7444</v>
      </c>
      <c r="G481" t="s">
        <v>6878</v>
      </c>
    </row>
    <row r="482" spans="1:7" x14ac:dyDescent="0.3">
      <c r="A482" t="s">
        <v>870</v>
      </c>
      <c r="B482" t="s">
        <v>7581</v>
      </c>
      <c r="C482" t="s">
        <v>17</v>
      </c>
      <c r="D482" t="s">
        <v>7576</v>
      </c>
      <c r="E482" t="s">
        <v>300</v>
      </c>
      <c r="F482" t="s">
        <v>7444</v>
      </c>
      <c r="G482" t="s">
        <v>6879</v>
      </c>
    </row>
    <row r="483" spans="1:7" x14ac:dyDescent="0.3">
      <c r="A483" t="s">
        <v>871</v>
      </c>
      <c r="B483" t="s">
        <v>7581</v>
      </c>
      <c r="C483" t="s">
        <v>17</v>
      </c>
      <c r="D483" t="s">
        <v>7576</v>
      </c>
      <c r="E483" t="s">
        <v>300</v>
      </c>
      <c r="F483" t="s">
        <v>7444</v>
      </c>
      <c r="G483" t="s">
        <v>6880</v>
      </c>
    </row>
    <row r="484" spans="1:7" x14ac:dyDescent="0.3">
      <c r="A484" t="s">
        <v>872</v>
      </c>
      <c r="B484" t="s">
        <v>7581</v>
      </c>
      <c r="C484" t="s">
        <v>17</v>
      </c>
      <c r="D484" t="s">
        <v>7576</v>
      </c>
      <c r="E484" t="s">
        <v>300</v>
      </c>
      <c r="F484" t="s">
        <v>7444</v>
      </c>
      <c r="G484" t="s">
        <v>6881</v>
      </c>
    </row>
    <row r="485" spans="1:7" x14ac:dyDescent="0.3">
      <c r="A485" t="s">
        <v>873</v>
      </c>
      <c r="B485" t="s">
        <v>7581</v>
      </c>
      <c r="C485" t="s">
        <v>17</v>
      </c>
      <c r="D485" t="s">
        <v>7576</v>
      </c>
      <c r="E485" t="s">
        <v>300</v>
      </c>
      <c r="F485" t="s">
        <v>7444</v>
      </c>
      <c r="G485" t="s">
        <v>6882</v>
      </c>
    </row>
    <row r="486" spans="1:7" x14ac:dyDescent="0.3">
      <c r="A486" t="s">
        <v>874</v>
      </c>
      <c r="B486" t="s">
        <v>7581</v>
      </c>
      <c r="C486" t="s">
        <v>17</v>
      </c>
      <c r="D486" t="s">
        <v>7576</v>
      </c>
      <c r="E486" t="s">
        <v>300</v>
      </c>
      <c r="F486" t="s">
        <v>7444</v>
      </c>
      <c r="G486" t="s">
        <v>6883</v>
      </c>
    </row>
    <row r="487" spans="1:7" x14ac:dyDescent="0.3">
      <c r="A487" t="s">
        <v>875</v>
      </c>
      <c r="B487" t="s">
        <v>7581</v>
      </c>
      <c r="C487" t="s">
        <v>17</v>
      </c>
      <c r="D487" t="s">
        <v>7576</v>
      </c>
      <c r="E487" t="s">
        <v>300</v>
      </c>
      <c r="F487" t="s">
        <v>7444</v>
      </c>
      <c r="G487" t="s">
        <v>6884</v>
      </c>
    </row>
    <row r="488" spans="1:7" x14ac:dyDescent="0.3">
      <c r="A488" t="s">
        <v>876</v>
      </c>
      <c r="B488" t="s">
        <v>7581</v>
      </c>
      <c r="C488" t="s">
        <v>17</v>
      </c>
      <c r="D488" t="s">
        <v>7576</v>
      </c>
      <c r="E488" t="s">
        <v>300</v>
      </c>
      <c r="F488" t="s">
        <v>7444</v>
      </c>
      <c r="G488" t="s">
        <v>6885</v>
      </c>
    </row>
    <row r="489" spans="1:7" x14ac:dyDescent="0.3">
      <c r="A489" t="s">
        <v>877</v>
      </c>
      <c r="B489" t="s">
        <v>7581</v>
      </c>
      <c r="C489" t="s">
        <v>17</v>
      </c>
      <c r="D489" t="s">
        <v>7576</v>
      </c>
      <c r="E489" t="s">
        <v>300</v>
      </c>
      <c r="F489" t="s">
        <v>7444</v>
      </c>
      <c r="G489" t="s">
        <v>6886</v>
      </c>
    </row>
    <row r="490" spans="1:7" x14ac:dyDescent="0.3">
      <c r="A490" t="s">
        <v>878</v>
      </c>
      <c r="B490" t="s">
        <v>7581</v>
      </c>
      <c r="C490" t="s">
        <v>17</v>
      </c>
      <c r="D490" t="s">
        <v>7576</v>
      </c>
      <c r="E490" t="s">
        <v>300</v>
      </c>
      <c r="F490" t="s">
        <v>7444</v>
      </c>
      <c r="G490" t="s">
        <v>6887</v>
      </c>
    </row>
    <row r="491" spans="1:7" x14ac:dyDescent="0.3">
      <c r="A491" t="s">
        <v>879</v>
      </c>
      <c r="B491" t="s">
        <v>7581</v>
      </c>
      <c r="C491" t="s">
        <v>17</v>
      </c>
      <c r="D491" t="s">
        <v>7576</v>
      </c>
      <c r="E491" t="s">
        <v>300</v>
      </c>
      <c r="F491" t="s">
        <v>7444</v>
      </c>
      <c r="G491" t="s">
        <v>6888</v>
      </c>
    </row>
    <row r="492" spans="1:7" x14ac:dyDescent="0.3">
      <c r="A492" t="s">
        <v>880</v>
      </c>
      <c r="B492" t="s">
        <v>7581</v>
      </c>
      <c r="C492" t="s">
        <v>17</v>
      </c>
      <c r="D492" t="s">
        <v>7576</v>
      </c>
      <c r="E492" t="s">
        <v>300</v>
      </c>
      <c r="F492" t="s">
        <v>7444</v>
      </c>
      <c r="G492" t="s">
        <v>6889</v>
      </c>
    </row>
    <row r="493" spans="1:7" x14ac:dyDescent="0.3">
      <c r="A493" t="s">
        <v>881</v>
      </c>
      <c r="B493" t="s">
        <v>7581</v>
      </c>
      <c r="C493" t="s">
        <v>17</v>
      </c>
      <c r="D493" t="s">
        <v>7576</v>
      </c>
      <c r="E493" t="s">
        <v>300</v>
      </c>
      <c r="F493" t="s">
        <v>7444</v>
      </c>
      <c r="G493" t="s">
        <v>6890</v>
      </c>
    </row>
    <row r="494" spans="1:7" x14ac:dyDescent="0.3">
      <c r="A494" t="s">
        <v>882</v>
      </c>
      <c r="B494" t="s">
        <v>7581</v>
      </c>
      <c r="C494" t="s">
        <v>17</v>
      </c>
      <c r="D494" t="s">
        <v>7576</v>
      </c>
      <c r="E494" t="s">
        <v>300</v>
      </c>
      <c r="F494" t="s">
        <v>7444</v>
      </c>
      <c r="G494" t="s">
        <v>6891</v>
      </c>
    </row>
    <row r="495" spans="1:7" x14ac:dyDescent="0.3">
      <c r="A495" t="s">
        <v>883</v>
      </c>
      <c r="B495" t="s">
        <v>7581</v>
      </c>
      <c r="C495" t="s">
        <v>17</v>
      </c>
      <c r="D495" t="s">
        <v>7576</v>
      </c>
      <c r="E495" t="s">
        <v>300</v>
      </c>
      <c r="F495" t="s">
        <v>7444</v>
      </c>
      <c r="G495" t="s">
        <v>6892</v>
      </c>
    </row>
    <row r="496" spans="1:7" x14ac:dyDescent="0.3">
      <c r="A496" t="s">
        <v>884</v>
      </c>
      <c r="B496" t="s">
        <v>7581</v>
      </c>
      <c r="C496" t="s">
        <v>17</v>
      </c>
      <c r="D496" t="s">
        <v>7576</v>
      </c>
      <c r="E496" t="s">
        <v>28</v>
      </c>
      <c r="F496" t="s">
        <v>7445</v>
      </c>
      <c r="G496" t="s">
        <v>6893</v>
      </c>
    </row>
    <row r="497" spans="1:7" x14ac:dyDescent="0.3">
      <c r="A497" t="s">
        <v>885</v>
      </c>
      <c r="B497" t="s">
        <v>7581</v>
      </c>
      <c r="C497" t="s">
        <v>17</v>
      </c>
      <c r="D497" t="s">
        <v>7576</v>
      </c>
      <c r="E497" t="s">
        <v>355</v>
      </c>
      <c r="F497" t="s">
        <v>7446</v>
      </c>
      <c r="G497" t="s">
        <v>6894</v>
      </c>
    </row>
    <row r="498" spans="1:7" x14ac:dyDescent="0.3">
      <c r="A498" t="s">
        <v>886</v>
      </c>
      <c r="B498" t="s">
        <v>7581</v>
      </c>
      <c r="C498" t="s">
        <v>17</v>
      </c>
      <c r="D498" t="s">
        <v>7576</v>
      </c>
      <c r="E498" t="s">
        <v>351</v>
      </c>
      <c r="F498" t="s">
        <v>7447</v>
      </c>
      <c r="G498" t="s">
        <v>6895</v>
      </c>
    </row>
    <row r="499" spans="1:7" x14ac:dyDescent="0.3">
      <c r="A499" t="s">
        <v>887</v>
      </c>
      <c r="B499" t="s">
        <v>7581</v>
      </c>
      <c r="C499" t="s">
        <v>17</v>
      </c>
      <c r="D499" t="s">
        <v>7576</v>
      </c>
      <c r="E499" t="s">
        <v>362</v>
      </c>
      <c r="F499" t="s">
        <v>7448</v>
      </c>
      <c r="G499" t="s">
        <v>6896</v>
      </c>
    </row>
    <row r="500" spans="1:7" x14ac:dyDescent="0.3">
      <c r="A500" t="s">
        <v>888</v>
      </c>
      <c r="B500" t="s">
        <v>7581</v>
      </c>
      <c r="C500" t="s">
        <v>17</v>
      </c>
      <c r="D500" t="s">
        <v>7576</v>
      </c>
      <c r="E500" t="s">
        <v>6082</v>
      </c>
      <c r="F500" t="s">
        <v>7449</v>
      </c>
      <c r="G500" t="s">
        <v>6897</v>
      </c>
    </row>
    <row r="501" spans="1:7" x14ac:dyDescent="0.3">
      <c r="A501" t="s">
        <v>889</v>
      </c>
      <c r="B501" t="s">
        <v>7581</v>
      </c>
      <c r="C501" t="s">
        <v>17</v>
      </c>
      <c r="D501" t="s">
        <v>7576</v>
      </c>
      <c r="E501" t="s">
        <v>213</v>
      </c>
      <c r="F501" t="s">
        <v>7450</v>
      </c>
      <c r="G501" t="s">
        <v>6898</v>
      </c>
    </row>
    <row r="502" spans="1:7" x14ac:dyDescent="0.3">
      <c r="A502" t="s">
        <v>890</v>
      </c>
      <c r="B502" t="s">
        <v>7581</v>
      </c>
      <c r="C502" t="s">
        <v>17</v>
      </c>
      <c r="D502" t="s">
        <v>7576</v>
      </c>
      <c r="E502" t="s">
        <v>218</v>
      </c>
      <c r="F502" t="s">
        <v>7451</v>
      </c>
      <c r="G502" t="s">
        <v>6899</v>
      </c>
    </row>
    <row r="503" spans="1:7" x14ac:dyDescent="0.3">
      <c r="A503" t="s">
        <v>891</v>
      </c>
      <c r="B503" t="s">
        <v>7581</v>
      </c>
      <c r="C503" t="s">
        <v>17</v>
      </c>
      <c r="D503" t="s">
        <v>7576</v>
      </c>
      <c r="E503" t="s">
        <v>29</v>
      </c>
      <c r="F503" t="s">
        <v>7452</v>
      </c>
      <c r="G503" t="s">
        <v>6900</v>
      </c>
    </row>
    <row r="504" spans="1:7" x14ac:dyDescent="0.3">
      <c r="A504" t="s">
        <v>892</v>
      </c>
      <c r="B504" t="s">
        <v>7581</v>
      </c>
      <c r="C504" t="s">
        <v>17</v>
      </c>
      <c r="D504" t="s">
        <v>7576</v>
      </c>
      <c r="E504" t="s">
        <v>16</v>
      </c>
      <c r="F504" t="s">
        <v>7453</v>
      </c>
      <c r="G504" t="s">
        <v>6901</v>
      </c>
    </row>
    <row r="505" spans="1:7" x14ac:dyDescent="0.3">
      <c r="A505" t="s">
        <v>893</v>
      </c>
      <c r="B505" t="s">
        <v>7581</v>
      </c>
      <c r="C505" t="s">
        <v>17</v>
      </c>
      <c r="D505" t="s">
        <v>7576</v>
      </c>
      <c r="E505" t="s">
        <v>39</v>
      </c>
      <c r="F505" t="s">
        <v>7454</v>
      </c>
      <c r="G505" t="s">
        <v>6902</v>
      </c>
    </row>
    <row r="506" spans="1:7" x14ac:dyDescent="0.3">
      <c r="A506" t="s">
        <v>894</v>
      </c>
      <c r="B506" t="s">
        <v>7581</v>
      </c>
      <c r="C506" t="s">
        <v>17</v>
      </c>
      <c r="D506" t="s">
        <v>7576</v>
      </c>
      <c r="E506" t="s">
        <v>42</v>
      </c>
      <c r="F506" t="s">
        <v>7455</v>
      </c>
      <c r="G506" t="s">
        <v>6903</v>
      </c>
    </row>
    <row r="507" spans="1:7" x14ac:dyDescent="0.3">
      <c r="A507" t="s">
        <v>895</v>
      </c>
      <c r="B507" t="s">
        <v>7581</v>
      </c>
      <c r="C507" t="s">
        <v>17</v>
      </c>
      <c r="D507" t="s">
        <v>7576</v>
      </c>
      <c r="E507" t="s">
        <v>6010</v>
      </c>
      <c r="F507" t="s">
        <v>7456</v>
      </c>
      <c r="G507" t="s">
        <v>6904</v>
      </c>
    </row>
    <row r="508" spans="1:7" x14ac:dyDescent="0.3">
      <c r="A508" t="s">
        <v>896</v>
      </c>
      <c r="B508" t="s">
        <v>7581</v>
      </c>
      <c r="C508" t="s">
        <v>17</v>
      </c>
      <c r="D508" t="s">
        <v>7576</v>
      </c>
      <c r="E508" t="s">
        <v>48</v>
      </c>
      <c r="F508" t="s">
        <v>7457</v>
      </c>
      <c r="G508" t="s">
        <v>6905</v>
      </c>
    </row>
    <row r="509" spans="1:7" x14ac:dyDescent="0.3">
      <c r="A509" t="s">
        <v>897</v>
      </c>
      <c r="B509" t="s">
        <v>7581</v>
      </c>
      <c r="C509" t="s">
        <v>17</v>
      </c>
      <c r="D509" t="s">
        <v>7576</v>
      </c>
      <c r="E509" t="s">
        <v>49</v>
      </c>
      <c r="F509" t="s">
        <v>7458</v>
      </c>
      <c r="G509" t="s">
        <v>6906</v>
      </c>
    </row>
    <row r="510" spans="1:7" x14ac:dyDescent="0.3">
      <c r="A510" t="s">
        <v>898</v>
      </c>
      <c r="B510" t="s">
        <v>7581</v>
      </c>
      <c r="C510" t="s">
        <v>17</v>
      </c>
      <c r="D510" t="s">
        <v>7576</v>
      </c>
      <c r="E510" t="s">
        <v>25</v>
      </c>
      <c r="F510" t="s">
        <v>7459</v>
      </c>
      <c r="G510" t="s">
        <v>6907</v>
      </c>
    </row>
    <row r="511" spans="1:7" x14ac:dyDescent="0.3">
      <c r="A511" t="s">
        <v>899</v>
      </c>
      <c r="B511" t="s">
        <v>7581</v>
      </c>
      <c r="C511" t="s">
        <v>17</v>
      </c>
      <c r="D511" t="s">
        <v>7576</v>
      </c>
      <c r="E511" t="s">
        <v>58</v>
      </c>
      <c r="F511" t="s">
        <v>7460</v>
      </c>
      <c r="G511" t="s">
        <v>6908</v>
      </c>
    </row>
    <row r="512" spans="1:7" x14ac:dyDescent="0.3">
      <c r="A512" t="s">
        <v>900</v>
      </c>
      <c r="B512" t="s">
        <v>7581</v>
      </c>
      <c r="C512" t="s">
        <v>17</v>
      </c>
      <c r="D512" t="s">
        <v>7576</v>
      </c>
      <c r="E512" t="s">
        <v>53</v>
      </c>
      <c r="F512" t="s">
        <v>7461</v>
      </c>
      <c r="G512" t="s">
        <v>6909</v>
      </c>
    </row>
    <row r="513" spans="1:7" x14ac:dyDescent="0.3">
      <c r="A513" t="s">
        <v>901</v>
      </c>
      <c r="B513" t="s">
        <v>7581</v>
      </c>
      <c r="C513" t="s">
        <v>17</v>
      </c>
      <c r="D513" t="s">
        <v>7576</v>
      </c>
      <c r="E513" t="s">
        <v>21</v>
      </c>
      <c r="F513" t="s">
        <v>7462</v>
      </c>
      <c r="G513" t="s">
        <v>6910</v>
      </c>
    </row>
    <row r="514" spans="1:7" x14ac:dyDescent="0.3">
      <c r="A514" t="s">
        <v>902</v>
      </c>
      <c r="B514" t="s">
        <v>7581</v>
      </c>
      <c r="C514" t="s">
        <v>17</v>
      </c>
      <c r="D514" t="s">
        <v>7576</v>
      </c>
      <c r="E514" t="s">
        <v>57</v>
      </c>
      <c r="F514" t="s">
        <v>7463</v>
      </c>
      <c r="G514" t="s">
        <v>6911</v>
      </c>
    </row>
    <row r="515" spans="1:7" x14ac:dyDescent="0.3">
      <c r="A515" t="s">
        <v>903</v>
      </c>
      <c r="B515" t="s">
        <v>7581</v>
      </c>
      <c r="C515" t="s">
        <v>17</v>
      </c>
      <c r="D515" t="s">
        <v>7576</v>
      </c>
      <c r="E515" t="s">
        <v>83</v>
      </c>
      <c r="F515" t="s">
        <v>7464</v>
      </c>
      <c r="G515" t="s">
        <v>6912</v>
      </c>
    </row>
    <row r="516" spans="1:7" x14ac:dyDescent="0.3">
      <c r="A516" t="s">
        <v>904</v>
      </c>
      <c r="B516" t="s">
        <v>7581</v>
      </c>
      <c r="C516" t="s">
        <v>17</v>
      </c>
      <c r="D516" t="s">
        <v>7576</v>
      </c>
      <c r="E516" t="s">
        <v>77</v>
      </c>
      <c r="F516" t="s">
        <v>7465</v>
      </c>
      <c r="G516" t="s">
        <v>6913</v>
      </c>
    </row>
    <row r="517" spans="1:7" x14ac:dyDescent="0.3">
      <c r="A517" t="s">
        <v>905</v>
      </c>
      <c r="B517" t="s">
        <v>7581</v>
      </c>
      <c r="C517" t="s">
        <v>17</v>
      </c>
      <c r="D517" t="s">
        <v>7576</v>
      </c>
      <c r="E517" t="s">
        <v>100</v>
      </c>
      <c r="F517" t="s">
        <v>7466</v>
      </c>
      <c r="G517" t="s">
        <v>6914</v>
      </c>
    </row>
    <row r="518" spans="1:7" x14ac:dyDescent="0.3">
      <c r="A518" t="s">
        <v>906</v>
      </c>
      <c r="B518" t="s">
        <v>7581</v>
      </c>
      <c r="C518" t="s">
        <v>17</v>
      </c>
      <c r="D518" t="s">
        <v>7576</v>
      </c>
      <c r="E518" t="s">
        <v>73</v>
      </c>
      <c r="F518" t="s">
        <v>7467</v>
      </c>
      <c r="G518" t="s">
        <v>6915</v>
      </c>
    </row>
    <row r="519" spans="1:7" x14ac:dyDescent="0.3">
      <c r="A519" t="s">
        <v>907</v>
      </c>
      <c r="B519" t="s">
        <v>7581</v>
      </c>
      <c r="C519" t="s">
        <v>17</v>
      </c>
      <c r="D519" t="s">
        <v>7576</v>
      </c>
      <c r="E519" t="s">
        <v>82</v>
      </c>
      <c r="F519" t="s">
        <v>7468</v>
      </c>
      <c r="G519" t="s">
        <v>6916</v>
      </c>
    </row>
    <row r="520" spans="1:7" x14ac:dyDescent="0.3">
      <c r="A520" t="s">
        <v>908</v>
      </c>
      <c r="B520" t="s">
        <v>7581</v>
      </c>
      <c r="C520" t="s">
        <v>17</v>
      </c>
      <c r="D520" t="s">
        <v>7576</v>
      </c>
      <c r="E520" t="s">
        <v>6024</v>
      </c>
      <c r="F520" t="s">
        <v>7469</v>
      </c>
      <c r="G520" t="s">
        <v>6917</v>
      </c>
    </row>
    <row r="521" spans="1:7" x14ac:dyDescent="0.3">
      <c r="A521" t="s">
        <v>909</v>
      </c>
      <c r="B521" t="s">
        <v>7581</v>
      </c>
      <c r="C521" t="s">
        <v>17</v>
      </c>
      <c r="D521" t="s">
        <v>7576</v>
      </c>
      <c r="E521" t="s">
        <v>93</v>
      </c>
      <c r="F521" t="s">
        <v>7470</v>
      </c>
      <c r="G521" t="s">
        <v>6918</v>
      </c>
    </row>
    <row r="522" spans="1:7" x14ac:dyDescent="0.3">
      <c r="A522" t="s">
        <v>910</v>
      </c>
      <c r="B522" t="s">
        <v>7581</v>
      </c>
      <c r="C522" t="s">
        <v>17</v>
      </c>
      <c r="D522" t="s">
        <v>7576</v>
      </c>
      <c r="E522" t="s">
        <v>6027</v>
      </c>
      <c r="F522" t="s">
        <v>7471</v>
      </c>
      <c r="G522" t="s">
        <v>6919</v>
      </c>
    </row>
    <row r="523" spans="1:7" x14ac:dyDescent="0.3">
      <c r="A523" t="s">
        <v>911</v>
      </c>
      <c r="B523" t="s">
        <v>7581</v>
      </c>
      <c r="C523" t="s">
        <v>17</v>
      </c>
      <c r="D523" t="s">
        <v>7576</v>
      </c>
      <c r="E523" t="s">
        <v>102</v>
      </c>
      <c r="F523" t="s">
        <v>7472</v>
      </c>
      <c r="G523" t="s">
        <v>6920</v>
      </c>
    </row>
    <row r="524" spans="1:7" x14ac:dyDescent="0.3">
      <c r="A524" t="s">
        <v>912</v>
      </c>
      <c r="B524" t="s">
        <v>7581</v>
      </c>
      <c r="C524" t="s">
        <v>17</v>
      </c>
      <c r="D524" t="s">
        <v>7576</v>
      </c>
      <c r="E524" t="s">
        <v>6030</v>
      </c>
      <c r="F524" t="s">
        <v>7473</v>
      </c>
      <c r="G524" t="s">
        <v>6921</v>
      </c>
    </row>
    <row r="525" spans="1:7" x14ac:dyDescent="0.3">
      <c r="A525" t="s">
        <v>913</v>
      </c>
      <c r="B525" t="s">
        <v>7581</v>
      </c>
      <c r="C525" t="s">
        <v>17</v>
      </c>
      <c r="D525" t="s">
        <v>7576</v>
      </c>
      <c r="E525" t="s">
        <v>108</v>
      </c>
      <c r="F525" t="s">
        <v>7474</v>
      </c>
      <c r="G525" t="s">
        <v>6922</v>
      </c>
    </row>
    <row r="526" spans="1:7" x14ac:dyDescent="0.3">
      <c r="A526" t="s">
        <v>914</v>
      </c>
      <c r="B526" t="s">
        <v>7581</v>
      </c>
      <c r="C526" t="s">
        <v>17</v>
      </c>
      <c r="D526" t="s">
        <v>7576</v>
      </c>
      <c r="E526" t="s">
        <v>103</v>
      </c>
      <c r="F526" t="s">
        <v>7475</v>
      </c>
      <c r="G526" t="s">
        <v>6923</v>
      </c>
    </row>
    <row r="527" spans="1:7" x14ac:dyDescent="0.3">
      <c r="A527" t="s">
        <v>915</v>
      </c>
      <c r="B527" t="s">
        <v>7581</v>
      </c>
      <c r="C527" t="s">
        <v>17</v>
      </c>
      <c r="D527" t="s">
        <v>7576</v>
      </c>
      <c r="E527" t="s">
        <v>117</v>
      </c>
      <c r="F527" t="s">
        <v>7476</v>
      </c>
      <c r="G527" t="s">
        <v>6924</v>
      </c>
    </row>
    <row r="528" spans="1:7" x14ac:dyDescent="0.3">
      <c r="A528" t="s">
        <v>916</v>
      </c>
      <c r="B528" t="s">
        <v>7581</v>
      </c>
      <c r="C528" t="s">
        <v>17</v>
      </c>
      <c r="D528" t="s">
        <v>7576</v>
      </c>
      <c r="E528" t="s">
        <v>126</v>
      </c>
      <c r="F528" t="s">
        <v>7477</v>
      </c>
      <c r="G528" t="s">
        <v>6925</v>
      </c>
    </row>
    <row r="529" spans="1:7" x14ac:dyDescent="0.3">
      <c r="A529" t="s">
        <v>917</v>
      </c>
      <c r="B529" t="s">
        <v>7581</v>
      </c>
      <c r="C529" t="s">
        <v>17</v>
      </c>
      <c r="D529" t="s">
        <v>7576</v>
      </c>
      <c r="E529" t="s">
        <v>119</v>
      </c>
      <c r="F529" t="s">
        <v>7478</v>
      </c>
      <c r="G529" t="s">
        <v>6926</v>
      </c>
    </row>
    <row r="530" spans="1:7" x14ac:dyDescent="0.3">
      <c r="A530" t="s">
        <v>918</v>
      </c>
      <c r="B530" t="s">
        <v>7581</v>
      </c>
      <c r="C530" t="s">
        <v>17</v>
      </c>
      <c r="D530" t="s">
        <v>7576</v>
      </c>
      <c r="E530" t="s">
        <v>135</v>
      </c>
      <c r="F530" t="s">
        <v>7479</v>
      </c>
      <c r="G530" t="s">
        <v>6927</v>
      </c>
    </row>
    <row r="531" spans="1:7" x14ac:dyDescent="0.3">
      <c r="A531" t="s">
        <v>919</v>
      </c>
      <c r="B531" t="s">
        <v>7581</v>
      </c>
      <c r="C531" t="s">
        <v>17</v>
      </c>
      <c r="D531" t="s">
        <v>7576</v>
      </c>
      <c r="E531" t="s">
        <v>145</v>
      </c>
      <c r="F531" t="s">
        <v>7480</v>
      </c>
      <c r="G531" t="s">
        <v>6928</v>
      </c>
    </row>
    <row r="532" spans="1:7" x14ac:dyDescent="0.3">
      <c r="A532" t="s">
        <v>920</v>
      </c>
      <c r="B532" t="s">
        <v>7581</v>
      </c>
      <c r="C532" t="s">
        <v>17</v>
      </c>
      <c r="D532" t="s">
        <v>7576</v>
      </c>
      <c r="E532" t="s">
        <v>6039</v>
      </c>
      <c r="F532" t="s">
        <v>7481</v>
      </c>
      <c r="G532" t="s">
        <v>6929</v>
      </c>
    </row>
    <row r="533" spans="1:7" x14ac:dyDescent="0.3">
      <c r="A533" t="s">
        <v>921</v>
      </c>
      <c r="B533" t="s">
        <v>7581</v>
      </c>
      <c r="C533" t="s">
        <v>17</v>
      </c>
      <c r="D533" t="s">
        <v>7576</v>
      </c>
      <c r="E533" t="s">
        <v>6041</v>
      </c>
      <c r="F533" t="s">
        <v>7482</v>
      </c>
      <c r="G533" t="s">
        <v>6930</v>
      </c>
    </row>
    <row r="534" spans="1:7" x14ac:dyDescent="0.3">
      <c r="A534" t="s">
        <v>922</v>
      </c>
      <c r="B534" t="s">
        <v>7581</v>
      </c>
      <c r="C534" t="s">
        <v>17</v>
      </c>
      <c r="D534" t="s">
        <v>7576</v>
      </c>
      <c r="E534" t="s">
        <v>157</v>
      </c>
      <c r="F534" t="s">
        <v>7483</v>
      </c>
      <c r="G534" t="s">
        <v>6931</v>
      </c>
    </row>
    <row r="535" spans="1:7" x14ac:dyDescent="0.3">
      <c r="A535" t="s">
        <v>923</v>
      </c>
      <c r="B535" t="s">
        <v>7581</v>
      </c>
      <c r="C535" t="s">
        <v>17</v>
      </c>
      <c r="D535" t="s">
        <v>7576</v>
      </c>
      <c r="E535" t="s">
        <v>151</v>
      </c>
      <c r="F535" t="s">
        <v>7484</v>
      </c>
      <c r="G535" t="s">
        <v>6932</v>
      </c>
    </row>
    <row r="536" spans="1:7" x14ac:dyDescent="0.3">
      <c r="A536" t="s">
        <v>924</v>
      </c>
      <c r="B536" t="s">
        <v>7581</v>
      </c>
      <c r="C536" t="s">
        <v>17</v>
      </c>
      <c r="D536" t="s">
        <v>7576</v>
      </c>
      <c r="E536" t="s">
        <v>160</v>
      </c>
      <c r="F536" t="s">
        <v>7485</v>
      </c>
      <c r="G536" t="s">
        <v>6933</v>
      </c>
    </row>
    <row r="537" spans="1:7" x14ac:dyDescent="0.3">
      <c r="A537" t="s">
        <v>925</v>
      </c>
      <c r="B537" t="s">
        <v>7581</v>
      </c>
      <c r="C537" t="s">
        <v>17</v>
      </c>
      <c r="D537" t="s">
        <v>7576</v>
      </c>
      <c r="E537" t="s">
        <v>162</v>
      </c>
      <c r="F537" t="s">
        <v>7486</v>
      </c>
      <c r="G537" t="s">
        <v>6934</v>
      </c>
    </row>
    <row r="538" spans="1:7" x14ac:dyDescent="0.3">
      <c r="A538" t="s">
        <v>926</v>
      </c>
      <c r="B538" t="s">
        <v>7581</v>
      </c>
      <c r="C538" t="s">
        <v>17</v>
      </c>
      <c r="D538" t="s">
        <v>7576</v>
      </c>
      <c r="E538" t="s">
        <v>136</v>
      </c>
      <c r="F538" t="s">
        <v>7487</v>
      </c>
      <c r="G538" t="s">
        <v>6935</v>
      </c>
    </row>
    <row r="539" spans="1:7" x14ac:dyDescent="0.3">
      <c r="A539" t="s">
        <v>927</v>
      </c>
      <c r="B539" t="s">
        <v>7581</v>
      </c>
      <c r="C539" t="s">
        <v>17</v>
      </c>
      <c r="D539" t="s">
        <v>7576</v>
      </c>
      <c r="E539" t="s">
        <v>178</v>
      </c>
      <c r="F539" t="s">
        <v>7488</v>
      </c>
      <c r="G539" t="s">
        <v>6936</v>
      </c>
    </row>
    <row r="540" spans="1:7" x14ac:dyDescent="0.3">
      <c r="A540" t="s">
        <v>928</v>
      </c>
      <c r="B540" t="s">
        <v>7581</v>
      </c>
      <c r="C540" t="s">
        <v>17</v>
      </c>
      <c r="D540" t="s">
        <v>7576</v>
      </c>
      <c r="E540" t="s">
        <v>179</v>
      </c>
      <c r="F540" t="s">
        <v>7489</v>
      </c>
      <c r="G540" t="s">
        <v>6937</v>
      </c>
    </row>
    <row r="541" spans="1:7" x14ac:dyDescent="0.3">
      <c r="A541" t="s">
        <v>929</v>
      </c>
      <c r="B541" t="s">
        <v>7581</v>
      </c>
      <c r="C541" t="s">
        <v>17</v>
      </c>
      <c r="D541" t="s">
        <v>7576</v>
      </c>
      <c r="E541" t="s">
        <v>167</v>
      </c>
      <c r="F541" t="s">
        <v>7490</v>
      </c>
      <c r="G541" t="s">
        <v>6938</v>
      </c>
    </row>
    <row r="542" spans="1:7" x14ac:dyDescent="0.3">
      <c r="A542" t="s">
        <v>930</v>
      </c>
      <c r="B542" t="s">
        <v>7581</v>
      </c>
      <c r="C542" t="s">
        <v>17</v>
      </c>
      <c r="D542" t="s">
        <v>7576</v>
      </c>
      <c r="E542" t="s">
        <v>6051</v>
      </c>
      <c r="F542" t="s">
        <v>7491</v>
      </c>
      <c r="G542" t="s">
        <v>6939</v>
      </c>
    </row>
    <row r="543" spans="1:7" x14ac:dyDescent="0.3">
      <c r="A543" t="s">
        <v>931</v>
      </c>
      <c r="B543" t="s">
        <v>7581</v>
      </c>
      <c r="C543" t="s">
        <v>17</v>
      </c>
      <c r="D543" t="s">
        <v>7576</v>
      </c>
      <c r="E543" t="s">
        <v>166</v>
      </c>
      <c r="F543" t="s">
        <v>7492</v>
      </c>
      <c r="G543" t="s">
        <v>6940</v>
      </c>
    </row>
    <row r="544" spans="1:7" x14ac:dyDescent="0.3">
      <c r="A544" t="s">
        <v>932</v>
      </c>
      <c r="B544" t="s">
        <v>7581</v>
      </c>
      <c r="C544" t="s">
        <v>17</v>
      </c>
      <c r="D544" t="s">
        <v>7576</v>
      </c>
      <c r="E544" t="s">
        <v>184</v>
      </c>
      <c r="F544" t="s">
        <v>7493</v>
      </c>
      <c r="G544" t="s">
        <v>6941</v>
      </c>
    </row>
    <row r="545" spans="1:7" x14ac:dyDescent="0.3">
      <c r="A545" t="s">
        <v>933</v>
      </c>
      <c r="B545" t="s">
        <v>7581</v>
      </c>
      <c r="C545" t="s">
        <v>17</v>
      </c>
      <c r="D545" t="s">
        <v>7576</v>
      </c>
      <c r="E545" t="s">
        <v>174</v>
      </c>
      <c r="F545" t="s">
        <v>7494</v>
      </c>
      <c r="G545" t="s">
        <v>6942</v>
      </c>
    </row>
    <row r="546" spans="1:7" x14ac:dyDescent="0.3">
      <c r="A546" t="s">
        <v>934</v>
      </c>
      <c r="B546" t="s">
        <v>7581</v>
      </c>
      <c r="C546" t="s">
        <v>17</v>
      </c>
      <c r="D546" t="s">
        <v>7576</v>
      </c>
      <c r="E546" t="s">
        <v>6056</v>
      </c>
      <c r="F546" t="s">
        <v>7495</v>
      </c>
      <c r="G546" t="s">
        <v>6943</v>
      </c>
    </row>
    <row r="547" spans="1:7" x14ac:dyDescent="0.3">
      <c r="A547" t="s">
        <v>935</v>
      </c>
      <c r="B547" t="s">
        <v>7581</v>
      </c>
      <c r="C547" t="s">
        <v>17</v>
      </c>
      <c r="D547" t="s">
        <v>7576</v>
      </c>
      <c r="E547" t="s">
        <v>240</v>
      </c>
      <c r="F547" t="s">
        <v>7496</v>
      </c>
      <c r="G547" t="s">
        <v>6944</v>
      </c>
    </row>
    <row r="548" spans="1:7" x14ac:dyDescent="0.3">
      <c r="A548" t="s">
        <v>936</v>
      </c>
      <c r="B548" t="s">
        <v>7581</v>
      </c>
      <c r="C548" t="s">
        <v>17</v>
      </c>
      <c r="D548" t="s">
        <v>7576</v>
      </c>
      <c r="E548" t="s">
        <v>226</v>
      </c>
      <c r="F548" t="s">
        <v>7497</v>
      </c>
      <c r="G548" t="s">
        <v>6945</v>
      </c>
    </row>
    <row r="549" spans="1:7" x14ac:dyDescent="0.3">
      <c r="A549" t="s">
        <v>937</v>
      </c>
      <c r="B549" t="s">
        <v>7581</v>
      </c>
      <c r="C549" t="s">
        <v>17</v>
      </c>
      <c r="D549" t="s">
        <v>7576</v>
      </c>
      <c r="E549" t="s">
        <v>227</v>
      </c>
      <c r="F549" t="s">
        <v>7498</v>
      </c>
      <c r="G549" t="s">
        <v>6946</v>
      </c>
    </row>
    <row r="550" spans="1:7" x14ac:dyDescent="0.3">
      <c r="A550" t="s">
        <v>938</v>
      </c>
      <c r="B550" t="s">
        <v>7581</v>
      </c>
      <c r="C550" t="s">
        <v>17</v>
      </c>
      <c r="D550" t="s">
        <v>7576</v>
      </c>
      <c r="E550" t="s">
        <v>229</v>
      </c>
      <c r="F550" t="s">
        <v>7499</v>
      </c>
      <c r="G550" t="s">
        <v>6947</v>
      </c>
    </row>
    <row r="551" spans="1:7" x14ac:dyDescent="0.3">
      <c r="A551" t="s">
        <v>939</v>
      </c>
      <c r="B551" t="s">
        <v>7581</v>
      </c>
      <c r="C551" t="s">
        <v>17</v>
      </c>
      <c r="D551" t="s">
        <v>7576</v>
      </c>
      <c r="E551" t="s">
        <v>6062</v>
      </c>
      <c r="F551" t="s">
        <v>7500</v>
      </c>
      <c r="G551" t="s">
        <v>6948</v>
      </c>
    </row>
    <row r="552" spans="1:7" x14ac:dyDescent="0.3">
      <c r="A552" t="s">
        <v>940</v>
      </c>
      <c r="B552" t="s">
        <v>7581</v>
      </c>
      <c r="C552" t="s">
        <v>17</v>
      </c>
      <c r="D552" t="s">
        <v>7576</v>
      </c>
      <c r="E552" t="s">
        <v>219</v>
      </c>
      <c r="F552" t="s">
        <v>7501</v>
      </c>
      <c r="G552" t="s">
        <v>6949</v>
      </c>
    </row>
    <row r="553" spans="1:7" x14ac:dyDescent="0.3">
      <c r="A553" t="s">
        <v>941</v>
      </c>
      <c r="B553" t="s">
        <v>7581</v>
      </c>
      <c r="C553" t="s">
        <v>17</v>
      </c>
      <c r="D553" t="s">
        <v>7576</v>
      </c>
      <c r="E553" t="s">
        <v>250</v>
      </c>
      <c r="F553" t="s">
        <v>7502</v>
      </c>
      <c r="G553" t="s">
        <v>6950</v>
      </c>
    </row>
    <row r="554" spans="1:7" x14ac:dyDescent="0.3">
      <c r="A554" t="s">
        <v>942</v>
      </c>
      <c r="B554" t="s">
        <v>7581</v>
      </c>
      <c r="C554" t="s">
        <v>17</v>
      </c>
      <c r="D554" t="s">
        <v>7576</v>
      </c>
      <c r="E554" t="s">
        <v>238</v>
      </c>
      <c r="F554" t="s">
        <v>7503</v>
      </c>
      <c r="G554" t="s">
        <v>6951</v>
      </c>
    </row>
    <row r="555" spans="1:7" x14ac:dyDescent="0.3">
      <c r="A555" t="s">
        <v>943</v>
      </c>
      <c r="B555" t="s">
        <v>7581</v>
      </c>
      <c r="C555" t="s">
        <v>17</v>
      </c>
      <c r="D555" t="s">
        <v>7576</v>
      </c>
      <c r="E555" t="s">
        <v>261</v>
      </c>
      <c r="F555" t="s">
        <v>7504</v>
      </c>
      <c r="G555" t="s">
        <v>6952</v>
      </c>
    </row>
    <row r="556" spans="1:7" x14ac:dyDescent="0.3">
      <c r="A556" t="s">
        <v>944</v>
      </c>
      <c r="B556" t="s">
        <v>7581</v>
      </c>
      <c r="C556" t="s">
        <v>17</v>
      </c>
      <c r="D556" t="s">
        <v>7576</v>
      </c>
      <c r="E556" t="s">
        <v>260</v>
      </c>
      <c r="F556" t="s">
        <v>7505</v>
      </c>
      <c r="G556" t="s">
        <v>6953</v>
      </c>
    </row>
    <row r="557" spans="1:7" x14ac:dyDescent="0.3">
      <c r="A557" t="s">
        <v>945</v>
      </c>
      <c r="B557" t="s">
        <v>7581</v>
      </c>
      <c r="C557" t="s">
        <v>17</v>
      </c>
      <c r="D557" t="s">
        <v>7576</v>
      </c>
      <c r="E557" t="s">
        <v>270</v>
      </c>
      <c r="F557" t="s">
        <v>7506</v>
      </c>
      <c r="G557" t="s">
        <v>6954</v>
      </c>
    </row>
    <row r="558" spans="1:7" x14ac:dyDescent="0.3">
      <c r="A558" t="s">
        <v>946</v>
      </c>
      <c r="B558" t="s">
        <v>7581</v>
      </c>
      <c r="C558" t="s">
        <v>17</v>
      </c>
      <c r="D558" t="s">
        <v>7576</v>
      </c>
      <c r="E558" t="s">
        <v>251</v>
      </c>
      <c r="F558" t="s">
        <v>7507</v>
      </c>
      <c r="G558" t="s">
        <v>6955</v>
      </c>
    </row>
    <row r="559" spans="1:7" x14ac:dyDescent="0.3">
      <c r="A559" t="s">
        <v>947</v>
      </c>
      <c r="B559" t="s">
        <v>7581</v>
      </c>
      <c r="C559" t="s">
        <v>17</v>
      </c>
      <c r="D559" t="s">
        <v>7576</v>
      </c>
      <c r="E559" t="s">
        <v>259</v>
      </c>
      <c r="F559" t="s">
        <v>7508</v>
      </c>
      <c r="G559" t="s">
        <v>6956</v>
      </c>
    </row>
    <row r="560" spans="1:7" x14ac:dyDescent="0.3">
      <c r="A560" t="s">
        <v>948</v>
      </c>
      <c r="B560" t="s">
        <v>7581</v>
      </c>
      <c r="C560" t="s">
        <v>17</v>
      </c>
      <c r="D560" t="s">
        <v>7576</v>
      </c>
      <c r="E560" t="s">
        <v>6072</v>
      </c>
      <c r="F560" t="s">
        <v>7509</v>
      </c>
      <c r="G560" t="s">
        <v>6957</v>
      </c>
    </row>
    <row r="561" spans="1:7" x14ac:dyDescent="0.3">
      <c r="A561" t="s">
        <v>949</v>
      </c>
      <c r="B561" t="s">
        <v>7581</v>
      </c>
      <c r="C561" t="s">
        <v>17</v>
      </c>
      <c r="D561" t="s">
        <v>7576</v>
      </c>
      <c r="E561" t="s">
        <v>6074</v>
      </c>
      <c r="F561" t="s">
        <v>7510</v>
      </c>
      <c r="G561" t="s">
        <v>6958</v>
      </c>
    </row>
    <row r="562" spans="1:7" x14ac:dyDescent="0.3">
      <c r="A562" t="s">
        <v>950</v>
      </c>
      <c r="B562" t="s">
        <v>7581</v>
      </c>
      <c r="C562" t="s">
        <v>17</v>
      </c>
      <c r="D562" t="s">
        <v>7576</v>
      </c>
      <c r="E562" t="s">
        <v>290</v>
      </c>
      <c r="F562" t="s">
        <v>7511</v>
      </c>
      <c r="G562" t="s">
        <v>6959</v>
      </c>
    </row>
    <row r="563" spans="1:7" x14ac:dyDescent="0.3">
      <c r="A563" t="s">
        <v>951</v>
      </c>
      <c r="B563" t="s">
        <v>7581</v>
      </c>
      <c r="C563" t="s">
        <v>17</v>
      </c>
      <c r="D563" t="s">
        <v>7576</v>
      </c>
      <c r="E563" t="s">
        <v>300</v>
      </c>
      <c r="F563" t="s">
        <v>7512</v>
      </c>
      <c r="G563" t="s">
        <v>6960</v>
      </c>
    </row>
    <row r="564" spans="1:7" x14ac:dyDescent="0.3">
      <c r="A564" t="s">
        <v>952</v>
      </c>
      <c r="B564" t="s">
        <v>7581</v>
      </c>
      <c r="C564" t="s">
        <v>17</v>
      </c>
      <c r="D564" t="s">
        <v>7576</v>
      </c>
      <c r="E564" t="s">
        <v>300</v>
      </c>
      <c r="F564" t="s">
        <v>7512</v>
      </c>
      <c r="G564" t="s">
        <v>6961</v>
      </c>
    </row>
    <row r="565" spans="1:7" x14ac:dyDescent="0.3">
      <c r="A565" t="s">
        <v>953</v>
      </c>
      <c r="B565" t="s">
        <v>7581</v>
      </c>
      <c r="C565" t="s">
        <v>17</v>
      </c>
      <c r="D565" t="s">
        <v>7576</v>
      </c>
      <c r="E565" t="s">
        <v>300</v>
      </c>
      <c r="F565" t="s">
        <v>7512</v>
      </c>
      <c r="G565" t="s">
        <v>6962</v>
      </c>
    </row>
    <row r="566" spans="1:7" x14ac:dyDescent="0.3">
      <c r="A566" t="s">
        <v>954</v>
      </c>
      <c r="B566" t="s">
        <v>7581</v>
      </c>
      <c r="C566" t="s">
        <v>17</v>
      </c>
      <c r="D566" t="s">
        <v>7576</v>
      </c>
      <c r="E566" t="s">
        <v>300</v>
      </c>
      <c r="F566" t="s">
        <v>7512</v>
      </c>
      <c r="G566" t="s">
        <v>6963</v>
      </c>
    </row>
    <row r="567" spans="1:7" x14ac:dyDescent="0.3">
      <c r="A567" t="s">
        <v>955</v>
      </c>
      <c r="B567" t="s">
        <v>7581</v>
      </c>
      <c r="C567" t="s">
        <v>17</v>
      </c>
      <c r="D567" t="s">
        <v>7576</v>
      </c>
      <c r="E567" t="s">
        <v>300</v>
      </c>
      <c r="F567" t="s">
        <v>7512</v>
      </c>
      <c r="G567" t="s">
        <v>6964</v>
      </c>
    </row>
    <row r="568" spans="1:7" x14ac:dyDescent="0.3">
      <c r="A568" t="s">
        <v>956</v>
      </c>
      <c r="B568" t="s">
        <v>7581</v>
      </c>
      <c r="C568" t="s">
        <v>17</v>
      </c>
      <c r="D568" t="s">
        <v>7576</v>
      </c>
      <c r="E568" t="s">
        <v>300</v>
      </c>
      <c r="F568" t="s">
        <v>7512</v>
      </c>
      <c r="G568" t="s">
        <v>6965</v>
      </c>
    </row>
    <row r="569" spans="1:7" x14ac:dyDescent="0.3">
      <c r="A569" t="s">
        <v>957</v>
      </c>
      <c r="B569" t="s">
        <v>7581</v>
      </c>
      <c r="C569" t="s">
        <v>17</v>
      </c>
      <c r="D569" t="s">
        <v>7576</v>
      </c>
      <c r="E569" t="s">
        <v>300</v>
      </c>
      <c r="F569" t="s">
        <v>7512</v>
      </c>
      <c r="G569" t="s">
        <v>6966</v>
      </c>
    </row>
    <row r="570" spans="1:7" x14ac:dyDescent="0.3">
      <c r="A570" t="s">
        <v>958</v>
      </c>
      <c r="B570" t="s">
        <v>7581</v>
      </c>
      <c r="C570" t="s">
        <v>17</v>
      </c>
      <c r="D570" t="s">
        <v>7576</v>
      </c>
      <c r="E570" t="s">
        <v>300</v>
      </c>
      <c r="F570" t="s">
        <v>7512</v>
      </c>
      <c r="G570" t="s">
        <v>6967</v>
      </c>
    </row>
    <row r="571" spans="1:7" x14ac:dyDescent="0.3">
      <c r="A571" t="s">
        <v>959</v>
      </c>
      <c r="B571" t="s">
        <v>7581</v>
      </c>
      <c r="C571" t="s">
        <v>17</v>
      </c>
      <c r="D571" t="s">
        <v>7576</v>
      </c>
      <c r="E571" t="s">
        <v>300</v>
      </c>
      <c r="F571" t="s">
        <v>7512</v>
      </c>
      <c r="G571" t="s">
        <v>6968</v>
      </c>
    </row>
    <row r="572" spans="1:7" x14ac:dyDescent="0.3">
      <c r="A572" t="s">
        <v>960</v>
      </c>
      <c r="B572" t="s">
        <v>7581</v>
      </c>
      <c r="C572" t="s">
        <v>17</v>
      </c>
      <c r="D572" t="s">
        <v>7576</v>
      </c>
      <c r="E572" t="s">
        <v>300</v>
      </c>
      <c r="F572" t="s">
        <v>7512</v>
      </c>
      <c r="G572" t="s">
        <v>6969</v>
      </c>
    </row>
    <row r="573" spans="1:7" x14ac:dyDescent="0.3">
      <c r="A573" t="s">
        <v>961</v>
      </c>
      <c r="B573" t="s">
        <v>7581</v>
      </c>
      <c r="C573" t="s">
        <v>17</v>
      </c>
      <c r="D573" t="s">
        <v>7576</v>
      </c>
      <c r="E573" t="s">
        <v>300</v>
      </c>
      <c r="F573" t="s">
        <v>7512</v>
      </c>
      <c r="G573" t="s">
        <v>6970</v>
      </c>
    </row>
    <row r="574" spans="1:7" x14ac:dyDescent="0.3">
      <c r="A574" t="s">
        <v>962</v>
      </c>
      <c r="B574" t="s">
        <v>7581</v>
      </c>
      <c r="C574" t="s">
        <v>17</v>
      </c>
      <c r="D574" t="s">
        <v>7576</v>
      </c>
      <c r="E574" t="s">
        <v>300</v>
      </c>
      <c r="F574" t="s">
        <v>7512</v>
      </c>
      <c r="G574" t="s">
        <v>6971</v>
      </c>
    </row>
    <row r="575" spans="1:7" x14ac:dyDescent="0.3">
      <c r="A575" t="s">
        <v>963</v>
      </c>
      <c r="B575" t="s">
        <v>7581</v>
      </c>
      <c r="C575" t="s">
        <v>17</v>
      </c>
      <c r="D575" t="s">
        <v>7576</v>
      </c>
      <c r="E575" t="s">
        <v>300</v>
      </c>
      <c r="F575" t="s">
        <v>7512</v>
      </c>
      <c r="G575" t="s">
        <v>6972</v>
      </c>
    </row>
    <row r="576" spans="1:7" x14ac:dyDescent="0.3">
      <c r="A576" t="s">
        <v>964</v>
      </c>
      <c r="B576" t="s">
        <v>7581</v>
      </c>
      <c r="C576" t="s">
        <v>17</v>
      </c>
      <c r="D576" t="s">
        <v>7576</v>
      </c>
      <c r="E576" t="s">
        <v>300</v>
      </c>
      <c r="F576" t="s">
        <v>7512</v>
      </c>
      <c r="G576" t="s">
        <v>6973</v>
      </c>
    </row>
    <row r="577" spans="1:7" x14ac:dyDescent="0.3">
      <c r="A577" t="s">
        <v>965</v>
      </c>
      <c r="B577" t="s">
        <v>7581</v>
      </c>
      <c r="C577" t="s">
        <v>17</v>
      </c>
      <c r="D577" t="s">
        <v>7576</v>
      </c>
      <c r="E577" t="s">
        <v>300</v>
      </c>
      <c r="F577" t="s">
        <v>7512</v>
      </c>
      <c r="G577" t="s">
        <v>6974</v>
      </c>
    </row>
    <row r="578" spans="1:7" x14ac:dyDescent="0.3">
      <c r="A578" t="s">
        <v>966</v>
      </c>
      <c r="B578" t="s">
        <v>7581</v>
      </c>
      <c r="C578" t="s">
        <v>17</v>
      </c>
      <c r="D578" t="s">
        <v>7576</v>
      </c>
      <c r="E578" t="s">
        <v>28</v>
      </c>
      <c r="F578" t="s">
        <v>7513</v>
      </c>
      <c r="G578" t="s">
        <v>6975</v>
      </c>
    </row>
    <row r="579" spans="1:7" x14ac:dyDescent="0.3">
      <c r="A579" t="s">
        <v>967</v>
      </c>
      <c r="B579" t="s">
        <v>7581</v>
      </c>
      <c r="C579" t="s">
        <v>17</v>
      </c>
      <c r="D579" t="s">
        <v>7576</v>
      </c>
      <c r="E579" t="s">
        <v>355</v>
      </c>
      <c r="F579" t="s">
        <v>7514</v>
      </c>
      <c r="G579" t="s">
        <v>6976</v>
      </c>
    </row>
    <row r="580" spans="1:7" x14ac:dyDescent="0.3">
      <c r="A580" t="s">
        <v>968</v>
      </c>
      <c r="B580" t="s">
        <v>7581</v>
      </c>
      <c r="C580" t="s">
        <v>17</v>
      </c>
      <c r="D580" t="s">
        <v>7576</v>
      </c>
      <c r="E580" t="s">
        <v>351</v>
      </c>
      <c r="F580" t="s">
        <v>7515</v>
      </c>
      <c r="G580" t="s">
        <v>6977</v>
      </c>
    </row>
    <row r="581" spans="1:7" x14ac:dyDescent="0.3">
      <c r="A581" t="s">
        <v>969</v>
      </c>
      <c r="B581" t="s">
        <v>7581</v>
      </c>
      <c r="C581" t="s">
        <v>17</v>
      </c>
      <c r="D581" t="s">
        <v>7576</v>
      </c>
      <c r="E581" t="s">
        <v>362</v>
      </c>
      <c r="F581" t="s">
        <v>7516</v>
      </c>
      <c r="G581" t="s">
        <v>6978</v>
      </c>
    </row>
    <row r="582" spans="1:7" x14ac:dyDescent="0.3">
      <c r="A582" t="s">
        <v>970</v>
      </c>
      <c r="B582" t="s">
        <v>7581</v>
      </c>
      <c r="C582" t="s">
        <v>17</v>
      </c>
      <c r="D582" t="s">
        <v>7576</v>
      </c>
      <c r="E582" t="s">
        <v>6082</v>
      </c>
      <c r="F582" t="s">
        <v>7517</v>
      </c>
      <c r="G582" t="s">
        <v>6979</v>
      </c>
    </row>
    <row r="583" spans="1:7" x14ac:dyDescent="0.3">
      <c r="A583" t="s">
        <v>971</v>
      </c>
      <c r="B583" t="s">
        <v>7581</v>
      </c>
      <c r="C583" t="s">
        <v>17</v>
      </c>
      <c r="D583" t="s">
        <v>7576</v>
      </c>
      <c r="E583" t="s">
        <v>213</v>
      </c>
      <c r="F583" t="s">
        <v>7518</v>
      </c>
      <c r="G583" t="s">
        <v>6980</v>
      </c>
    </row>
    <row r="584" spans="1:7" x14ac:dyDescent="0.3">
      <c r="A584" t="s">
        <v>972</v>
      </c>
      <c r="B584" t="s">
        <v>7581</v>
      </c>
      <c r="C584" t="s">
        <v>17</v>
      </c>
      <c r="D584" t="s">
        <v>7576</v>
      </c>
      <c r="E584" t="s">
        <v>218</v>
      </c>
      <c r="F584" t="s">
        <v>7519</v>
      </c>
      <c r="G584" t="s">
        <v>6981</v>
      </c>
    </row>
    <row r="585" spans="1:7" x14ac:dyDescent="0.3">
      <c r="A585" t="s">
        <v>973</v>
      </c>
      <c r="B585" t="s">
        <v>7577</v>
      </c>
      <c r="C585" t="s">
        <v>19</v>
      </c>
      <c r="D585" t="s">
        <v>7576</v>
      </c>
      <c r="E585" t="s">
        <v>14</v>
      </c>
      <c r="F585" t="s">
        <v>6349</v>
      </c>
      <c r="G585" t="s">
        <v>6982</v>
      </c>
    </row>
    <row r="586" spans="1:7" x14ac:dyDescent="0.3">
      <c r="A586" t="s">
        <v>974</v>
      </c>
      <c r="B586" t="s">
        <v>7577</v>
      </c>
      <c r="C586" t="s">
        <v>19</v>
      </c>
      <c r="D586" t="s">
        <v>7576</v>
      </c>
      <c r="E586" t="s">
        <v>14</v>
      </c>
      <c r="F586" t="s">
        <v>6352</v>
      </c>
      <c r="G586" t="s">
        <v>6983</v>
      </c>
    </row>
    <row r="587" spans="1:7" x14ac:dyDescent="0.3">
      <c r="A587" t="s">
        <v>975</v>
      </c>
      <c r="B587" t="s">
        <v>7580</v>
      </c>
      <c r="C587" t="s">
        <v>19</v>
      </c>
      <c r="D587" t="s">
        <v>7576</v>
      </c>
      <c r="E587" t="s">
        <v>14</v>
      </c>
      <c r="F587" t="s">
        <v>6355</v>
      </c>
      <c r="G587" t="s">
        <v>6984</v>
      </c>
    </row>
    <row r="588" spans="1:7" x14ac:dyDescent="0.3">
      <c r="A588" t="s">
        <v>976</v>
      </c>
      <c r="B588" t="s">
        <v>7577</v>
      </c>
      <c r="C588" t="s">
        <v>19</v>
      </c>
      <c r="D588" t="s">
        <v>7576</v>
      </c>
      <c r="E588" t="s">
        <v>14</v>
      </c>
      <c r="F588" t="s">
        <v>6358</v>
      </c>
      <c r="G588" t="s">
        <v>6985</v>
      </c>
    </row>
    <row r="589" spans="1:7" x14ac:dyDescent="0.3">
      <c r="A589" t="s">
        <v>977</v>
      </c>
      <c r="B589" t="s">
        <v>7579</v>
      </c>
      <c r="C589" t="s">
        <v>19</v>
      </c>
      <c r="D589" t="s">
        <v>7576</v>
      </c>
      <c r="E589" t="s">
        <v>14</v>
      </c>
      <c r="F589" t="s">
        <v>6361</v>
      </c>
      <c r="G589" t="s">
        <v>6986</v>
      </c>
    </row>
    <row r="590" spans="1:7" x14ac:dyDescent="0.3">
      <c r="A590" t="s">
        <v>978</v>
      </c>
      <c r="B590" t="s">
        <v>7580</v>
      </c>
      <c r="C590" t="s">
        <v>19</v>
      </c>
      <c r="D590" t="s">
        <v>7576</v>
      </c>
      <c r="E590" t="s">
        <v>14</v>
      </c>
      <c r="F590" t="s">
        <v>6364</v>
      </c>
      <c r="G590" t="s">
        <v>6987</v>
      </c>
    </row>
    <row r="591" spans="1:7" x14ac:dyDescent="0.3">
      <c r="A591" t="s">
        <v>979</v>
      </c>
      <c r="B591" t="s">
        <v>7580</v>
      </c>
      <c r="C591" t="s">
        <v>19</v>
      </c>
      <c r="D591" t="s">
        <v>7576</v>
      </c>
      <c r="E591" t="s">
        <v>14</v>
      </c>
      <c r="F591" t="s">
        <v>6367</v>
      </c>
      <c r="G591" t="s">
        <v>6988</v>
      </c>
    </row>
    <row r="592" spans="1:7" x14ac:dyDescent="0.3">
      <c r="A592" t="s">
        <v>980</v>
      </c>
      <c r="B592" t="s">
        <v>7580</v>
      </c>
      <c r="C592" t="s">
        <v>19</v>
      </c>
      <c r="D592" t="s">
        <v>7576</v>
      </c>
      <c r="E592" t="s">
        <v>14</v>
      </c>
      <c r="F592" t="s">
        <v>6370</v>
      </c>
      <c r="G592" t="s">
        <v>6989</v>
      </c>
    </row>
    <row r="593" spans="1:7" x14ac:dyDescent="0.3">
      <c r="A593" t="s">
        <v>981</v>
      </c>
      <c r="B593" t="s">
        <v>7580</v>
      </c>
      <c r="C593" t="s">
        <v>19</v>
      </c>
      <c r="D593" t="s">
        <v>7576</v>
      </c>
      <c r="E593" t="s">
        <v>14</v>
      </c>
      <c r="F593" t="s">
        <v>6373</v>
      </c>
      <c r="G593" t="s">
        <v>6990</v>
      </c>
    </row>
    <row r="594" spans="1:7" x14ac:dyDescent="0.3">
      <c r="A594" t="s">
        <v>982</v>
      </c>
      <c r="B594" t="s">
        <v>7577</v>
      </c>
      <c r="C594" t="s">
        <v>19</v>
      </c>
      <c r="D594" t="s">
        <v>7576</v>
      </c>
      <c r="E594" t="s">
        <v>14</v>
      </c>
      <c r="F594" t="s">
        <v>6375</v>
      </c>
      <c r="G594" t="s">
        <v>6991</v>
      </c>
    </row>
    <row r="595" spans="1:7" x14ac:dyDescent="0.3">
      <c r="A595" t="s">
        <v>983</v>
      </c>
      <c r="B595" t="s">
        <v>7577</v>
      </c>
      <c r="C595" t="s">
        <v>19</v>
      </c>
      <c r="D595" t="s">
        <v>7576</v>
      </c>
      <c r="E595" t="s">
        <v>14</v>
      </c>
      <c r="F595" t="s">
        <v>6378</v>
      </c>
      <c r="G595" t="s">
        <v>6992</v>
      </c>
    </row>
    <row r="596" spans="1:7" x14ac:dyDescent="0.3">
      <c r="A596" t="s">
        <v>984</v>
      </c>
      <c r="B596" t="s">
        <v>7577</v>
      </c>
      <c r="C596" t="s">
        <v>19</v>
      </c>
      <c r="D596" t="s">
        <v>7576</v>
      </c>
      <c r="E596" t="s">
        <v>14</v>
      </c>
      <c r="F596" t="s">
        <v>6381</v>
      </c>
      <c r="G596" t="s">
        <v>6993</v>
      </c>
    </row>
    <row r="597" spans="1:7" x14ac:dyDescent="0.3">
      <c r="A597" t="s">
        <v>985</v>
      </c>
      <c r="B597" t="s">
        <v>7579</v>
      </c>
      <c r="C597" t="s">
        <v>19</v>
      </c>
      <c r="D597" t="s">
        <v>7576</v>
      </c>
      <c r="E597" t="s">
        <v>14</v>
      </c>
      <c r="F597" t="s">
        <v>6384</v>
      </c>
      <c r="G597" t="s">
        <v>6994</v>
      </c>
    </row>
    <row r="598" spans="1:7" x14ac:dyDescent="0.3">
      <c r="A598" t="s">
        <v>986</v>
      </c>
      <c r="B598" t="s">
        <v>7580</v>
      </c>
      <c r="C598" t="s">
        <v>19</v>
      </c>
      <c r="D598" t="s">
        <v>7576</v>
      </c>
      <c r="E598" t="s">
        <v>14</v>
      </c>
      <c r="F598" t="s">
        <v>6387</v>
      </c>
      <c r="G598" t="s">
        <v>6995</v>
      </c>
    </row>
    <row r="599" spans="1:7" x14ac:dyDescent="0.3">
      <c r="A599" t="s">
        <v>987</v>
      </c>
      <c r="B599" t="s">
        <v>7580</v>
      </c>
      <c r="C599" t="s">
        <v>19</v>
      </c>
      <c r="D599" t="s">
        <v>7576</v>
      </c>
      <c r="E599" t="s">
        <v>14</v>
      </c>
      <c r="F599" t="s">
        <v>6390</v>
      </c>
      <c r="G599" t="s">
        <v>6996</v>
      </c>
    </row>
    <row r="600" spans="1:7" x14ac:dyDescent="0.3">
      <c r="A600" t="s">
        <v>988</v>
      </c>
      <c r="B600" t="s">
        <v>7580</v>
      </c>
      <c r="C600" t="s">
        <v>19</v>
      </c>
      <c r="D600" t="s">
        <v>7576</v>
      </c>
      <c r="E600" t="s">
        <v>14</v>
      </c>
      <c r="F600" t="s">
        <v>6393</v>
      </c>
      <c r="G600" t="s">
        <v>6997</v>
      </c>
    </row>
    <row r="601" spans="1:7" x14ac:dyDescent="0.3">
      <c r="A601" t="s">
        <v>989</v>
      </c>
      <c r="B601" t="s">
        <v>7581</v>
      </c>
      <c r="C601" t="s">
        <v>15</v>
      </c>
      <c r="D601" t="s">
        <v>7576</v>
      </c>
      <c r="E601" t="s">
        <v>367</v>
      </c>
      <c r="F601" t="s">
        <v>7520</v>
      </c>
      <c r="G601" t="s">
        <v>6998</v>
      </c>
    </row>
    <row r="602" spans="1:7" x14ac:dyDescent="0.3">
      <c r="A602" t="s">
        <v>990</v>
      </c>
      <c r="B602" t="s">
        <v>7581</v>
      </c>
      <c r="C602" t="s">
        <v>15</v>
      </c>
      <c r="D602" t="s">
        <v>7576</v>
      </c>
      <c r="E602" t="s">
        <v>368</v>
      </c>
      <c r="F602" t="s">
        <v>7521</v>
      </c>
      <c r="G602" t="s">
        <v>6999</v>
      </c>
    </row>
    <row r="603" spans="1:7" x14ac:dyDescent="0.3">
      <c r="A603" t="s">
        <v>991</v>
      </c>
      <c r="B603" t="s">
        <v>7581</v>
      </c>
      <c r="C603" t="s">
        <v>15</v>
      </c>
      <c r="D603" t="s">
        <v>7576</v>
      </c>
      <c r="E603" t="s">
        <v>369</v>
      </c>
      <c r="F603" t="s">
        <v>7522</v>
      </c>
      <c r="G603" t="s">
        <v>7000</v>
      </c>
    </row>
    <row r="604" spans="1:7" x14ac:dyDescent="0.3">
      <c r="A604" t="s">
        <v>992</v>
      </c>
      <c r="B604" t="s">
        <v>7581</v>
      </c>
      <c r="C604" t="s">
        <v>15</v>
      </c>
      <c r="D604" t="s">
        <v>7576</v>
      </c>
      <c r="E604" t="s">
        <v>370</v>
      </c>
      <c r="F604" t="s">
        <v>7523</v>
      </c>
      <c r="G604" t="s">
        <v>7001</v>
      </c>
    </row>
    <row r="605" spans="1:7" x14ac:dyDescent="0.3">
      <c r="A605" t="s">
        <v>993</v>
      </c>
      <c r="B605" t="s">
        <v>7581</v>
      </c>
      <c r="C605" t="s">
        <v>15</v>
      </c>
      <c r="D605" t="s">
        <v>7576</v>
      </c>
      <c r="E605" t="s">
        <v>371</v>
      </c>
      <c r="F605" t="s">
        <v>7524</v>
      </c>
      <c r="G605" t="s">
        <v>7002</v>
      </c>
    </row>
    <row r="606" spans="1:7" x14ac:dyDescent="0.3">
      <c r="A606" t="s">
        <v>994</v>
      </c>
      <c r="B606" t="s">
        <v>7581</v>
      </c>
      <c r="C606" t="s">
        <v>15</v>
      </c>
      <c r="D606" t="s">
        <v>7576</v>
      </c>
      <c r="E606" t="s">
        <v>372</v>
      </c>
      <c r="F606" t="s">
        <v>7525</v>
      </c>
      <c r="G606" t="s">
        <v>7003</v>
      </c>
    </row>
    <row r="607" spans="1:7" x14ac:dyDescent="0.3">
      <c r="A607" t="s">
        <v>995</v>
      </c>
      <c r="B607" t="s">
        <v>7581</v>
      </c>
      <c r="C607" t="s">
        <v>15</v>
      </c>
      <c r="D607" t="s">
        <v>7576</v>
      </c>
      <c r="E607" t="s">
        <v>373</v>
      </c>
      <c r="F607" t="s">
        <v>7526</v>
      </c>
      <c r="G607" t="s">
        <v>7004</v>
      </c>
    </row>
    <row r="608" spans="1:7" x14ac:dyDescent="0.3">
      <c r="A608" t="s">
        <v>996</v>
      </c>
      <c r="B608" t="s">
        <v>7581</v>
      </c>
      <c r="C608" t="s">
        <v>15</v>
      </c>
      <c r="D608" t="s">
        <v>7576</v>
      </c>
      <c r="E608" t="s">
        <v>374</v>
      </c>
      <c r="F608" t="s">
        <v>7527</v>
      </c>
      <c r="G608" t="s">
        <v>7005</v>
      </c>
    </row>
    <row r="609" spans="1:7" x14ac:dyDescent="0.3">
      <c r="A609" t="s">
        <v>997</v>
      </c>
      <c r="B609" t="s">
        <v>7581</v>
      </c>
      <c r="C609" t="s">
        <v>15</v>
      </c>
      <c r="D609" t="s">
        <v>7576</v>
      </c>
      <c r="E609" t="s">
        <v>375</v>
      </c>
      <c r="F609" t="s">
        <v>7528</v>
      </c>
      <c r="G609" t="s">
        <v>7006</v>
      </c>
    </row>
    <row r="610" spans="1:7" x14ac:dyDescent="0.3">
      <c r="A610" t="s">
        <v>998</v>
      </c>
      <c r="B610" t="s">
        <v>7581</v>
      </c>
      <c r="C610" t="s">
        <v>15</v>
      </c>
      <c r="D610" t="s">
        <v>7576</v>
      </c>
      <c r="E610" t="s">
        <v>376</v>
      </c>
      <c r="F610" t="s">
        <v>7529</v>
      </c>
      <c r="G610" t="s">
        <v>7007</v>
      </c>
    </row>
    <row r="611" spans="1:7" x14ac:dyDescent="0.3">
      <c r="A611" t="s">
        <v>999</v>
      </c>
      <c r="B611" t="s">
        <v>7581</v>
      </c>
      <c r="C611" t="s">
        <v>15</v>
      </c>
      <c r="D611" t="s">
        <v>7576</v>
      </c>
      <c r="E611" t="s">
        <v>377</v>
      </c>
      <c r="F611" t="s">
        <v>7530</v>
      </c>
      <c r="G611" t="s">
        <v>7008</v>
      </c>
    </row>
    <row r="612" spans="1:7" x14ac:dyDescent="0.3">
      <c r="A612" t="s">
        <v>1000</v>
      </c>
      <c r="B612" t="s">
        <v>7581</v>
      </c>
      <c r="C612" t="s">
        <v>15</v>
      </c>
      <c r="D612" t="s">
        <v>7576</v>
      </c>
      <c r="E612" t="s">
        <v>378</v>
      </c>
      <c r="F612" t="s">
        <v>7531</v>
      </c>
      <c r="G612" t="s">
        <v>7009</v>
      </c>
    </row>
    <row r="613" spans="1:7" x14ac:dyDescent="0.3">
      <c r="A613" t="s">
        <v>1001</v>
      </c>
      <c r="B613" t="s">
        <v>7581</v>
      </c>
      <c r="C613" t="s">
        <v>15</v>
      </c>
      <c r="D613" t="s">
        <v>7576</v>
      </c>
      <c r="E613" t="s">
        <v>379</v>
      </c>
      <c r="F613" t="s">
        <v>7532</v>
      </c>
      <c r="G613" t="s">
        <v>7010</v>
      </c>
    </row>
    <row r="614" spans="1:7" x14ac:dyDescent="0.3">
      <c r="A614" t="s">
        <v>1002</v>
      </c>
      <c r="B614" t="s">
        <v>7581</v>
      </c>
      <c r="C614" t="s">
        <v>15</v>
      </c>
      <c r="D614" t="s">
        <v>7576</v>
      </c>
      <c r="E614" t="s">
        <v>380</v>
      </c>
      <c r="F614" t="s">
        <v>7533</v>
      </c>
      <c r="G614" t="s">
        <v>7011</v>
      </c>
    </row>
    <row r="615" spans="1:7" x14ac:dyDescent="0.3">
      <c r="A615" t="s">
        <v>1003</v>
      </c>
      <c r="B615" t="s">
        <v>7581</v>
      </c>
      <c r="C615" t="s">
        <v>15</v>
      </c>
      <c r="D615" t="s">
        <v>7576</v>
      </c>
      <c r="E615" t="s">
        <v>381</v>
      </c>
      <c r="F615" t="s">
        <v>7534</v>
      </c>
      <c r="G615" t="s">
        <v>7012</v>
      </c>
    </row>
    <row r="616" spans="1:7" x14ac:dyDescent="0.3">
      <c r="A616" t="s">
        <v>1004</v>
      </c>
      <c r="B616" t="s">
        <v>7581</v>
      </c>
      <c r="C616" t="s">
        <v>15</v>
      </c>
      <c r="D616" t="s">
        <v>7576</v>
      </c>
      <c r="E616" t="s">
        <v>382</v>
      </c>
      <c r="F616" t="s">
        <v>7535</v>
      </c>
      <c r="G616" t="s">
        <v>7013</v>
      </c>
    </row>
    <row r="617" spans="1:7" x14ac:dyDescent="0.3">
      <c r="A617" t="s">
        <v>1005</v>
      </c>
      <c r="B617" t="s">
        <v>7581</v>
      </c>
      <c r="C617" t="s">
        <v>15</v>
      </c>
      <c r="D617" t="s">
        <v>7576</v>
      </c>
      <c r="E617" t="s">
        <v>367</v>
      </c>
      <c r="F617" t="s">
        <v>7536</v>
      </c>
      <c r="G617" t="s">
        <v>7014</v>
      </c>
    </row>
    <row r="618" spans="1:7" x14ac:dyDescent="0.3">
      <c r="A618" t="s">
        <v>1006</v>
      </c>
      <c r="B618" t="s">
        <v>7581</v>
      </c>
      <c r="C618" t="s">
        <v>15</v>
      </c>
      <c r="D618" t="s">
        <v>7576</v>
      </c>
      <c r="E618" t="s">
        <v>368</v>
      </c>
      <c r="F618" t="s">
        <v>7537</v>
      </c>
      <c r="G618" t="s">
        <v>7015</v>
      </c>
    </row>
    <row r="619" spans="1:7" x14ac:dyDescent="0.3">
      <c r="A619" t="s">
        <v>1007</v>
      </c>
      <c r="B619" t="s">
        <v>7581</v>
      </c>
      <c r="C619" t="s">
        <v>15</v>
      </c>
      <c r="D619" t="s">
        <v>7576</v>
      </c>
      <c r="E619" t="s">
        <v>369</v>
      </c>
      <c r="F619" t="s">
        <v>7538</v>
      </c>
      <c r="G619" t="s">
        <v>7016</v>
      </c>
    </row>
    <row r="620" spans="1:7" x14ac:dyDescent="0.3">
      <c r="A620" t="s">
        <v>1008</v>
      </c>
      <c r="B620" t="s">
        <v>7581</v>
      </c>
      <c r="C620" t="s">
        <v>15</v>
      </c>
      <c r="D620" t="s">
        <v>7576</v>
      </c>
      <c r="E620" t="s">
        <v>370</v>
      </c>
      <c r="F620" t="s">
        <v>7539</v>
      </c>
      <c r="G620" t="s">
        <v>7017</v>
      </c>
    </row>
    <row r="621" spans="1:7" x14ac:dyDescent="0.3">
      <c r="A621" t="s">
        <v>1009</v>
      </c>
      <c r="B621" t="s">
        <v>7581</v>
      </c>
      <c r="C621" t="s">
        <v>15</v>
      </c>
      <c r="D621" t="s">
        <v>7576</v>
      </c>
      <c r="E621" t="s">
        <v>371</v>
      </c>
      <c r="F621" t="s">
        <v>7540</v>
      </c>
      <c r="G621" t="s">
        <v>7018</v>
      </c>
    </row>
    <row r="622" spans="1:7" x14ac:dyDescent="0.3">
      <c r="A622" t="s">
        <v>1010</v>
      </c>
      <c r="B622" t="s">
        <v>7581</v>
      </c>
      <c r="C622" t="s">
        <v>15</v>
      </c>
      <c r="D622" t="s">
        <v>7576</v>
      </c>
      <c r="E622" t="s">
        <v>372</v>
      </c>
      <c r="F622" t="s">
        <v>7541</v>
      </c>
      <c r="G622" t="s">
        <v>7019</v>
      </c>
    </row>
    <row r="623" spans="1:7" x14ac:dyDescent="0.3">
      <c r="A623" t="s">
        <v>1011</v>
      </c>
      <c r="B623" t="s">
        <v>7581</v>
      </c>
      <c r="C623" t="s">
        <v>15</v>
      </c>
      <c r="D623" t="s">
        <v>7576</v>
      </c>
      <c r="E623" t="s">
        <v>373</v>
      </c>
      <c r="F623" t="s">
        <v>7542</v>
      </c>
      <c r="G623" t="s">
        <v>7020</v>
      </c>
    </row>
    <row r="624" spans="1:7" x14ac:dyDescent="0.3">
      <c r="A624" t="s">
        <v>1012</v>
      </c>
      <c r="B624" t="s">
        <v>7581</v>
      </c>
      <c r="C624" t="s">
        <v>15</v>
      </c>
      <c r="D624" t="s">
        <v>7576</v>
      </c>
      <c r="E624" t="s">
        <v>374</v>
      </c>
      <c r="F624" t="s">
        <v>7543</v>
      </c>
      <c r="G624" t="s">
        <v>7021</v>
      </c>
    </row>
    <row r="625" spans="1:7" x14ac:dyDescent="0.3">
      <c r="A625" t="s">
        <v>1013</v>
      </c>
      <c r="B625" t="s">
        <v>7581</v>
      </c>
      <c r="C625" t="s">
        <v>15</v>
      </c>
      <c r="D625" t="s">
        <v>7576</v>
      </c>
      <c r="E625" t="s">
        <v>375</v>
      </c>
      <c r="F625" t="s">
        <v>7544</v>
      </c>
      <c r="G625" t="s">
        <v>7022</v>
      </c>
    </row>
    <row r="626" spans="1:7" x14ac:dyDescent="0.3">
      <c r="A626" t="s">
        <v>1014</v>
      </c>
      <c r="B626" t="s">
        <v>7581</v>
      </c>
      <c r="C626" t="s">
        <v>15</v>
      </c>
      <c r="D626" t="s">
        <v>7576</v>
      </c>
      <c r="E626" t="s">
        <v>376</v>
      </c>
      <c r="F626" t="s">
        <v>7545</v>
      </c>
      <c r="G626" t="s">
        <v>7023</v>
      </c>
    </row>
    <row r="627" spans="1:7" x14ac:dyDescent="0.3">
      <c r="A627" t="s">
        <v>1015</v>
      </c>
      <c r="B627" t="s">
        <v>7581</v>
      </c>
      <c r="C627" t="s">
        <v>15</v>
      </c>
      <c r="D627" t="s">
        <v>7576</v>
      </c>
      <c r="E627" t="s">
        <v>377</v>
      </c>
      <c r="F627" t="s">
        <v>7546</v>
      </c>
      <c r="G627" t="s">
        <v>7024</v>
      </c>
    </row>
    <row r="628" spans="1:7" x14ac:dyDescent="0.3">
      <c r="A628" t="s">
        <v>1016</v>
      </c>
      <c r="B628" t="s">
        <v>7581</v>
      </c>
      <c r="C628" t="s">
        <v>15</v>
      </c>
      <c r="D628" t="s">
        <v>7576</v>
      </c>
      <c r="E628" t="s">
        <v>378</v>
      </c>
      <c r="F628" t="s">
        <v>7547</v>
      </c>
      <c r="G628" t="s">
        <v>7025</v>
      </c>
    </row>
    <row r="629" spans="1:7" x14ac:dyDescent="0.3">
      <c r="A629" t="s">
        <v>1017</v>
      </c>
      <c r="B629" t="s">
        <v>7581</v>
      </c>
      <c r="C629" t="s">
        <v>15</v>
      </c>
      <c r="D629" t="s">
        <v>7576</v>
      </c>
      <c r="E629" t="s">
        <v>379</v>
      </c>
      <c r="F629" t="s">
        <v>7548</v>
      </c>
      <c r="G629" t="s">
        <v>7026</v>
      </c>
    </row>
    <row r="630" spans="1:7" x14ac:dyDescent="0.3">
      <c r="A630" t="s">
        <v>1018</v>
      </c>
      <c r="B630" t="s">
        <v>7581</v>
      </c>
      <c r="C630" t="s">
        <v>15</v>
      </c>
      <c r="D630" t="s">
        <v>7576</v>
      </c>
      <c r="E630" t="s">
        <v>380</v>
      </c>
      <c r="F630" t="s">
        <v>7549</v>
      </c>
      <c r="G630" t="s">
        <v>7027</v>
      </c>
    </row>
    <row r="631" spans="1:7" x14ac:dyDescent="0.3">
      <c r="A631" t="s">
        <v>1019</v>
      </c>
      <c r="B631" t="s">
        <v>7581</v>
      </c>
      <c r="C631" t="s">
        <v>15</v>
      </c>
      <c r="D631" t="s">
        <v>7576</v>
      </c>
      <c r="E631" t="s">
        <v>381</v>
      </c>
      <c r="F631" t="s">
        <v>7550</v>
      </c>
      <c r="G631" t="s">
        <v>7028</v>
      </c>
    </row>
    <row r="632" spans="1:7" x14ac:dyDescent="0.3">
      <c r="A632" t="s">
        <v>1020</v>
      </c>
      <c r="B632" t="s">
        <v>7581</v>
      </c>
      <c r="C632" t="s">
        <v>15</v>
      </c>
      <c r="D632" t="s">
        <v>7576</v>
      </c>
      <c r="E632" t="s">
        <v>382</v>
      </c>
      <c r="F632" t="s">
        <v>7551</v>
      </c>
      <c r="G632" t="s">
        <v>7029</v>
      </c>
    </row>
    <row r="633" spans="1:7" x14ac:dyDescent="0.3">
      <c r="A633" t="s">
        <v>1021</v>
      </c>
      <c r="B633" t="s">
        <v>7578</v>
      </c>
      <c r="C633" t="s">
        <v>15</v>
      </c>
      <c r="D633" t="s">
        <v>7576</v>
      </c>
      <c r="E633" t="s">
        <v>367</v>
      </c>
      <c r="F633" t="s">
        <v>7552</v>
      </c>
      <c r="G633" t="s">
        <v>7030</v>
      </c>
    </row>
    <row r="634" spans="1:7" x14ac:dyDescent="0.3">
      <c r="A634" t="s">
        <v>1022</v>
      </c>
      <c r="B634" t="s">
        <v>7578</v>
      </c>
      <c r="C634" t="s">
        <v>15</v>
      </c>
      <c r="D634" t="s">
        <v>7576</v>
      </c>
      <c r="E634" t="s">
        <v>368</v>
      </c>
      <c r="F634" t="s">
        <v>7553</v>
      </c>
      <c r="G634" t="s">
        <v>7031</v>
      </c>
    </row>
    <row r="635" spans="1:7" x14ac:dyDescent="0.3">
      <c r="A635" t="s">
        <v>1023</v>
      </c>
      <c r="B635" t="s">
        <v>7578</v>
      </c>
      <c r="C635" t="s">
        <v>15</v>
      </c>
      <c r="D635" t="s">
        <v>7576</v>
      </c>
      <c r="E635" t="s">
        <v>369</v>
      </c>
      <c r="F635" t="s">
        <v>7554</v>
      </c>
      <c r="G635" t="s">
        <v>7032</v>
      </c>
    </row>
    <row r="636" spans="1:7" x14ac:dyDescent="0.3">
      <c r="A636" t="s">
        <v>1024</v>
      </c>
      <c r="B636" t="s">
        <v>7578</v>
      </c>
      <c r="C636" t="s">
        <v>15</v>
      </c>
      <c r="D636" t="s">
        <v>7576</v>
      </c>
      <c r="E636" t="s">
        <v>370</v>
      </c>
      <c r="F636" t="s">
        <v>7555</v>
      </c>
      <c r="G636" t="s">
        <v>7033</v>
      </c>
    </row>
    <row r="637" spans="1:7" x14ac:dyDescent="0.3">
      <c r="A637" t="s">
        <v>1025</v>
      </c>
      <c r="B637" t="s">
        <v>7578</v>
      </c>
      <c r="C637" t="s">
        <v>15</v>
      </c>
      <c r="D637" t="s">
        <v>7576</v>
      </c>
      <c r="E637" t="s">
        <v>371</v>
      </c>
      <c r="F637" t="s">
        <v>7556</v>
      </c>
      <c r="G637" t="s">
        <v>7034</v>
      </c>
    </row>
    <row r="638" spans="1:7" x14ac:dyDescent="0.3">
      <c r="A638" t="s">
        <v>1026</v>
      </c>
      <c r="B638" t="s">
        <v>7578</v>
      </c>
      <c r="C638" t="s">
        <v>15</v>
      </c>
      <c r="D638" t="s">
        <v>7576</v>
      </c>
      <c r="E638" t="s">
        <v>372</v>
      </c>
      <c r="F638" t="s">
        <v>7557</v>
      </c>
      <c r="G638" t="s">
        <v>7035</v>
      </c>
    </row>
    <row r="639" spans="1:7" x14ac:dyDescent="0.3">
      <c r="A639" t="s">
        <v>1027</v>
      </c>
      <c r="B639" t="s">
        <v>7578</v>
      </c>
      <c r="C639" t="s">
        <v>15</v>
      </c>
      <c r="D639" t="s">
        <v>7576</v>
      </c>
      <c r="E639" t="s">
        <v>373</v>
      </c>
      <c r="F639" t="s">
        <v>7558</v>
      </c>
      <c r="G639" t="s">
        <v>7036</v>
      </c>
    </row>
    <row r="640" spans="1:7" x14ac:dyDescent="0.3">
      <c r="A640" t="s">
        <v>1028</v>
      </c>
      <c r="B640" t="s">
        <v>7578</v>
      </c>
      <c r="C640" t="s">
        <v>15</v>
      </c>
      <c r="D640" t="s">
        <v>7576</v>
      </c>
      <c r="E640" t="s">
        <v>374</v>
      </c>
      <c r="F640" t="s">
        <v>7559</v>
      </c>
      <c r="G640" t="s">
        <v>7037</v>
      </c>
    </row>
    <row r="641" spans="1:7" x14ac:dyDescent="0.3">
      <c r="A641" t="s">
        <v>1029</v>
      </c>
      <c r="B641" t="s">
        <v>7578</v>
      </c>
      <c r="C641" t="s">
        <v>15</v>
      </c>
      <c r="D641" t="s">
        <v>7576</v>
      </c>
      <c r="E641" t="s">
        <v>375</v>
      </c>
      <c r="F641" t="s">
        <v>7560</v>
      </c>
      <c r="G641" t="s">
        <v>7038</v>
      </c>
    </row>
    <row r="642" spans="1:7" x14ac:dyDescent="0.3">
      <c r="A642" t="s">
        <v>1030</v>
      </c>
      <c r="B642" t="s">
        <v>7578</v>
      </c>
      <c r="C642" t="s">
        <v>15</v>
      </c>
      <c r="D642" t="s">
        <v>7576</v>
      </c>
      <c r="E642" t="s">
        <v>376</v>
      </c>
      <c r="F642" t="s">
        <v>7561</v>
      </c>
      <c r="G642" t="s">
        <v>7039</v>
      </c>
    </row>
    <row r="643" spans="1:7" x14ac:dyDescent="0.3">
      <c r="A643" t="s">
        <v>1031</v>
      </c>
      <c r="B643" t="s">
        <v>7578</v>
      </c>
      <c r="C643" t="s">
        <v>15</v>
      </c>
      <c r="D643" t="s">
        <v>7576</v>
      </c>
      <c r="E643" t="s">
        <v>377</v>
      </c>
      <c r="F643" t="s">
        <v>7562</v>
      </c>
      <c r="G643" t="s">
        <v>7040</v>
      </c>
    </row>
    <row r="644" spans="1:7" x14ac:dyDescent="0.3">
      <c r="A644" t="s">
        <v>1032</v>
      </c>
      <c r="B644" t="s">
        <v>7578</v>
      </c>
      <c r="C644" t="s">
        <v>15</v>
      </c>
      <c r="D644" t="s">
        <v>7576</v>
      </c>
      <c r="E644" t="s">
        <v>378</v>
      </c>
      <c r="F644" t="s">
        <v>7563</v>
      </c>
      <c r="G644" t="s">
        <v>7041</v>
      </c>
    </row>
    <row r="645" spans="1:7" x14ac:dyDescent="0.3">
      <c r="A645" t="s">
        <v>1033</v>
      </c>
      <c r="B645" t="s">
        <v>7578</v>
      </c>
      <c r="C645" t="s">
        <v>15</v>
      </c>
      <c r="D645" t="s">
        <v>7576</v>
      </c>
      <c r="E645" t="s">
        <v>379</v>
      </c>
      <c r="F645" t="s">
        <v>7564</v>
      </c>
      <c r="G645" t="s">
        <v>7042</v>
      </c>
    </row>
    <row r="646" spans="1:7" x14ac:dyDescent="0.3">
      <c r="A646" t="s">
        <v>1034</v>
      </c>
      <c r="B646" t="s">
        <v>7578</v>
      </c>
      <c r="C646" t="s">
        <v>15</v>
      </c>
      <c r="D646" t="s">
        <v>7576</v>
      </c>
      <c r="E646" t="s">
        <v>380</v>
      </c>
      <c r="F646" t="s">
        <v>7565</v>
      </c>
      <c r="G646" t="s">
        <v>7043</v>
      </c>
    </row>
    <row r="647" spans="1:7" x14ac:dyDescent="0.3">
      <c r="A647" t="s">
        <v>1035</v>
      </c>
      <c r="B647" t="s">
        <v>7578</v>
      </c>
      <c r="C647" t="s">
        <v>15</v>
      </c>
      <c r="D647" t="s">
        <v>7576</v>
      </c>
      <c r="E647" t="s">
        <v>381</v>
      </c>
      <c r="F647" t="s">
        <v>7566</v>
      </c>
      <c r="G647" t="s">
        <v>7044</v>
      </c>
    </row>
    <row r="648" spans="1:7" x14ac:dyDescent="0.3">
      <c r="A648" t="s">
        <v>1036</v>
      </c>
      <c r="B648" t="s">
        <v>7578</v>
      </c>
      <c r="C648" t="s">
        <v>15</v>
      </c>
      <c r="D648" t="s">
        <v>7576</v>
      </c>
      <c r="E648" t="s">
        <v>382</v>
      </c>
      <c r="F648" t="s">
        <v>7567</v>
      </c>
      <c r="G648" t="s">
        <v>7045</v>
      </c>
    </row>
    <row r="649" spans="1:7" x14ac:dyDescent="0.3">
      <c r="A649" t="s">
        <v>1037</v>
      </c>
      <c r="B649" t="s">
        <v>7577</v>
      </c>
      <c r="C649" t="s">
        <v>19</v>
      </c>
      <c r="D649" t="s">
        <v>7576</v>
      </c>
      <c r="E649" t="s">
        <v>14</v>
      </c>
      <c r="F649" t="s">
        <v>6413</v>
      </c>
      <c r="G649" t="s">
        <v>7046</v>
      </c>
    </row>
    <row r="650" spans="1:7" x14ac:dyDescent="0.3">
      <c r="A650" t="s">
        <v>1038</v>
      </c>
      <c r="B650" t="s">
        <v>7577</v>
      </c>
      <c r="C650" t="s">
        <v>19</v>
      </c>
      <c r="D650" t="s">
        <v>7576</v>
      </c>
      <c r="E650" t="s">
        <v>14</v>
      </c>
      <c r="F650" t="s">
        <v>6415</v>
      </c>
      <c r="G650" t="s">
        <v>7047</v>
      </c>
    </row>
    <row r="651" spans="1:7" x14ac:dyDescent="0.3">
      <c r="A651" t="s">
        <v>1039</v>
      </c>
      <c r="B651" t="s">
        <v>7577</v>
      </c>
      <c r="C651" t="s">
        <v>19</v>
      </c>
      <c r="D651" t="s">
        <v>7576</v>
      </c>
      <c r="E651" t="s">
        <v>14</v>
      </c>
      <c r="F651" t="s">
        <v>6417</v>
      </c>
      <c r="G651" t="s">
        <v>7048</v>
      </c>
    </row>
    <row r="652" spans="1:7" x14ac:dyDescent="0.3">
      <c r="A652" t="s">
        <v>1040</v>
      </c>
      <c r="B652" t="s">
        <v>7577</v>
      </c>
      <c r="C652" t="s">
        <v>19</v>
      </c>
      <c r="D652" t="s">
        <v>7576</v>
      </c>
      <c r="E652" t="s">
        <v>14</v>
      </c>
      <c r="F652" t="s">
        <v>6419</v>
      </c>
      <c r="G652" t="s">
        <v>7049</v>
      </c>
    </row>
    <row r="653" spans="1:7" x14ac:dyDescent="0.3">
      <c r="A653" t="s">
        <v>1041</v>
      </c>
      <c r="B653" t="s">
        <v>7579</v>
      </c>
      <c r="C653" t="s">
        <v>19</v>
      </c>
      <c r="D653" t="s">
        <v>7576</v>
      </c>
      <c r="E653" t="s">
        <v>14</v>
      </c>
      <c r="F653" t="s">
        <v>6421</v>
      </c>
      <c r="G653" t="s">
        <v>7050</v>
      </c>
    </row>
    <row r="654" spans="1:7" x14ac:dyDescent="0.3">
      <c r="A654" t="s">
        <v>1042</v>
      </c>
      <c r="B654" t="s">
        <v>7580</v>
      </c>
      <c r="C654" t="s">
        <v>19</v>
      </c>
      <c r="D654" t="s">
        <v>7576</v>
      </c>
      <c r="E654" t="s">
        <v>14</v>
      </c>
      <c r="F654" t="s">
        <v>6423</v>
      </c>
      <c r="G654" t="s">
        <v>7051</v>
      </c>
    </row>
    <row r="655" spans="1:7" x14ac:dyDescent="0.3">
      <c r="A655" t="s">
        <v>1043</v>
      </c>
      <c r="B655" t="s">
        <v>7580</v>
      </c>
      <c r="C655" t="s">
        <v>19</v>
      </c>
      <c r="D655" t="s">
        <v>7576</v>
      </c>
      <c r="E655" t="s">
        <v>14</v>
      </c>
      <c r="F655" t="s">
        <v>6425</v>
      </c>
      <c r="G655" t="s">
        <v>7052</v>
      </c>
    </row>
    <row r="656" spans="1:7" x14ac:dyDescent="0.3">
      <c r="A656" t="s">
        <v>1044</v>
      </c>
      <c r="B656" t="s">
        <v>7580</v>
      </c>
      <c r="C656" t="s">
        <v>19</v>
      </c>
      <c r="D656" t="s">
        <v>7576</v>
      </c>
      <c r="E656" t="s">
        <v>14</v>
      </c>
      <c r="F656" t="s">
        <v>6427</v>
      </c>
      <c r="G656" t="s">
        <v>7053</v>
      </c>
    </row>
    <row r="657" spans="1:7" x14ac:dyDescent="0.3">
      <c r="A657" t="s">
        <v>1045</v>
      </c>
      <c r="B657" t="s">
        <v>7579</v>
      </c>
      <c r="C657" t="s">
        <v>19</v>
      </c>
      <c r="D657" t="s">
        <v>7576</v>
      </c>
      <c r="E657" t="s">
        <v>14</v>
      </c>
      <c r="F657" t="s">
        <v>6429</v>
      </c>
      <c r="G657" t="s">
        <v>7054</v>
      </c>
    </row>
    <row r="658" spans="1:7" x14ac:dyDescent="0.3">
      <c r="A658" t="s">
        <v>1046</v>
      </c>
      <c r="B658" t="s">
        <v>7577</v>
      </c>
      <c r="C658" t="s">
        <v>19</v>
      </c>
      <c r="D658" t="s">
        <v>7576</v>
      </c>
      <c r="E658" t="s">
        <v>14</v>
      </c>
      <c r="F658" t="s">
        <v>6431</v>
      </c>
      <c r="G658" t="s">
        <v>7055</v>
      </c>
    </row>
    <row r="659" spans="1:7" x14ac:dyDescent="0.3">
      <c r="A659" t="s">
        <v>1047</v>
      </c>
      <c r="B659" t="s">
        <v>7579</v>
      </c>
      <c r="C659" t="s">
        <v>19</v>
      </c>
      <c r="D659" t="s">
        <v>7576</v>
      </c>
      <c r="E659" t="s">
        <v>14</v>
      </c>
      <c r="F659" t="s">
        <v>6434</v>
      </c>
      <c r="G659" t="s">
        <v>7056</v>
      </c>
    </row>
    <row r="660" spans="1:7" x14ac:dyDescent="0.3">
      <c r="A660" t="s">
        <v>1048</v>
      </c>
      <c r="B660" t="s">
        <v>7580</v>
      </c>
      <c r="C660" t="s">
        <v>19</v>
      </c>
      <c r="D660" t="s">
        <v>7576</v>
      </c>
      <c r="E660" t="s">
        <v>14</v>
      </c>
      <c r="F660" t="s">
        <v>6437</v>
      </c>
      <c r="G660" t="s">
        <v>7057</v>
      </c>
    </row>
    <row r="661" spans="1:7" x14ac:dyDescent="0.3">
      <c r="A661" t="s">
        <v>1049</v>
      </c>
      <c r="B661" t="s">
        <v>7577</v>
      </c>
      <c r="C661" t="s">
        <v>19</v>
      </c>
      <c r="D661" t="s">
        <v>7576</v>
      </c>
      <c r="E661" t="s">
        <v>14</v>
      </c>
      <c r="F661" t="s">
        <v>6440</v>
      </c>
      <c r="G661" t="s">
        <v>7058</v>
      </c>
    </row>
    <row r="662" spans="1:7" x14ac:dyDescent="0.3">
      <c r="A662" t="s">
        <v>1050</v>
      </c>
      <c r="B662" t="s">
        <v>7579</v>
      </c>
      <c r="C662" t="s">
        <v>19</v>
      </c>
      <c r="D662" t="s">
        <v>7576</v>
      </c>
      <c r="E662" t="s">
        <v>14</v>
      </c>
      <c r="F662" t="s">
        <v>6443</v>
      </c>
      <c r="G662" t="s">
        <v>7059</v>
      </c>
    </row>
    <row r="663" spans="1:7" x14ac:dyDescent="0.3">
      <c r="A663" t="s">
        <v>1051</v>
      </c>
      <c r="B663" t="s">
        <v>7580</v>
      </c>
      <c r="C663" t="s">
        <v>19</v>
      </c>
      <c r="D663" t="s">
        <v>7576</v>
      </c>
      <c r="E663" t="s">
        <v>14</v>
      </c>
      <c r="F663" t="s">
        <v>6446</v>
      </c>
      <c r="G663" t="s">
        <v>7060</v>
      </c>
    </row>
    <row r="664" spans="1:7" x14ac:dyDescent="0.3">
      <c r="A664" t="s">
        <v>1052</v>
      </c>
      <c r="B664" t="s">
        <v>7581</v>
      </c>
      <c r="C664" t="s">
        <v>19</v>
      </c>
      <c r="D664" t="s">
        <v>7576</v>
      </c>
      <c r="E664" t="s">
        <v>14</v>
      </c>
      <c r="F664" t="s">
        <v>6449</v>
      </c>
      <c r="G664" t="s">
        <v>7061</v>
      </c>
    </row>
    <row r="665" spans="1:7" x14ac:dyDescent="0.3">
      <c r="A665" t="s">
        <v>1053</v>
      </c>
      <c r="B665" t="s">
        <v>7581</v>
      </c>
      <c r="C665" t="s">
        <v>19</v>
      </c>
      <c r="D665" t="s">
        <v>7576</v>
      </c>
      <c r="E665" t="s">
        <v>14</v>
      </c>
      <c r="F665" t="s">
        <v>6452</v>
      </c>
      <c r="G665" t="s">
        <v>7062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C476-3F9F-4197-BB18-4AEB96A9D3D7}">
  <sheetPr>
    <tabColor rgb="FF00B050"/>
  </sheetPr>
  <dimension ref="A1:AG739"/>
  <sheetViews>
    <sheetView showGridLines="0" tabSelected="1" workbookViewId="0">
      <pane xSplit="1" ySplit="10" topLeftCell="B735" activePane="bottomRight" state="frozen"/>
      <selection pane="topRight" activeCell="B1" sqref="B1"/>
      <selection pane="bottomLeft" activeCell="A2" sqref="A2"/>
      <selection pane="bottomRight" activeCell="E737" sqref="E737"/>
    </sheetView>
  </sheetViews>
  <sheetFormatPr baseColWidth="10" defaultRowHeight="14.4" x14ac:dyDescent="0.3"/>
  <cols>
    <col min="1" max="1" width="5.44140625" style="2" customWidth="1"/>
    <col min="2" max="2" width="5.5546875" customWidth="1"/>
    <col min="3" max="3" width="9.21875" bestFit="1" customWidth="1"/>
    <col min="4" max="4" width="9.5546875" customWidth="1"/>
    <col min="5" max="5" width="10.5546875" customWidth="1"/>
    <col min="6" max="6" width="17" bestFit="1" customWidth="1"/>
    <col min="7" max="7" width="14.77734375" customWidth="1"/>
    <col min="8" max="8" width="8.21875" customWidth="1"/>
    <col min="9" max="9" width="11.44140625" style="2" customWidth="1"/>
    <col min="10" max="10" width="14.5546875" style="2" bestFit="1" customWidth="1"/>
    <col min="11" max="11" width="15.77734375" bestFit="1" customWidth="1"/>
    <col min="12" max="12" width="15.44140625" customWidth="1"/>
    <col min="13" max="13" width="10.77734375" customWidth="1"/>
    <col min="14" max="14" width="20.44140625" customWidth="1"/>
    <col min="15" max="15" width="37.21875" customWidth="1"/>
    <col min="16" max="16" width="39.21875" customWidth="1"/>
    <col min="17" max="17" width="15.44140625" customWidth="1"/>
    <col min="18" max="18" width="31.21875" customWidth="1"/>
    <col min="19" max="19" width="36.77734375" style="1" customWidth="1"/>
    <col min="20" max="20" width="12.5546875" bestFit="1" customWidth="1"/>
    <col min="21" max="21" width="9.44140625" bestFit="1" customWidth="1"/>
    <col min="22" max="22" width="9.5546875" bestFit="1" customWidth="1"/>
    <col min="23" max="23" width="12.21875" customWidth="1"/>
    <col min="24" max="24" width="11.21875" bestFit="1" customWidth="1"/>
    <col min="25" max="25" width="7" bestFit="1" customWidth="1"/>
    <col min="26" max="26" width="10.21875" bestFit="1" customWidth="1"/>
    <col min="29" max="29" width="26.21875" bestFit="1" customWidth="1"/>
    <col min="33" max="33" width="10" bestFit="1" customWidth="1"/>
  </cols>
  <sheetData>
    <row r="1" spans="1:33" x14ac:dyDescent="0.3">
      <c r="S1" s="43"/>
    </row>
    <row r="8" spans="1:33" ht="12" customHeight="1" x14ac:dyDescent="0.3"/>
    <row r="9" spans="1:33" ht="15" customHeight="1" x14ac:dyDescent="0.3">
      <c r="L9" s="35">
        <f>+SUBTOTAL(3,Ingresos_Historicos[id])</f>
        <v>729</v>
      </c>
      <c r="M9" s="36">
        <f>+COUNTA(A11:A1048576)</f>
        <v>729</v>
      </c>
    </row>
    <row r="10" spans="1:33" ht="19.350000000000001" customHeight="1" x14ac:dyDescent="0.3">
      <c r="A10" s="7" t="s">
        <v>0</v>
      </c>
      <c r="B10" s="8" t="s">
        <v>384</v>
      </c>
      <c r="C10" s="8" t="s">
        <v>1</v>
      </c>
      <c r="D10" s="8" t="s">
        <v>2</v>
      </c>
      <c r="E10" s="9" t="s">
        <v>366</v>
      </c>
      <c r="F10" s="8" t="s">
        <v>3</v>
      </c>
      <c r="G10" s="8" t="s">
        <v>4</v>
      </c>
      <c r="H10" s="7" t="s">
        <v>5</v>
      </c>
      <c r="I10" s="7" t="s">
        <v>6</v>
      </c>
      <c r="J10" s="10" t="s">
        <v>23</v>
      </c>
      <c r="K10" s="10" t="s">
        <v>24</v>
      </c>
      <c r="L10" s="8" t="s">
        <v>7</v>
      </c>
      <c r="M10" s="8" t="s">
        <v>8</v>
      </c>
      <c r="N10" s="8" t="s">
        <v>9</v>
      </c>
      <c r="O10" s="8" t="s">
        <v>10</v>
      </c>
      <c r="P10" s="8" t="s">
        <v>11</v>
      </c>
      <c r="Q10" s="8" t="s">
        <v>12</v>
      </c>
      <c r="R10" s="8" t="s">
        <v>13</v>
      </c>
      <c r="S10" s="8" t="s">
        <v>20</v>
      </c>
      <c r="T10" s="11" t="s">
        <v>383</v>
      </c>
      <c r="U10" s="3" t="s">
        <v>385</v>
      </c>
      <c r="V10" s="17" t="s">
        <v>393</v>
      </c>
      <c r="W10" s="17" t="s">
        <v>394</v>
      </c>
      <c r="X10" s="17" t="s">
        <v>386</v>
      </c>
      <c r="Y10" s="17" t="s">
        <v>387</v>
      </c>
      <c r="Z10" s="17" t="s">
        <v>390</v>
      </c>
      <c r="AA10" s="17" t="s">
        <v>389</v>
      </c>
      <c r="AC10" s="48"/>
      <c r="AD10" s="49" t="s">
        <v>5938</v>
      </c>
      <c r="AE10" s="49" t="s">
        <v>5939</v>
      </c>
      <c r="AF10" s="49" t="s">
        <v>5940</v>
      </c>
      <c r="AG10" s="50"/>
    </row>
    <row r="11" spans="1:33" ht="40.799999999999997" x14ac:dyDescent="0.3">
      <c r="A11" s="32" t="s">
        <v>391</v>
      </c>
      <c r="B11" s="12">
        <v>300</v>
      </c>
      <c r="C11" s="13" t="s">
        <v>5839</v>
      </c>
      <c r="D11" s="13" t="s">
        <v>5847</v>
      </c>
      <c r="E11" s="18">
        <v>0</v>
      </c>
      <c r="F11" s="13" t="s">
        <v>5846</v>
      </c>
      <c r="G11" s="13" t="s">
        <v>7570</v>
      </c>
      <c r="H11" s="30" t="s">
        <v>19</v>
      </c>
      <c r="I11" s="31" t="s">
        <v>14</v>
      </c>
      <c r="J11" s="12" t="s">
        <v>15</v>
      </c>
      <c r="K11" s="12" t="s">
        <v>5843</v>
      </c>
      <c r="L11" s="75" t="s">
        <v>5840</v>
      </c>
      <c r="M11" s="12" t="s">
        <v>5864</v>
      </c>
      <c r="N11" s="33" t="s">
        <v>5841</v>
      </c>
      <c r="O11" s="14" t="s">
        <v>5848</v>
      </c>
      <c r="P11" s="41" t="s">
        <v>5845</v>
      </c>
      <c r="Q11" s="14" t="s">
        <v>5842</v>
      </c>
      <c r="R11" s="14" t="s">
        <v>5952</v>
      </c>
      <c r="S11" s="25" t="str">
        <f>HYPERLINK("https://analytics.zoho.com/open-view/2395394000006849343")</f>
        <v>https://analytics.zoho.com/open-view/2395394000006849343</v>
      </c>
      <c r="T11" s="65" t="s">
        <v>5906</v>
      </c>
      <c r="U11" s="24" t="s">
        <v>397</v>
      </c>
      <c r="V11" s="19" t="str">
        <f>+Ingresos_Historicos[[#This Row],[idcoleccion]]&amp;"-"&amp;Ingresos_Historicos[[#This Row],[id]]</f>
        <v>300-0001</v>
      </c>
      <c r="W11" s="19">
        <f>+VLOOKUP(Ingresos_Historicos[[#This Row],[Filtro URL]],Estructura!$X$4:$Y$366,2,0)</f>
        <v>30100000</v>
      </c>
      <c r="X11" s="19" t="str">
        <f>+VLOOKUP(Ingresos_Historicos[[#This Row],[tema]],Estructura!$A$4:$C$18,3,0)</f>
        <v>T-301</v>
      </c>
      <c r="Y11" s="19" t="str">
        <f>+VLOOKUP(Ingresos_Historicos[[#This Row],[contenido]],Estructura!$E$4:$G$18,3,0)</f>
        <v>C-302</v>
      </c>
      <c r="Z11" s="19" t="str">
        <f>+VLOOKUP(Ingresos_Historicos[[#This Row],[Filtro Integrado]],Estructura!$M$4:$O$367,3,0)</f>
        <v>FI-302</v>
      </c>
      <c r="AA11" s="19" t="str">
        <f>+VLOOKUP(Ingresos_Historicos[[#This Row],[Muestra]],Estructura!$Q$4:$S$194,3,0)</f>
        <v>M-301</v>
      </c>
      <c r="AC11" s="51" t="s">
        <v>5941</v>
      </c>
      <c r="AD11" s="49" t="s">
        <v>5942</v>
      </c>
      <c r="AE11" s="49" t="s">
        <v>5943</v>
      </c>
      <c r="AF11" s="49" t="s">
        <v>5944</v>
      </c>
      <c r="AG11" s="49" t="s">
        <v>5945</v>
      </c>
    </row>
    <row r="12" spans="1:33" ht="40.799999999999997" x14ac:dyDescent="0.3">
      <c r="A12" s="32" t="s">
        <v>392</v>
      </c>
      <c r="B12" s="12">
        <f>+B11</f>
        <v>300</v>
      </c>
      <c r="C12" s="13" t="str">
        <f>+C11</f>
        <v>Violencia contra la mujer</v>
      </c>
      <c r="D12" s="13" t="str">
        <f>+D11</f>
        <v>Mujeres</v>
      </c>
      <c r="E12" s="26">
        <v>1</v>
      </c>
      <c r="F12" s="13" t="s">
        <v>5846</v>
      </c>
      <c r="G12" s="13" t="s">
        <v>7570</v>
      </c>
      <c r="H12" s="29" t="s">
        <v>15</v>
      </c>
      <c r="I12" s="28" t="s">
        <v>367</v>
      </c>
      <c r="J12" s="12" t="s">
        <v>17</v>
      </c>
      <c r="K12" s="12" t="s">
        <v>5844</v>
      </c>
      <c r="L12" s="75" t="str">
        <f>+L11</f>
        <v>Año 2021</v>
      </c>
      <c r="M12" s="12" t="str">
        <f>+M11</f>
        <v>Número de centros</v>
      </c>
      <c r="N12" s="33" t="s">
        <v>5841</v>
      </c>
      <c r="O12" s="14" t="str">
        <f>+"Cantidad de Centros de la Mujer por comuna en la "&amp;Ingresos_Historicos[[#This Row],[territorio]]</f>
        <v>Cantidad de Centros de la Mujer por comuna en la Región de Tarapacá</v>
      </c>
      <c r="P12" s="41" t="str">
        <f>"Gráfico que muestra la cantidad de Centros de la Mujer por comuna en la  "&amp;Ingresos_Historicos[[#This Row],[territorio]]&amp;", de acuerdo a los datos publicados por el "&amp;N11&amp;" para el "&amp;L11&amp;"."</f>
        <v>Gráfico que muestra la cantidad de Centros de la Mujer por comuna en la  Región de Tarapacá, de acuerdo a los datos publicados por el Servicio Nacional de la Mujer y la Equidad de Género para el Año 2021.</v>
      </c>
      <c r="Q12" s="14" t="s">
        <v>5842</v>
      </c>
      <c r="R12" s="14" t="s">
        <v>5866</v>
      </c>
      <c r="S12" s="15" t="str">
        <f>"https://analytics.zoho.com/open-view/2395394000008621922?ZOHO_CRITERIA=%2227.11%22.%22C%C3%B3digo_Regi%C3%B3n%22%20%3D%20"&amp;Ingresos_Historicos[[#This Row],[Filtro URL]]</f>
        <v>https://analytics.zoho.com/open-view/2395394000008621922?ZOHO_CRITERIA=%2227.11%22.%22C%C3%B3digo_Regi%C3%B3n%22%20%3D%201</v>
      </c>
      <c r="T12" s="65" t="s">
        <v>5907</v>
      </c>
      <c r="U12" s="24" t="s">
        <v>397</v>
      </c>
      <c r="V12" s="19" t="str">
        <f>+Ingresos_Historicos[[#This Row],[idcoleccion]]&amp;"-"&amp;Ingresos_Historicos[[#This Row],[id]]</f>
        <v>300-0002</v>
      </c>
      <c r="W12" s="19">
        <f>+VLOOKUP(Ingresos_Historicos[[#This Row],[Filtro URL]],Estructura!$X$4:$Y$366,2,0)</f>
        <v>30200001</v>
      </c>
      <c r="X12" s="19" t="str">
        <f>+VLOOKUP(Ingresos_Historicos[[#This Row],[tema]],Estructura!$A$4:$C$18,3,0)</f>
        <v>T-301</v>
      </c>
      <c r="Y12" s="19" t="str">
        <f>+VLOOKUP(Ingresos_Historicos[[#This Row],[contenido]],Estructura!$E$4:$G$18,3,0)</f>
        <v>C-302</v>
      </c>
      <c r="Z12" s="19" t="str">
        <f>+VLOOKUP(Ingresos_Historicos[[#This Row],[Filtro Integrado]],Estructura!$M$4:$O$367,3,0)</f>
        <v>FI-301</v>
      </c>
      <c r="AA12" s="19" t="str">
        <f>+VLOOKUP(Ingresos_Historicos[[#This Row],[Muestra]],Estructura!$Q$4:$S$194,3,0)</f>
        <v>M-302</v>
      </c>
      <c r="AC12" s="52" t="s">
        <v>367</v>
      </c>
      <c r="AD12" s="63">
        <f t="shared" ref="AD12:AD26" si="0">COUNTIFS($T$11:$T$739,"0")</f>
        <v>14</v>
      </c>
      <c r="AE12" s="63">
        <f>COUNTIFS($T$11:$T$739,"100-R-1")</f>
        <v>11</v>
      </c>
      <c r="AF12" s="63">
        <f>COUNTIFS($T$11:$T$739,"100-C-1")</f>
        <v>10</v>
      </c>
      <c r="AG12" s="53">
        <f>SUM(AD12:AF12)</f>
        <v>35</v>
      </c>
    </row>
    <row r="13" spans="1:33" ht="40.799999999999997" x14ac:dyDescent="0.3">
      <c r="A13" s="71" t="s">
        <v>399</v>
      </c>
      <c r="B13" s="12">
        <f t="shared" ref="B13:B58" si="1">+B12</f>
        <v>300</v>
      </c>
      <c r="C13" s="13" t="str">
        <f t="shared" ref="C13:C58" si="2">+C12</f>
        <v>Violencia contra la mujer</v>
      </c>
      <c r="D13" s="13" t="str">
        <f t="shared" ref="D13:D58" si="3">+D12</f>
        <v>Mujeres</v>
      </c>
      <c r="E13" s="26">
        <v>2</v>
      </c>
      <c r="F13" s="13" t="s">
        <v>5846</v>
      </c>
      <c r="G13" s="13" t="s">
        <v>7570</v>
      </c>
      <c r="H13" s="29" t="s">
        <v>15</v>
      </c>
      <c r="I13" s="28" t="s">
        <v>368</v>
      </c>
      <c r="J13" s="12" t="str">
        <f t="shared" ref="J13:J58" si="4">+J12</f>
        <v>Comuna</v>
      </c>
      <c r="K13" s="12" t="str">
        <f t="shared" ref="K13:K58" si="5">+K12</f>
        <v>Cantidad de Centros de la Mujer Regional</v>
      </c>
      <c r="L13" s="75" t="str">
        <f t="shared" ref="L13:L58" si="6">+L12</f>
        <v>Año 2021</v>
      </c>
      <c r="M13" s="12" t="str">
        <f t="shared" ref="M13:M58" si="7">+M12</f>
        <v>Número de centros</v>
      </c>
      <c r="N13" s="33" t="s">
        <v>5841</v>
      </c>
      <c r="O13" s="14" t="str">
        <f>+"Cantidad de Centros de la Mujer por comuna en la "&amp;Ingresos_Historicos[[#This Row],[territorio]]</f>
        <v>Cantidad de Centros de la Mujer por comuna en la Región de Antofagasta</v>
      </c>
      <c r="P13" s="41" t="str">
        <f>"Gráfico que muestra la cantidad de Centros de la Mujer por comuna en la  "&amp;Ingresos_Historicos[[#This Row],[territorio]]&amp;", de acuerdo a los datos publicados por el "&amp;N12&amp;" para el "&amp;L12&amp;"."</f>
        <v>Gráfico que muestra la cantidad de Centros de la Mujer por comuna en la  Región de Antofagasta, de acuerdo a los datos publicados por el Servicio Nacional de la Mujer y la Equidad de Género para el Año 2021.</v>
      </c>
      <c r="Q13" s="14" t="s">
        <v>5842</v>
      </c>
      <c r="R13" s="14" t="s">
        <v>5867</v>
      </c>
      <c r="S13" s="15" t="str">
        <f>"https://analytics.zoho.com/open-view/2395394000008621922?ZOHO_CRITERIA=%2227.11%22.%22C%C3%B3digo_Regi%C3%B3n%22%20%3D%20"&amp;Ingresos_Historicos[[#This Row],[Filtro URL]]</f>
        <v>https://analytics.zoho.com/open-view/2395394000008621922?ZOHO_CRITERIA=%2227.11%22.%22C%C3%B3digo_Regi%C3%B3n%22%20%3D%202</v>
      </c>
      <c r="T13" s="65" t="s">
        <v>5908</v>
      </c>
      <c r="U13" s="24" t="s">
        <v>397</v>
      </c>
      <c r="V13" s="19" t="str">
        <f>+Ingresos_Historicos[[#This Row],[idcoleccion]]&amp;"-"&amp;Ingresos_Historicos[[#This Row],[id]]</f>
        <v>300-0003</v>
      </c>
      <c r="W13" s="19">
        <f>+VLOOKUP(Ingresos_Historicos[[#This Row],[Filtro URL]],Estructura!$X$4:$Y$366,2,0)</f>
        <v>30200002</v>
      </c>
      <c r="X13" s="19" t="str">
        <f>+VLOOKUP(Ingresos_Historicos[[#This Row],[tema]],Estructura!$A$4:$C$18,3,0)</f>
        <v>T-301</v>
      </c>
      <c r="Y13" s="19" t="str">
        <f>+VLOOKUP(Ingresos_Historicos[[#This Row],[contenido]],Estructura!$E$4:$G$18,3,0)</f>
        <v>C-302</v>
      </c>
      <c r="Z13" s="19" t="str">
        <f>+VLOOKUP(Ingresos_Historicos[[#This Row],[Filtro Integrado]],Estructura!$M$4:$O$367,3,0)</f>
        <v>FI-301</v>
      </c>
      <c r="AA13" s="19" t="str">
        <f>+VLOOKUP(Ingresos_Historicos[[#This Row],[Muestra]],Estructura!$Q$4:$S$194,3,0)</f>
        <v>M-302</v>
      </c>
      <c r="AC13" s="52" t="s">
        <v>368</v>
      </c>
      <c r="AD13" s="63">
        <f t="shared" si="0"/>
        <v>14</v>
      </c>
      <c r="AE13" s="63">
        <f>COUNTIFS($T$11:$T$739,"100-R-2")</f>
        <v>11</v>
      </c>
      <c r="AF13" s="63">
        <f>COUNTIFS($T$11:$T$739,"100-C-2")</f>
        <v>18</v>
      </c>
      <c r="AG13" s="53">
        <f>SUM(AD13:AF13)</f>
        <v>43</v>
      </c>
    </row>
    <row r="14" spans="1:33" ht="40.799999999999997" x14ac:dyDescent="0.3">
      <c r="A14" s="71" t="s">
        <v>400</v>
      </c>
      <c r="B14" s="12">
        <f t="shared" si="1"/>
        <v>300</v>
      </c>
      <c r="C14" s="13" t="str">
        <f t="shared" si="2"/>
        <v>Violencia contra la mujer</v>
      </c>
      <c r="D14" s="13" t="str">
        <f t="shared" si="3"/>
        <v>Mujeres</v>
      </c>
      <c r="E14" s="26">
        <v>3</v>
      </c>
      <c r="F14" s="13" t="s">
        <v>5846</v>
      </c>
      <c r="G14" s="13" t="s">
        <v>7570</v>
      </c>
      <c r="H14" s="29" t="s">
        <v>15</v>
      </c>
      <c r="I14" s="28" t="s">
        <v>369</v>
      </c>
      <c r="J14" s="12" t="str">
        <f t="shared" si="4"/>
        <v>Comuna</v>
      </c>
      <c r="K14" s="12" t="str">
        <f t="shared" si="5"/>
        <v>Cantidad de Centros de la Mujer Regional</v>
      </c>
      <c r="L14" s="75" t="str">
        <f t="shared" si="6"/>
        <v>Año 2021</v>
      </c>
      <c r="M14" s="12" t="str">
        <f t="shared" si="7"/>
        <v>Número de centros</v>
      </c>
      <c r="N14" s="33" t="s">
        <v>5841</v>
      </c>
      <c r="O14" s="14" t="str">
        <f>+"Cantidad de Centros de la Mujer por comuna en la "&amp;Ingresos_Historicos[[#This Row],[territorio]]</f>
        <v>Cantidad de Centros de la Mujer por comuna en la Región de Atacama</v>
      </c>
      <c r="P14" s="41" t="str">
        <f>"Gráfico que muestra la cantidad de Centros de la Mujer por comuna en la  "&amp;Ingresos_Historicos[[#This Row],[territorio]]&amp;", de acuerdo a los datos publicados por el "&amp;N13&amp;" para el "&amp;L13&amp;"."</f>
        <v>Gráfico que muestra la cantidad de Centros de la Mujer por comuna en la  Región de Atacama, de acuerdo a los datos publicados por el Servicio Nacional de la Mujer y la Equidad de Género para el Año 2021.</v>
      </c>
      <c r="Q14" s="14" t="s">
        <v>5842</v>
      </c>
      <c r="R14" s="14" t="s">
        <v>5868</v>
      </c>
      <c r="S14" s="15" t="str">
        <f>"https://analytics.zoho.com/open-view/2395394000008621922?ZOHO_CRITERIA=%2227.11%22.%22C%C3%B3digo_Regi%C3%B3n%22%20%3D%20"&amp;Ingresos_Historicos[[#This Row],[Filtro URL]]</f>
        <v>https://analytics.zoho.com/open-view/2395394000008621922?ZOHO_CRITERIA=%2227.11%22.%22C%C3%B3digo_Regi%C3%B3n%22%20%3D%203</v>
      </c>
      <c r="T14" s="65" t="s">
        <v>5909</v>
      </c>
      <c r="U14" s="24" t="s">
        <v>397</v>
      </c>
      <c r="V14" s="19" t="str">
        <f>+Ingresos_Historicos[[#This Row],[idcoleccion]]&amp;"-"&amp;Ingresos_Historicos[[#This Row],[id]]</f>
        <v>300-0004</v>
      </c>
      <c r="W14" s="19">
        <f>+VLOOKUP(Ingresos_Historicos[[#This Row],[Filtro URL]],Estructura!$X$4:$Y$366,2,0)</f>
        <v>30200003</v>
      </c>
      <c r="X14" s="19" t="str">
        <f>+VLOOKUP(Ingresos_Historicos[[#This Row],[tema]],Estructura!$A$4:$C$18,3,0)</f>
        <v>T-301</v>
      </c>
      <c r="Y14" s="19" t="str">
        <f>+VLOOKUP(Ingresos_Historicos[[#This Row],[contenido]],Estructura!$E$4:$G$18,3,0)</f>
        <v>C-302</v>
      </c>
      <c r="Z14" s="19" t="str">
        <f>+VLOOKUP(Ingresos_Historicos[[#This Row],[Filtro Integrado]],Estructura!$M$4:$O$367,3,0)</f>
        <v>FI-301</v>
      </c>
      <c r="AA14" s="19" t="str">
        <f>+VLOOKUP(Ingresos_Historicos[[#This Row],[Muestra]],Estructura!$Q$4:$S$194,3,0)</f>
        <v>M-302</v>
      </c>
      <c r="AC14" s="52" t="s">
        <v>369</v>
      </c>
      <c r="AD14" s="63">
        <f t="shared" si="0"/>
        <v>14</v>
      </c>
      <c r="AE14" s="63">
        <f>COUNTIFS($T$11:$T$739,"100-R-3")</f>
        <v>11</v>
      </c>
      <c r="AF14" s="63">
        <f>COUNTIFS($T$11:$T$739,"100-C-3")</f>
        <v>18</v>
      </c>
      <c r="AG14" s="53">
        <f t="shared" ref="AG14:AG26" si="8">SUM(AD14:AF14)</f>
        <v>43</v>
      </c>
    </row>
    <row r="15" spans="1:33" ht="40.799999999999997" x14ac:dyDescent="0.3">
      <c r="A15" s="71" t="s">
        <v>401</v>
      </c>
      <c r="B15" s="12">
        <f t="shared" si="1"/>
        <v>300</v>
      </c>
      <c r="C15" s="13" t="str">
        <f t="shared" si="2"/>
        <v>Violencia contra la mujer</v>
      </c>
      <c r="D15" s="13" t="str">
        <f t="shared" si="3"/>
        <v>Mujeres</v>
      </c>
      <c r="E15" s="26">
        <v>4</v>
      </c>
      <c r="F15" s="13" t="s">
        <v>5846</v>
      </c>
      <c r="G15" s="13" t="s">
        <v>7570</v>
      </c>
      <c r="H15" s="29" t="s">
        <v>15</v>
      </c>
      <c r="I15" s="28" t="s">
        <v>370</v>
      </c>
      <c r="J15" s="12" t="str">
        <f t="shared" si="4"/>
        <v>Comuna</v>
      </c>
      <c r="K15" s="12" t="str">
        <f t="shared" si="5"/>
        <v>Cantidad de Centros de la Mujer Regional</v>
      </c>
      <c r="L15" s="75" t="str">
        <f t="shared" si="6"/>
        <v>Año 2021</v>
      </c>
      <c r="M15" s="12" t="str">
        <f t="shared" si="7"/>
        <v>Número de centros</v>
      </c>
      <c r="N15" s="33" t="s">
        <v>5841</v>
      </c>
      <c r="O15" s="14" t="str">
        <f>+"Cantidad de Centros de la Mujer por comuna en la "&amp;Ingresos_Historicos[[#This Row],[territorio]]</f>
        <v>Cantidad de Centros de la Mujer por comuna en la Región de Coquimbo</v>
      </c>
      <c r="P15" s="41" t="str">
        <f>"Gráfico que muestra la cantidad de Centros de la Mujer por comuna en la  "&amp;Ingresos_Historicos[[#This Row],[territorio]]&amp;", de acuerdo a los datos publicados por el "&amp;N14&amp;" para el "&amp;L14&amp;"."</f>
        <v>Gráfico que muestra la cantidad de Centros de la Mujer por comuna en la  Región de Coquimbo, de acuerdo a los datos publicados por el Servicio Nacional de la Mujer y la Equidad de Género para el Año 2021.</v>
      </c>
      <c r="Q15" s="14" t="s">
        <v>5842</v>
      </c>
      <c r="R15" s="14" t="s">
        <v>5869</v>
      </c>
      <c r="S15" s="15" t="str">
        <f>"https://analytics.zoho.com/open-view/2395394000008621922?ZOHO_CRITERIA=%2227.11%22.%22C%C3%B3digo_Regi%C3%B3n%22%20%3D%20"&amp;Ingresos_Historicos[[#This Row],[Filtro URL]]</f>
        <v>https://analytics.zoho.com/open-view/2395394000008621922?ZOHO_CRITERIA=%2227.11%22.%22C%C3%B3digo_Regi%C3%B3n%22%20%3D%204</v>
      </c>
      <c r="T15" s="65" t="s">
        <v>5910</v>
      </c>
      <c r="U15" s="24" t="s">
        <v>397</v>
      </c>
      <c r="V15" s="19" t="str">
        <f>+Ingresos_Historicos[[#This Row],[idcoleccion]]&amp;"-"&amp;Ingresos_Historicos[[#This Row],[id]]</f>
        <v>300-0005</v>
      </c>
      <c r="W15" s="19">
        <f>+VLOOKUP(Ingresos_Historicos[[#This Row],[Filtro URL]],Estructura!$X$4:$Y$366,2,0)</f>
        <v>30200004</v>
      </c>
      <c r="X15" s="19" t="str">
        <f>+VLOOKUP(Ingresos_Historicos[[#This Row],[tema]],Estructura!$A$4:$C$18,3,0)</f>
        <v>T-301</v>
      </c>
      <c r="Y15" s="19" t="str">
        <f>+VLOOKUP(Ingresos_Historicos[[#This Row],[contenido]],Estructura!$E$4:$G$18,3,0)</f>
        <v>C-302</v>
      </c>
      <c r="Z15" s="19" t="str">
        <f>+VLOOKUP(Ingresos_Historicos[[#This Row],[Filtro Integrado]],Estructura!$M$4:$O$367,3,0)</f>
        <v>FI-301</v>
      </c>
      <c r="AA15" s="19" t="str">
        <f>+VLOOKUP(Ingresos_Historicos[[#This Row],[Muestra]],Estructura!$Q$4:$S$194,3,0)</f>
        <v>M-302</v>
      </c>
      <c r="AC15" s="52" t="s">
        <v>370</v>
      </c>
      <c r="AD15" s="63">
        <f t="shared" si="0"/>
        <v>14</v>
      </c>
      <c r="AE15" s="63">
        <f>COUNTIFS($T$11:$T$739,"100-R-4")</f>
        <v>11</v>
      </c>
      <c r="AF15" s="63">
        <f>COUNTIFS($T$11:$T$739,"100-C-4")</f>
        <v>26</v>
      </c>
      <c r="AG15" s="53">
        <f t="shared" si="8"/>
        <v>51</v>
      </c>
    </row>
    <row r="16" spans="1:33" ht="40.799999999999997" x14ac:dyDescent="0.3">
      <c r="A16" s="71" t="s">
        <v>402</v>
      </c>
      <c r="B16" s="12">
        <f t="shared" si="1"/>
        <v>300</v>
      </c>
      <c r="C16" s="13" t="str">
        <f t="shared" si="2"/>
        <v>Violencia contra la mujer</v>
      </c>
      <c r="D16" s="13" t="str">
        <f t="shared" si="3"/>
        <v>Mujeres</v>
      </c>
      <c r="E16" s="26">
        <v>5</v>
      </c>
      <c r="F16" s="13" t="s">
        <v>5846</v>
      </c>
      <c r="G16" s="13" t="s">
        <v>7570</v>
      </c>
      <c r="H16" s="29" t="s">
        <v>15</v>
      </c>
      <c r="I16" s="28" t="s">
        <v>371</v>
      </c>
      <c r="J16" s="12" t="str">
        <f t="shared" si="4"/>
        <v>Comuna</v>
      </c>
      <c r="K16" s="12" t="str">
        <f t="shared" si="5"/>
        <v>Cantidad de Centros de la Mujer Regional</v>
      </c>
      <c r="L16" s="75" t="str">
        <f t="shared" si="6"/>
        <v>Año 2021</v>
      </c>
      <c r="M16" s="12" t="str">
        <f t="shared" si="7"/>
        <v>Número de centros</v>
      </c>
      <c r="N16" s="33" t="s">
        <v>5841</v>
      </c>
      <c r="O16" s="14" t="str">
        <f>+"Cantidad de Centros de la Mujer por comuna en la "&amp;Ingresos_Historicos[[#This Row],[territorio]]</f>
        <v>Cantidad de Centros de la Mujer por comuna en la Región de Valparaíso</v>
      </c>
      <c r="P16" s="41" t="str">
        <f>"Gráfico que muestra la cantidad de Centros de la Mujer por comuna en la  "&amp;Ingresos_Historicos[[#This Row],[territorio]]&amp;", de acuerdo a los datos publicados por el "&amp;N15&amp;" para el "&amp;L15&amp;"."</f>
        <v>Gráfico que muestra la cantidad de Centros de la Mujer por comuna en la  Región de Valparaíso, de acuerdo a los datos publicados por el Servicio Nacional de la Mujer y la Equidad de Género para el Año 2021.</v>
      </c>
      <c r="Q16" s="14" t="s">
        <v>5842</v>
      </c>
      <c r="R16" s="14" t="s">
        <v>5870</v>
      </c>
      <c r="S16" s="15" t="str">
        <f>"https://analytics.zoho.com/open-view/2395394000008621922?ZOHO_CRITERIA=%2227.11%22.%22C%C3%B3digo_Regi%C3%B3n%22%20%3D%20"&amp;Ingresos_Historicos[[#This Row],[Filtro URL]]</f>
        <v>https://analytics.zoho.com/open-view/2395394000008621922?ZOHO_CRITERIA=%2227.11%22.%22C%C3%B3digo_Regi%C3%B3n%22%20%3D%205</v>
      </c>
      <c r="T16" s="65" t="s">
        <v>5911</v>
      </c>
      <c r="U16" s="24" t="s">
        <v>397</v>
      </c>
      <c r="V16" s="19" t="str">
        <f>+Ingresos_Historicos[[#This Row],[idcoleccion]]&amp;"-"&amp;Ingresos_Historicos[[#This Row],[id]]</f>
        <v>300-0006</v>
      </c>
      <c r="W16" s="19">
        <f>+VLOOKUP(Ingresos_Historicos[[#This Row],[Filtro URL]],Estructura!$X$4:$Y$366,2,0)</f>
        <v>30200005</v>
      </c>
      <c r="X16" s="19" t="str">
        <f>+VLOOKUP(Ingresos_Historicos[[#This Row],[tema]],Estructura!$A$4:$C$18,3,0)</f>
        <v>T-301</v>
      </c>
      <c r="Y16" s="19" t="str">
        <f>+VLOOKUP(Ingresos_Historicos[[#This Row],[contenido]],Estructura!$E$4:$G$18,3,0)</f>
        <v>C-302</v>
      </c>
      <c r="Z16" s="19" t="str">
        <f>+VLOOKUP(Ingresos_Historicos[[#This Row],[Filtro Integrado]],Estructura!$M$4:$O$367,3,0)</f>
        <v>FI-301</v>
      </c>
      <c r="AA16" s="19" t="str">
        <f>+VLOOKUP(Ingresos_Historicos[[#This Row],[Muestra]],Estructura!$Q$4:$S$194,3,0)</f>
        <v>M-302</v>
      </c>
      <c r="AC16" s="52" t="s">
        <v>371</v>
      </c>
      <c r="AD16" s="63">
        <f t="shared" si="0"/>
        <v>14</v>
      </c>
      <c r="AE16" s="63">
        <f>COUNTIFS($T$11:$T$739,"100-R-5")</f>
        <v>12</v>
      </c>
      <c r="AF16" s="63">
        <f>COUNTIFS($T$11:$T$739,"100-C-5")</f>
        <v>46</v>
      </c>
      <c r="AG16" s="53">
        <f t="shared" si="8"/>
        <v>72</v>
      </c>
    </row>
    <row r="17" spans="1:33" ht="40.799999999999997" x14ac:dyDescent="0.3">
      <c r="A17" s="71" t="s">
        <v>403</v>
      </c>
      <c r="B17" s="12">
        <f t="shared" si="1"/>
        <v>300</v>
      </c>
      <c r="C17" s="13" t="str">
        <f t="shared" si="2"/>
        <v>Violencia contra la mujer</v>
      </c>
      <c r="D17" s="13" t="str">
        <f t="shared" si="3"/>
        <v>Mujeres</v>
      </c>
      <c r="E17" s="26">
        <v>6</v>
      </c>
      <c r="F17" s="13" t="s">
        <v>5846</v>
      </c>
      <c r="G17" s="13" t="s">
        <v>7570</v>
      </c>
      <c r="H17" s="29" t="s">
        <v>15</v>
      </c>
      <c r="I17" s="28" t="s">
        <v>372</v>
      </c>
      <c r="J17" s="12" t="str">
        <f t="shared" si="4"/>
        <v>Comuna</v>
      </c>
      <c r="K17" s="12" t="str">
        <f t="shared" si="5"/>
        <v>Cantidad de Centros de la Mujer Regional</v>
      </c>
      <c r="L17" s="75" t="str">
        <f t="shared" si="6"/>
        <v>Año 2021</v>
      </c>
      <c r="M17" s="12" t="str">
        <f t="shared" si="7"/>
        <v>Número de centros</v>
      </c>
      <c r="N17" s="33" t="s">
        <v>5841</v>
      </c>
      <c r="O17" s="14" t="str">
        <f>+"Cantidad de Centros de la Mujer por comuna en la "&amp;Ingresos_Historicos[[#This Row],[territorio]]</f>
        <v>Cantidad de Centros de la Mujer por comuna en la Región de O'Higgins</v>
      </c>
      <c r="P17" s="41" t="str">
        <f>"Gráfico que muestra la cantidad de Centros de la Mujer por comuna en la  "&amp;Ingresos_Historicos[[#This Row],[territorio]]&amp;", de acuerdo a los datos publicados por el "&amp;N16&amp;" para el "&amp;L16&amp;"."</f>
        <v>Gráfico que muestra la cantidad de Centros de la Mujer por comuna en la  Región de O'Higgins, de acuerdo a los datos publicados por el Servicio Nacional de la Mujer y la Equidad de Género para el Año 2021.</v>
      </c>
      <c r="Q17" s="14" t="s">
        <v>5842</v>
      </c>
      <c r="R17" s="14" t="s">
        <v>5871</v>
      </c>
      <c r="S17" s="15" t="str">
        <f>"https://analytics.zoho.com/open-view/2395394000008621922?ZOHO_CRITERIA=%2227.11%22.%22C%C3%B3digo_Regi%C3%B3n%22%20%3D%20"&amp;Ingresos_Historicos[[#This Row],[Filtro URL]]</f>
        <v>https://analytics.zoho.com/open-view/2395394000008621922?ZOHO_CRITERIA=%2227.11%22.%22C%C3%B3digo_Regi%C3%B3n%22%20%3D%206</v>
      </c>
      <c r="T17" s="65" t="s">
        <v>5912</v>
      </c>
      <c r="U17" s="24" t="s">
        <v>397</v>
      </c>
      <c r="V17" s="19" t="str">
        <f>+Ingresos_Historicos[[#This Row],[idcoleccion]]&amp;"-"&amp;Ingresos_Historicos[[#This Row],[id]]</f>
        <v>300-0007</v>
      </c>
      <c r="W17" s="19">
        <f>+VLOOKUP(Ingresos_Historicos[[#This Row],[Filtro URL]],Estructura!$X$4:$Y$366,2,0)</f>
        <v>30200006</v>
      </c>
      <c r="X17" s="19" t="str">
        <f>+VLOOKUP(Ingresos_Historicos[[#This Row],[tema]],Estructura!$A$4:$C$18,3,0)</f>
        <v>T-301</v>
      </c>
      <c r="Y17" s="19" t="str">
        <f>+VLOOKUP(Ingresos_Historicos[[#This Row],[contenido]],Estructura!$E$4:$G$18,3,0)</f>
        <v>C-302</v>
      </c>
      <c r="Z17" s="19" t="str">
        <f>+VLOOKUP(Ingresos_Historicos[[#This Row],[Filtro Integrado]],Estructura!$M$4:$O$367,3,0)</f>
        <v>FI-301</v>
      </c>
      <c r="AA17" s="19" t="str">
        <f>+VLOOKUP(Ingresos_Historicos[[#This Row],[Muestra]],Estructura!$Q$4:$S$194,3,0)</f>
        <v>M-302</v>
      </c>
      <c r="AC17" s="52" t="s">
        <v>372</v>
      </c>
      <c r="AD17" s="63">
        <f t="shared" si="0"/>
        <v>14</v>
      </c>
      <c r="AE17" s="63">
        <f>COUNTIFS($T$11:$T$739,"100-R-6")</f>
        <v>11</v>
      </c>
      <c r="AF17" s="63">
        <f>COUNTIFS($T$11:$T$739,"100-C-6")</f>
        <v>30</v>
      </c>
      <c r="AG17" s="53">
        <f t="shared" si="8"/>
        <v>55</v>
      </c>
    </row>
    <row r="18" spans="1:33" ht="40.799999999999997" x14ac:dyDescent="0.3">
      <c r="A18" s="71" t="s">
        <v>404</v>
      </c>
      <c r="B18" s="12">
        <f t="shared" si="1"/>
        <v>300</v>
      </c>
      <c r="C18" s="13" t="str">
        <f t="shared" si="2"/>
        <v>Violencia contra la mujer</v>
      </c>
      <c r="D18" s="13" t="str">
        <f t="shared" si="3"/>
        <v>Mujeres</v>
      </c>
      <c r="E18" s="26">
        <v>7</v>
      </c>
      <c r="F18" s="13" t="s">
        <v>5846</v>
      </c>
      <c r="G18" s="13" t="s">
        <v>7570</v>
      </c>
      <c r="H18" s="29" t="s">
        <v>15</v>
      </c>
      <c r="I18" s="28" t="s">
        <v>373</v>
      </c>
      <c r="J18" s="12" t="str">
        <f t="shared" si="4"/>
        <v>Comuna</v>
      </c>
      <c r="K18" s="12" t="str">
        <f t="shared" si="5"/>
        <v>Cantidad de Centros de la Mujer Regional</v>
      </c>
      <c r="L18" s="75" t="str">
        <f t="shared" si="6"/>
        <v>Año 2021</v>
      </c>
      <c r="M18" s="12" t="str">
        <f t="shared" si="7"/>
        <v>Número de centros</v>
      </c>
      <c r="N18" s="33" t="s">
        <v>5841</v>
      </c>
      <c r="O18" s="14" t="str">
        <f>+"Cantidad de Centros de la Mujer por comuna en la "&amp;Ingresos_Historicos[[#This Row],[territorio]]</f>
        <v>Cantidad de Centros de la Mujer por comuna en la Región de Maule</v>
      </c>
      <c r="P18" s="41" t="str">
        <f>"Gráfico que muestra la cantidad de Centros de la Mujer por comuna en la  "&amp;Ingresos_Historicos[[#This Row],[territorio]]&amp;", de acuerdo a los datos publicados por el "&amp;N17&amp;" para el "&amp;L17&amp;"."</f>
        <v>Gráfico que muestra la cantidad de Centros de la Mujer por comuna en la  Región de Maule, de acuerdo a los datos publicados por el Servicio Nacional de la Mujer y la Equidad de Género para el Año 2021.</v>
      </c>
      <c r="Q18" s="14" t="s">
        <v>5842</v>
      </c>
      <c r="R18" s="14" t="s">
        <v>5872</v>
      </c>
      <c r="S18" s="15" t="str">
        <f>"https://analytics.zoho.com/open-view/2395394000008621922?ZOHO_CRITERIA=%2227.11%22.%22C%C3%B3digo_Regi%C3%B3n%22%20%3D%20"&amp;Ingresos_Historicos[[#This Row],[Filtro URL]]</f>
        <v>https://analytics.zoho.com/open-view/2395394000008621922?ZOHO_CRITERIA=%2227.11%22.%22C%C3%B3digo_Regi%C3%B3n%22%20%3D%207</v>
      </c>
      <c r="T18" s="65" t="s">
        <v>5913</v>
      </c>
      <c r="U18" s="24" t="s">
        <v>397</v>
      </c>
      <c r="V18" s="19" t="str">
        <f>+Ingresos_Historicos[[#This Row],[idcoleccion]]&amp;"-"&amp;Ingresos_Historicos[[#This Row],[id]]</f>
        <v>300-0008</v>
      </c>
      <c r="W18" s="19">
        <f>+VLOOKUP(Ingresos_Historicos[[#This Row],[Filtro URL]],Estructura!$X$4:$Y$366,2,0)</f>
        <v>30200007</v>
      </c>
      <c r="X18" s="19" t="str">
        <f>+VLOOKUP(Ingresos_Historicos[[#This Row],[tema]],Estructura!$A$4:$C$18,3,0)</f>
        <v>T-301</v>
      </c>
      <c r="Y18" s="19" t="str">
        <f>+VLOOKUP(Ingresos_Historicos[[#This Row],[contenido]],Estructura!$E$4:$G$18,3,0)</f>
        <v>C-302</v>
      </c>
      <c r="Z18" s="19" t="str">
        <f>+VLOOKUP(Ingresos_Historicos[[#This Row],[Filtro Integrado]],Estructura!$M$4:$O$367,3,0)</f>
        <v>FI-301</v>
      </c>
      <c r="AA18" s="19" t="str">
        <f>+VLOOKUP(Ingresos_Historicos[[#This Row],[Muestra]],Estructura!$Q$4:$S$194,3,0)</f>
        <v>M-302</v>
      </c>
      <c r="AC18" s="52" t="s">
        <v>373</v>
      </c>
      <c r="AD18" s="63">
        <f t="shared" si="0"/>
        <v>14</v>
      </c>
      <c r="AE18" s="63">
        <f>COUNTIFS($T$11:$T$739,"100-R-7")</f>
        <v>11</v>
      </c>
      <c r="AF18" s="63">
        <f>COUNTIFS($T$11:$T$739,"100-C-7")</f>
        <v>38</v>
      </c>
      <c r="AG18" s="53">
        <f t="shared" si="8"/>
        <v>63</v>
      </c>
    </row>
    <row r="19" spans="1:33" ht="40.799999999999997" x14ac:dyDescent="0.3">
      <c r="A19" s="71" t="s">
        <v>405</v>
      </c>
      <c r="B19" s="12">
        <f t="shared" si="1"/>
        <v>300</v>
      </c>
      <c r="C19" s="13" t="str">
        <f t="shared" si="2"/>
        <v>Violencia contra la mujer</v>
      </c>
      <c r="D19" s="13" t="str">
        <f t="shared" si="3"/>
        <v>Mujeres</v>
      </c>
      <c r="E19" s="26">
        <v>8</v>
      </c>
      <c r="F19" s="13" t="s">
        <v>5846</v>
      </c>
      <c r="G19" s="13" t="s">
        <v>7570</v>
      </c>
      <c r="H19" s="29" t="s">
        <v>15</v>
      </c>
      <c r="I19" s="28" t="s">
        <v>374</v>
      </c>
      <c r="J19" s="12" t="str">
        <f t="shared" si="4"/>
        <v>Comuna</v>
      </c>
      <c r="K19" s="12" t="str">
        <f t="shared" si="5"/>
        <v>Cantidad de Centros de la Mujer Regional</v>
      </c>
      <c r="L19" s="75" t="str">
        <f t="shared" si="6"/>
        <v>Año 2021</v>
      </c>
      <c r="M19" s="12" t="str">
        <f t="shared" si="7"/>
        <v>Número de centros</v>
      </c>
      <c r="N19" s="33" t="s">
        <v>5841</v>
      </c>
      <c r="O19" s="14" t="str">
        <f>+"Cantidad de Centros de la Mujer por comuna en la "&amp;Ingresos_Historicos[[#This Row],[territorio]]</f>
        <v>Cantidad de Centros de la Mujer por comuna en la Región del Biobío</v>
      </c>
      <c r="P19" s="41" t="str">
        <f>"Gráfico que muestra la cantidad de Centros de la Mujer por comuna en la  "&amp;Ingresos_Historicos[[#This Row],[territorio]]&amp;", de acuerdo a los datos publicados por el "&amp;N18&amp;" para el "&amp;L18&amp;"."</f>
        <v>Gráfico que muestra la cantidad de Centros de la Mujer por comuna en la  Región del Biobío, de acuerdo a los datos publicados por el Servicio Nacional de la Mujer y la Equidad de Género para el Año 2021.</v>
      </c>
      <c r="Q19" s="14" t="s">
        <v>5842</v>
      </c>
      <c r="R19" s="14" t="s">
        <v>5873</v>
      </c>
      <c r="S19" s="15" t="str">
        <f>"https://analytics.zoho.com/open-view/2395394000008621922?ZOHO_CRITERIA=%2227.11%22.%22C%C3%B3digo_Regi%C3%B3n%22%20%3D%20"&amp;Ingresos_Historicos[[#This Row],[Filtro URL]]</f>
        <v>https://analytics.zoho.com/open-view/2395394000008621922?ZOHO_CRITERIA=%2227.11%22.%22C%C3%B3digo_Regi%C3%B3n%22%20%3D%208</v>
      </c>
      <c r="T19" s="65" t="s">
        <v>5914</v>
      </c>
      <c r="U19" s="24" t="s">
        <v>397</v>
      </c>
      <c r="V19" s="19" t="str">
        <f>+Ingresos_Historicos[[#This Row],[idcoleccion]]&amp;"-"&amp;Ingresos_Historicos[[#This Row],[id]]</f>
        <v>300-0009</v>
      </c>
      <c r="W19" s="19">
        <f>+VLOOKUP(Ingresos_Historicos[[#This Row],[Filtro URL]],Estructura!$X$4:$Y$366,2,0)</f>
        <v>30200008</v>
      </c>
      <c r="X19" s="19" t="str">
        <f>+VLOOKUP(Ingresos_Historicos[[#This Row],[tema]],Estructura!$A$4:$C$18,3,0)</f>
        <v>T-301</v>
      </c>
      <c r="Y19" s="19" t="str">
        <f>+VLOOKUP(Ingresos_Historicos[[#This Row],[contenido]],Estructura!$E$4:$G$18,3,0)</f>
        <v>C-302</v>
      </c>
      <c r="Z19" s="19" t="str">
        <f>+VLOOKUP(Ingresos_Historicos[[#This Row],[Filtro Integrado]],Estructura!$M$4:$O$367,3,0)</f>
        <v>FI-301</v>
      </c>
      <c r="AA19" s="19" t="str">
        <f>+VLOOKUP(Ingresos_Historicos[[#This Row],[Muestra]],Estructura!$Q$4:$S$194,3,0)</f>
        <v>M-302</v>
      </c>
      <c r="AC19" s="52" t="s">
        <v>374</v>
      </c>
      <c r="AD19" s="63">
        <f t="shared" si="0"/>
        <v>14</v>
      </c>
      <c r="AE19" s="63">
        <f>COUNTIFS($T$11:$T$739,"100-R-8")</f>
        <v>12</v>
      </c>
      <c r="AF19" s="63">
        <f>COUNTIFS($T$11:$T$739,"100-C-8")</f>
        <v>38</v>
      </c>
      <c r="AG19" s="53">
        <f t="shared" si="8"/>
        <v>64</v>
      </c>
    </row>
    <row r="20" spans="1:33" ht="40.799999999999997" x14ac:dyDescent="0.3">
      <c r="A20" s="71" t="s">
        <v>406</v>
      </c>
      <c r="B20" s="12">
        <f t="shared" si="1"/>
        <v>300</v>
      </c>
      <c r="C20" s="13" t="str">
        <f t="shared" si="2"/>
        <v>Violencia contra la mujer</v>
      </c>
      <c r="D20" s="13" t="str">
        <f t="shared" si="3"/>
        <v>Mujeres</v>
      </c>
      <c r="E20" s="26">
        <v>9</v>
      </c>
      <c r="F20" s="13" t="s">
        <v>5846</v>
      </c>
      <c r="G20" s="13" t="s">
        <v>7570</v>
      </c>
      <c r="H20" s="29" t="s">
        <v>15</v>
      </c>
      <c r="I20" s="28" t="s">
        <v>375</v>
      </c>
      <c r="J20" s="12" t="str">
        <f t="shared" si="4"/>
        <v>Comuna</v>
      </c>
      <c r="K20" s="12" t="str">
        <f t="shared" si="5"/>
        <v>Cantidad de Centros de la Mujer Regional</v>
      </c>
      <c r="L20" s="75" t="str">
        <f t="shared" si="6"/>
        <v>Año 2021</v>
      </c>
      <c r="M20" s="12" t="str">
        <f t="shared" si="7"/>
        <v>Número de centros</v>
      </c>
      <c r="N20" s="33" t="s">
        <v>5841</v>
      </c>
      <c r="O20" s="14" t="str">
        <f>+"Cantidad de Centros de la Mujer por comuna en la "&amp;Ingresos_Historicos[[#This Row],[territorio]]</f>
        <v>Cantidad de Centros de la Mujer por comuna en la Región de La Araucanía</v>
      </c>
      <c r="P20" s="41" t="str">
        <f>"Gráfico que muestra la cantidad de Centros de la Mujer por comuna en la  "&amp;Ingresos_Historicos[[#This Row],[territorio]]&amp;", de acuerdo a los datos publicados por el "&amp;N19&amp;" para el "&amp;L19&amp;"."</f>
        <v>Gráfico que muestra la cantidad de Centros de la Mujer por comuna en la  Región de La Araucanía, de acuerdo a los datos publicados por el Servicio Nacional de la Mujer y la Equidad de Género para el Año 2021.</v>
      </c>
      <c r="Q20" s="14" t="s">
        <v>5842</v>
      </c>
      <c r="R20" s="14" t="s">
        <v>5874</v>
      </c>
      <c r="S20" s="15" t="str">
        <f>"https://analytics.zoho.com/open-view/2395394000008621922?ZOHO_CRITERIA=%2227.11%22.%22C%C3%B3digo_Regi%C3%B3n%22%20%3D%20"&amp;Ingresos_Historicos[[#This Row],[Filtro URL]]</f>
        <v>https://analytics.zoho.com/open-view/2395394000008621922?ZOHO_CRITERIA=%2227.11%22.%22C%C3%B3digo_Regi%C3%B3n%22%20%3D%209</v>
      </c>
      <c r="T20" s="65" t="s">
        <v>5915</v>
      </c>
      <c r="U20" s="24" t="s">
        <v>397</v>
      </c>
      <c r="V20" s="19" t="str">
        <f>+Ingresos_Historicos[[#This Row],[idcoleccion]]&amp;"-"&amp;Ingresos_Historicos[[#This Row],[id]]</f>
        <v>300-0010</v>
      </c>
      <c r="W20" s="19">
        <f>+VLOOKUP(Ingresos_Historicos[[#This Row],[Filtro URL]],Estructura!$X$4:$Y$366,2,0)</f>
        <v>30200009</v>
      </c>
      <c r="X20" s="19" t="str">
        <f>+VLOOKUP(Ingresos_Historicos[[#This Row],[tema]],Estructura!$A$4:$C$18,3,0)</f>
        <v>T-301</v>
      </c>
      <c r="Y20" s="19" t="str">
        <f>+VLOOKUP(Ingresos_Historicos[[#This Row],[contenido]],Estructura!$E$4:$G$18,3,0)</f>
        <v>C-302</v>
      </c>
      <c r="Z20" s="19" t="str">
        <f>+VLOOKUP(Ingresos_Historicos[[#This Row],[Filtro Integrado]],Estructura!$M$4:$O$367,3,0)</f>
        <v>FI-301</v>
      </c>
      <c r="AA20" s="19" t="str">
        <f>+VLOOKUP(Ingresos_Historicos[[#This Row],[Muestra]],Estructura!$Q$4:$S$194,3,0)</f>
        <v>M-302</v>
      </c>
      <c r="AC20" s="52" t="s">
        <v>375</v>
      </c>
      <c r="AD20" s="63">
        <f t="shared" si="0"/>
        <v>14</v>
      </c>
      <c r="AE20" s="63">
        <f>COUNTIFS($T$11:$T$739,"100-R-9")</f>
        <v>11</v>
      </c>
      <c r="AF20" s="63">
        <f>COUNTIFS($T$11:$T$739,"100-C-9")</f>
        <v>38</v>
      </c>
      <c r="AG20" s="53">
        <f t="shared" si="8"/>
        <v>63</v>
      </c>
    </row>
    <row r="21" spans="1:33" ht="40.799999999999997" x14ac:dyDescent="0.3">
      <c r="A21" s="71" t="s">
        <v>407</v>
      </c>
      <c r="B21" s="12">
        <f t="shared" si="1"/>
        <v>300</v>
      </c>
      <c r="C21" s="13" t="str">
        <f t="shared" si="2"/>
        <v>Violencia contra la mujer</v>
      </c>
      <c r="D21" s="13" t="str">
        <f t="shared" si="3"/>
        <v>Mujeres</v>
      </c>
      <c r="E21" s="26">
        <v>10</v>
      </c>
      <c r="F21" s="13" t="s">
        <v>5846</v>
      </c>
      <c r="G21" s="13" t="s">
        <v>7570</v>
      </c>
      <c r="H21" s="29" t="s">
        <v>15</v>
      </c>
      <c r="I21" s="28" t="s">
        <v>376</v>
      </c>
      <c r="J21" s="12" t="str">
        <f t="shared" si="4"/>
        <v>Comuna</v>
      </c>
      <c r="K21" s="12" t="str">
        <f t="shared" si="5"/>
        <v>Cantidad de Centros de la Mujer Regional</v>
      </c>
      <c r="L21" s="75" t="str">
        <f t="shared" si="6"/>
        <v>Año 2021</v>
      </c>
      <c r="M21" s="12" t="str">
        <f t="shared" si="7"/>
        <v>Número de centros</v>
      </c>
      <c r="N21" s="33" t="s">
        <v>5841</v>
      </c>
      <c r="O21" s="14" t="str">
        <f>+"Cantidad de Centros de la Mujer por comuna en la "&amp;Ingresos_Historicos[[#This Row],[territorio]]</f>
        <v>Cantidad de Centros de la Mujer por comuna en la Región de Los Lagos</v>
      </c>
      <c r="P21" s="41" t="str">
        <f>"Gráfico que muestra la cantidad de Centros de la Mujer por comuna en la  "&amp;Ingresos_Historicos[[#This Row],[territorio]]&amp;", de acuerdo a los datos publicados por el "&amp;N20&amp;" para el "&amp;L20&amp;"."</f>
        <v>Gráfico que muestra la cantidad de Centros de la Mujer por comuna en la  Región de Los Lagos, de acuerdo a los datos publicados por el Servicio Nacional de la Mujer y la Equidad de Género para el Año 2021.</v>
      </c>
      <c r="Q21" s="14" t="s">
        <v>5842</v>
      </c>
      <c r="R21" s="14" t="s">
        <v>5875</v>
      </c>
      <c r="S21" s="15" t="str">
        <f>"https://analytics.zoho.com/open-view/2395394000008621922?ZOHO_CRITERIA=%2227.11%22.%22C%C3%B3digo_Regi%C3%B3n%22%20%3D%20"&amp;Ingresos_Historicos[[#This Row],[Filtro URL]]</f>
        <v>https://analytics.zoho.com/open-view/2395394000008621922?ZOHO_CRITERIA=%2227.11%22.%22C%C3%B3digo_Regi%C3%B3n%22%20%3D%2010</v>
      </c>
      <c r="T21" s="65" t="s">
        <v>5916</v>
      </c>
      <c r="U21" s="24" t="s">
        <v>397</v>
      </c>
      <c r="V21" s="19" t="str">
        <f>+Ingresos_Historicos[[#This Row],[idcoleccion]]&amp;"-"&amp;Ingresos_Historicos[[#This Row],[id]]</f>
        <v>300-0011</v>
      </c>
      <c r="W21" s="19">
        <f>+VLOOKUP(Ingresos_Historicos[[#This Row],[Filtro URL]],Estructura!$X$4:$Y$366,2,0)</f>
        <v>30200010</v>
      </c>
      <c r="X21" s="19" t="str">
        <f>+VLOOKUP(Ingresos_Historicos[[#This Row],[tema]],Estructura!$A$4:$C$18,3,0)</f>
        <v>T-301</v>
      </c>
      <c r="Y21" s="19" t="str">
        <f>+VLOOKUP(Ingresos_Historicos[[#This Row],[contenido]],Estructura!$E$4:$G$18,3,0)</f>
        <v>C-302</v>
      </c>
      <c r="Z21" s="19" t="str">
        <f>+VLOOKUP(Ingresos_Historicos[[#This Row],[Filtro Integrado]],Estructura!$M$4:$O$367,3,0)</f>
        <v>FI-301</v>
      </c>
      <c r="AA21" s="19" t="str">
        <f>+VLOOKUP(Ingresos_Historicos[[#This Row],[Muestra]],Estructura!$Q$4:$S$194,3,0)</f>
        <v>M-302</v>
      </c>
      <c r="AC21" s="52" t="s">
        <v>376</v>
      </c>
      <c r="AD21" s="63">
        <f t="shared" si="0"/>
        <v>14</v>
      </c>
      <c r="AE21" s="63">
        <f>COUNTIFS($T$11:$T$739,"100-R-10")</f>
        <v>11</v>
      </c>
      <c r="AF21" s="63">
        <f>COUNTIFS($T$11:$T$739,"100-C-10")</f>
        <v>30</v>
      </c>
      <c r="AG21" s="53">
        <f t="shared" si="8"/>
        <v>55</v>
      </c>
    </row>
    <row r="22" spans="1:33" ht="40.799999999999997" x14ac:dyDescent="0.3">
      <c r="A22" s="71" t="s">
        <v>408</v>
      </c>
      <c r="B22" s="12">
        <f t="shared" si="1"/>
        <v>300</v>
      </c>
      <c r="C22" s="13" t="str">
        <f t="shared" si="2"/>
        <v>Violencia contra la mujer</v>
      </c>
      <c r="D22" s="13" t="str">
        <f t="shared" si="3"/>
        <v>Mujeres</v>
      </c>
      <c r="E22" s="26">
        <v>11</v>
      </c>
      <c r="F22" s="13" t="s">
        <v>5846</v>
      </c>
      <c r="G22" s="13" t="s">
        <v>7570</v>
      </c>
      <c r="H22" s="29" t="s">
        <v>15</v>
      </c>
      <c r="I22" s="28" t="s">
        <v>377</v>
      </c>
      <c r="J22" s="12" t="str">
        <f t="shared" si="4"/>
        <v>Comuna</v>
      </c>
      <c r="K22" s="12" t="str">
        <f t="shared" si="5"/>
        <v>Cantidad de Centros de la Mujer Regional</v>
      </c>
      <c r="L22" s="75" t="str">
        <f t="shared" si="6"/>
        <v>Año 2021</v>
      </c>
      <c r="M22" s="12" t="str">
        <f t="shared" si="7"/>
        <v>Número de centros</v>
      </c>
      <c r="N22" s="33" t="s">
        <v>5841</v>
      </c>
      <c r="O22" s="14" t="str">
        <f>+"Cantidad de Centros de la Mujer por comuna en la "&amp;Ingresos_Historicos[[#This Row],[territorio]]</f>
        <v>Cantidad de Centros de la Mujer por comuna en la Región de Aysén</v>
      </c>
      <c r="P22" s="41" t="str">
        <f>"Gráfico que muestra la cantidad de Centros de la Mujer por comuna en la  "&amp;Ingresos_Historicos[[#This Row],[territorio]]&amp;", de acuerdo a los datos publicados por el "&amp;N21&amp;" para el "&amp;L21&amp;"."</f>
        <v>Gráfico que muestra la cantidad de Centros de la Mujer por comuna en la  Región de Aysén, de acuerdo a los datos publicados por el Servicio Nacional de la Mujer y la Equidad de Género para el Año 2021.</v>
      </c>
      <c r="Q22" s="14" t="s">
        <v>5842</v>
      </c>
      <c r="R22" s="14" t="s">
        <v>5876</v>
      </c>
      <c r="S22" s="15" t="str">
        <f>"https://analytics.zoho.com/open-view/2395394000008621922?ZOHO_CRITERIA=%2227.11%22.%22C%C3%B3digo_Regi%C3%B3n%22%20%3D%20"&amp;Ingresos_Historicos[[#This Row],[Filtro URL]]</f>
        <v>https://analytics.zoho.com/open-view/2395394000008621922?ZOHO_CRITERIA=%2227.11%22.%22C%C3%B3digo_Regi%C3%B3n%22%20%3D%2011</v>
      </c>
      <c r="T22" s="65" t="s">
        <v>5917</v>
      </c>
      <c r="U22" s="24" t="s">
        <v>397</v>
      </c>
      <c r="V22" s="19" t="str">
        <f>+Ingresos_Historicos[[#This Row],[idcoleccion]]&amp;"-"&amp;Ingresos_Historicos[[#This Row],[id]]</f>
        <v>300-0012</v>
      </c>
      <c r="W22" s="19">
        <f>+VLOOKUP(Ingresos_Historicos[[#This Row],[Filtro URL]],Estructura!$X$4:$Y$366,2,0)</f>
        <v>30200011</v>
      </c>
      <c r="X22" s="19" t="str">
        <f>+VLOOKUP(Ingresos_Historicos[[#This Row],[tema]],Estructura!$A$4:$C$18,3,0)</f>
        <v>T-301</v>
      </c>
      <c r="Y22" s="19" t="str">
        <f>+VLOOKUP(Ingresos_Historicos[[#This Row],[contenido]],Estructura!$E$4:$G$18,3,0)</f>
        <v>C-302</v>
      </c>
      <c r="Z22" s="19" t="str">
        <f>+VLOOKUP(Ingresos_Historicos[[#This Row],[Filtro Integrado]],Estructura!$M$4:$O$367,3,0)</f>
        <v>FI-301</v>
      </c>
      <c r="AA22" s="19" t="str">
        <f>+VLOOKUP(Ingresos_Historicos[[#This Row],[Muestra]],Estructura!$Q$4:$S$194,3,0)</f>
        <v>M-302</v>
      </c>
      <c r="AC22" s="52" t="s">
        <v>377</v>
      </c>
      <c r="AD22" s="63">
        <f t="shared" si="0"/>
        <v>14</v>
      </c>
      <c r="AE22" s="63">
        <f>COUNTIFS($T$11:$T$739,"100-R-11")</f>
        <v>11</v>
      </c>
      <c r="AF22" s="63">
        <f>COUNTIFS($T$11:$T$739,"100-C-11")</f>
        <v>10</v>
      </c>
      <c r="AG22" s="53">
        <f t="shared" si="8"/>
        <v>35</v>
      </c>
    </row>
    <row r="23" spans="1:33" ht="40.799999999999997" x14ac:dyDescent="0.3">
      <c r="A23" s="71" t="s">
        <v>409</v>
      </c>
      <c r="B23" s="12">
        <f t="shared" si="1"/>
        <v>300</v>
      </c>
      <c r="C23" s="13" t="str">
        <f t="shared" si="2"/>
        <v>Violencia contra la mujer</v>
      </c>
      <c r="D23" s="13" t="str">
        <f t="shared" si="3"/>
        <v>Mujeres</v>
      </c>
      <c r="E23" s="26">
        <v>12</v>
      </c>
      <c r="F23" s="13" t="s">
        <v>5846</v>
      </c>
      <c r="G23" s="13" t="s">
        <v>7570</v>
      </c>
      <c r="H23" s="29" t="s">
        <v>15</v>
      </c>
      <c r="I23" s="28" t="s">
        <v>378</v>
      </c>
      <c r="J23" s="12" t="str">
        <f t="shared" si="4"/>
        <v>Comuna</v>
      </c>
      <c r="K23" s="12" t="str">
        <f t="shared" si="5"/>
        <v>Cantidad de Centros de la Mujer Regional</v>
      </c>
      <c r="L23" s="75" t="str">
        <f t="shared" si="6"/>
        <v>Año 2021</v>
      </c>
      <c r="M23" s="12" t="str">
        <f t="shared" si="7"/>
        <v>Número de centros</v>
      </c>
      <c r="N23" s="33" t="s">
        <v>5841</v>
      </c>
      <c r="O23" s="14" t="str">
        <f>+"Cantidad de Centros de la Mujer por comuna en la "&amp;Ingresos_Historicos[[#This Row],[territorio]]</f>
        <v>Cantidad de Centros de la Mujer por comuna en la Región de Magallanes</v>
      </c>
      <c r="P23" s="41" t="str">
        <f>"Gráfico que muestra la cantidad de Centros de la Mujer por comuna en la  "&amp;Ingresos_Historicos[[#This Row],[territorio]]&amp;", de acuerdo a los datos publicados por el "&amp;N22&amp;" para el "&amp;L22&amp;"."</f>
        <v>Gráfico que muestra la cantidad de Centros de la Mujer por comuna en la  Región de Magallanes, de acuerdo a los datos publicados por el Servicio Nacional de la Mujer y la Equidad de Género para el Año 2021.</v>
      </c>
      <c r="Q23" s="14" t="s">
        <v>5842</v>
      </c>
      <c r="R23" s="14" t="s">
        <v>5877</v>
      </c>
      <c r="S23" s="15" t="str">
        <f>"https://analytics.zoho.com/open-view/2395394000008621922?ZOHO_CRITERIA=%2227.11%22.%22C%C3%B3digo_Regi%C3%B3n%22%20%3D%20"&amp;Ingresos_Historicos[[#This Row],[Filtro URL]]</f>
        <v>https://analytics.zoho.com/open-view/2395394000008621922?ZOHO_CRITERIA=%2227.11%22.%22C%C3%B3digo_Regi%C3%B3n%22%20%3D%2012</v>
      </c>
      <c r="T23" s="65" t="s">
        <v>5918</v>
      </c>
      <c r="U23" s="24" t="s">
        <v>397</v>
      </c>
      <c r="V23" s="19" t="str">
        <f>+Ingresos_Historicos[[#This Row],[idcoleccion]]&amp;"-"&amp;Ingresos_Historicos[[#This Row],[id]]</f>
        <v>300-0013</v>
      </c>
      <c r="W23" s="19">
        <f>+VLOOKUP(Ingresos_Historicos[[#This Row],[Filtro URL]],Estructura!$X$4:$Y$366,2,0)</f>
        <v>30200012</v>
      </c>
      <c r="X23" s="19" t="str">
        <f>+VLOOKUP(Ingresos_Historicos[[#This Row],[tema]],Estructura!$A$4:$C$18,3,0)</f>
        <v>T-301</v>
      </c>
      <c r="Y23" s="19" t="str">
        <f>+VLOOKUP(Ingresos_Historicos[[#This Row],[contenido]],Estructura!$E$4:$G$18,3,0)</f>
        <v>C-302</v>
      </c>
      <c r="Z23" s="19" t="str">
        <f>+VLOOKUP(Ingresos_Historicos[[#This Row],[Filtro Integrado]],Estructura!$M$4:$O$367,3,0)</f>
        <v>FI-301</v>
      </c>
      <c r="AA23" s="19" t="str">
        <f>+VLOOKUP(Ingresos_Historicos[[#This Row],[Muestra]],Estructura!$Q$4:$S$194,3,0)</f>
        <v>M-302</v>
      </c>
      <c r="AC23" s="52" t="s">
        <v>378</v>
      </c>
      <c r="AD23" s="63">
        <f t="shared" si="0"/>
        <v>14</v>
      </c>
      <c r="AE23" s="63">
        <f>COUNTIFS($T$11:$T$739,"100-R-12")</f>
        <v>11</v>
      </c>
      <c r="AF23" s="63">
        <f>COUNTIFS($T$11:$T$739,"100-C-12")</f>
        <v>10</v>
      </c>
      <c r="AG23" s="53">
        <f t="shared" si="8"/>
        <v>35</v>
      </c>
    </row>
    <row r="24" spans="1:33" ht="57.6" x14ac:dyDescent="0.3">
      <c r="A24" s="71" t="s">
        <v>410</v>
      </c>
      <c r="B24" s="12">
        <f t="shared" si="1"/>
        <v>300</v>
      </c>
      <c r="C24" s="13" t="str">
        <f t="shared" si="2"/>
        <v>Violencia contra la mujer</v>
      </c>
      <c r="D24" s="13" t="str">
        <f t="shared" si="3"/>
        <v>Mujeres</v>
      </c>
      <c r="E24" s="26">
        <v>13</v>
      </c>
      <c r="F24" s="13" t="s">
        <v>5846</v>
      </c>
      <c r="G24" s="13" t="s">
        <v>7570</v>
      </c>
      <c r="H24" s="29" t="s">
        <v>15</v>
      </c>
      <c r="I24" s="28" t="s">
        <v>379</v>
      </c>
      <c r="J24" s="12" t="str">
        <f t="shared" si="4"/>
        <v>Comuna</v>
      </c>
      <c r="K24" s="12" t="str">
        <f t="shared" si="5"/>
        <v>Cantidad de Centros de la Mujer Regional</v>
      </c>
      <c r="L24" s="75" t="str">
        <f t="shared" si="6"/>
        <v>Año 2021</v>
      </c>
      <c r="M24" s="12" t="str">
        <f t="shared" si="7"/>
        <v>Número de centros</v>
      </c>
      <c r="N24" s="33" t="s">
        <v>5841</v>
      </c>
      <c r="O24" s="14" t="str">
        <f>+"Cantidad de Centros de la Mujer por comuna en la "&amp;Ingresos_Historicos[[#This Row],[territorio]]</f>
        <v>Cantidad de Centros de la Mujer por comuna en la Región Metropolitana</v>
      </c>
      <c r="P24" s="41" t="str">
        <f>"Gráfico que muestra la cantidad de Centros de la Mujer por comuna en la  "&amp;Ingresos_Historicos[[#This Row],[territorio]]&amp;", de acuerdo a los datos publicados por el "&amp;N23&amp;" para el "&amp;L23&amp;"."</f>
        <v>Gráfico que muestra la cantidad de Centros de la Mujer por comuna en la  Región Metropolitana, de acuerdo a los datos publicados por el Servicio Nacional de la Mujer y la Equidad de Género para el Año 2021.</v>
      </c>
      <c r="Q24" s="14" t="s">
        <v>5842</v>
      </c>
      <c r="R24" s="14" t="s">
        <v>5878</v>
      </c>
      <c r="S24" s="25" t="str">
        <f>HYPERLINK("https://analytics.zoho.com/open-view/2395394000008621922?ZOHO_CRITERIA=%2227.11%22.%22C%C3%B3digo_Regi%C3%B3n%22%20%3D%20"&amp;Ingresos_Historicos[[#This Row],[Filtro URL]])</f>
        <v>https://analytics.zoho.com/open-view/2395394000008621922?ZOHO_CRITERIA=%2227.11%22.%22C%C3%B3digo_Regi%C3%B3n%22%20%3D%2013</v>
      </c>
      <c r="T24" s="65" t="s">
        <v>5919</v>
      </c>
      <c r="U24" s="24" t="s">
        <v>397</v>
      </c>
      <c r="V24" s="19" t="str">
        <f>+Ingresos_Historicos[[#This Row],[idcoleccion]]&amp;"-"&amp;Ingresos_Historicos[[#This Row],[id]]</f>
        <v>300-0014</v>
      </c>
      <c r="W24" s="19">
        <f>+VLOOKUP(Ingresos_Historicos[[#This Row],[Filtro URL]],Estructura!$X$4:$Y$366,2,0)</f>
        <v>30200013</v>
      </c>
      <c r="X24" s="19" t="str">
        <f>+VLOOKUP(Ingresos_Historicos[[#This Row],[tema]],Estructura!$A$4:$C$18,3,0)</f>
        <v>T-301</v>
      </c>
      <c r="Y24" s="19" t="str">
        <f>+VLOOKUP(Ingresos_Historicos[[#This Row],[contenido]],Estructura!$E$4:$G$18,3,0)</f>
        <v>C-302</v>
      </c>
      <c r="Z24" s="19" t="str">
        <f>+VLOOKUP(Ingresos_Historicos[[#This Row],[Filtro Integrado]],Estructura!$M$4:$O$367,3,0)</f>
        <v>FI-301</v>
      </c>
      <c r="AA24" s="19" t="str">
        <f>+VLOOKUP(Ingresos_Historicos[[#This Row],[Muestra]],Estructura!$Q$4:$S$194,3,0)</f>
        <v>M-302</v>
      </c>
      <c r="AC24" s="52" t="s">
        <v>380</v>
      </c>
      <c r="AD24" s="63">
        <f t="shared" si="0"/>
        <v>14</v>
      </c>
      <c r="AE24" s="63">
        <f>COUNTIFS($T$11:$T$739,"100-R-14")</f>
        <v>11</v>
      </c>
      <c r="AF24" s="63">
        <f>COUNTIFS($T$11:$T$739,"100-C-14")</f>
        <v>18</v>
      </c>
      <c r="AG24" s="53">
        <f t="shared" si="8"/>
        <v>43</v>
      </c>
    </row>
    <row r="25" spans="1:33" ht="40.799999999999997" x14ac:dyDescent="0.3">
      <c r="A25" s="71" t="s">
        <v>411</v>
      </c>
      <c r="B25" s="12">
        <f t="shared" si="1"/>
        <v>300</v>
      </c>
      <c r="C25" s="13" t="str">
        <f t="shared" si="2"/>
        <v>Violencia contra la mujer</v>
      </c>
      <c r="D25" s="13" t="str">
        <f t="shared" si="3"/>
        <v>Mujeres</v>
      </c>
      <c r="E25" s="26">
        <v>14</v>
      </c>
      <c r="F25" s="13" t="s">
        <v>5846</v>
      </c>
      <c r="G25" s="13" t="s">
        <v>7570</v>
      </c>
      <c r="H25" s="29" t="s">
        <v>15</v>
      </c>
      <c r="I25" s="28" t="s">
        <v>380</v>
      </c>
      <c r="J25" s="12" t="str">
        <f t="shared" si="4"/>
        <v>Comuna</v>
      </c>
      <c r="K25" s="12" t="str">
        <f t="shared" si="5"/>
        <v>Cantidad de Centros de la Mujer Regional</v>
      </c>
      <c r="L25" s="75" t="str">
        <f t="shared" si="6"/>
        <v>Año 2021</v>
      </c>
      <c r="M25" s="12" t="str">
        <f t="shared" si="7"/>
        <v>Número de centros</v>
      </c>
      <c r="N25" s="33" t="s">
        <v>5841</v>
      </c>
      <c r="O25" s="14" t="str">
        <f>+"Cantidad de Centros de la Mujer por comuna en la "&amp;Ingresos_Historicos[[#This Row],[territorio]]</f>
        <v>Cantidad de Centros de la Mujer por comuna en la Región de Los Ríos</v>
      </c>
      <c r="P25" s="41" t="str">
        <f>"Gráfico que muestra la cantidad de Centros de la Mujer por comuna en la  "&amp;Ingresos_Historicos[[#This Row],[territorio]]&amp;", de acuerdo a los datos publicados por el "&amp;N24&amp;" para el "&amp;L24&amp;"."</f>
        <v>Gráfico que muestra la cantidad de Centros de la Mujer por comuna en la  Región de Los Ríos, de acuerdo a los datos publicados por el Servicio Nacional de la Mujer y la Equidad de Género para el Año 2021.</v>
      </c>
      <c r="Q25" s="14" t="s">
        <v>5842</v>
      </c>
      <c r="R25" s="14" t="s">
        <v>5879</v>
      </c>
      <c r="S25" s="15" t="str">
        <f>"https://analytics.zoho.com/open-view/2395394000008621922?ZOHO_CRITERIA=%2227.11%22.%22C%C3%B3digo_Regi%C3%B3n%22%20%3D%20"&amp;Ingresos_Historicos[[#This Row],[Filtro URL]]</f>
        <v>https://analytics.zoho.com/open-view/2395394000008621922?ZOHO_CRITERIA=%2227.11%22.%22C%C3%B3digo_Regi%C3%B3n%22%20%3D%2014</v>
      </c>
      <c r="T25" s="65" t="s">
        <v>5920</v>
      </c>
      <c r="U25" s="24" t="s">
        <v>397</v>
      </c>
      <c r="V25" s="19" t="str">
        <f>+Ingresos_Historicos[[#This Row],[idcoleccion]]&amp;"-"&amp;Ingresos_Historicos[[#This Row],[id]]</f>
        <v>300-0015</v>
      </c>
      <c r="W25" s="19">
        <f>+VLOOKUP(Ingresos_Historicos[[#This Row],[Filtro URL]],Estructura!$X$4:$Y$366,2,0)</f>
        <v>30200014</v>
      </c>
      <c r="X25" s="19" t="str">
        <f>+VLOOKUP(Ingresos_Historicos[[#This Row],[tema]],Estructura!$A$4:$C$18,3,0)</f>
        <v>T-301</v>
      </c>
      <c r="Y25" s="19" t="str">
        <f>+VLOOKUP(Ingresos_Historicos[[#This Row],[contenido]],Estructura!$E$4:$G$18,3,0)</f>
        <v>C-302</v>
      </c>
      <c r="Z25" s="19" t="str">
        <f>+VLOOKUP(Ingresos_Historicos[[#This Row],[Filtro Integrado]],Estructura!$M$4:$O$367,3,0)</f>
        <v>FI-301</v>
      </c>
      <c r="AA25" s="19" t="str">
        <f>+VLOOKUP(Ingresos_Historicos[[#This Row],[Muestra]],Estructura!$Q$4:$S$194,3,0)</f>
        <v>M-302</v>
      </c>
      <c r="AC25" s="52" t="s">
        <v>381</v>
      </c>
      <c r="AD25" s="63">
        <f t="shared" si="0"/>
        <v>14</v>
      </c>
      <c r="AE25" s="63">
        <f>COUNTIFS($T$11:$T$739,"100-R-15")</f>
        <v>11</v>
      </c>
      <c r="AF25" s="63">
        <f>COUNTIFS($T$11:$T$739,"100-C-15")</f>
        <v>10</v>
      </c>
      <c r="AG25" s="53">
        <f t="shared" si="8"/>
        <v>35</v>
      </c>
    </row>
    <row r="26" spans="1:33" ht="40.799999999999997" x14ac:dyDescent="0.3">
      <c r="A26" s="71" t="s">
        <v>412</v>
      </c>
      <c r="B26" s="12">
        <f t="shared" si="1"/>
        <v>300</v>
      </c>
      <c r="C26" s="13" t="str">
        <f t="shared" si="2"/>
        <v>Violencia contra la mujer</v>
      </c>
      <c r="D26" s="13" t="str">
        <f t="shared" si="3"/>
        <v>Mujeres</v>
      </c>
      <c r="E26" s="26">
        <v>15</v>
      </c>
      <c r="F26" s="13" t="s">
        <v>5846</v>
      </c>
      <c r="G26" s="13" t="s">
        <v>7570</v>
      </c>
      <c r="H26" s="29" t="s">
        <v>15</v>
      </c>
      <c r="I26" s="28" t="s">
        <v>381</v>
      </c>
      <c r="J26" s="12" t="str">
        <f t="shared" si="4"/>
        <v>Comuna</v>
      </c>
      <c r="K26" s="12" t="str">
        <f t="shared" si="5"/>
        <v>Cantidad de Centros de la Mujer Regional</v>
      </c>
      <c r="L26" s="75" t="str">
        <f t="shared" si="6"/>
        <v>Año 2021</v>
      </c>
      <c r="M26" s="12" t="str">
        <f t="shared" si="7"/>
        <v>Número de centros</v>
      </c>
      <c r="N26" s="33" t="s">
        <v>5841</v>
      </c>
      <c r="O26" s="14" t="str">
        <f>+"Cantidad de Centros de la Mujer por comuna en la "&amp;Ingresos_Historicos[[#This Row],[territorio]]</f>
        <v>Cantidad de Centros de la Mujer por comuna en la Región de Arica y Parinacota</v>
      </c>
      <c r="P26" s="41" t="str">
        <f>"Gráfico que muestra la cantidad de Centros de la Mujer por comuna en la  "&amp;Ingresos_Historicos[[#This Row],[territorio]]&amp;", de acuerdo a los datos publicados por el "&amp;N25&amp;" para el "&amp;L25&amp;"."</f>
        <v>Gráfico que muestra la cantidad de Centros de la Mujer por comuna en la  Región de Arica y Parinacota, de acuerdo a los datos publicados por el Servicio Nacional de la Mujer y la Equidad de Género para el Año 2021.</v>
      </c>
      <c r="Q26" s="14" t="s">
        <v>5842</v>
      </c>
      <c r="R26" s="14" t="s">
        <v>5881</v>
      </c>
      <c r="S26" s="15" t="str">
        <f>"https://analytics.zoho.com/open-view/2395394000008621922?ZOHO_CRITERIA=%2227.11%22.%22C%C3%B3digo_Regi%C3%B3n%22%20%3D%20"&amp;Ingresos_Historicos[[#This Row],[Filtro URL]]</f>
        <v>https://analytics.zoho.com/open-view/2395394000008621922?ZOHO_CRITERIA=%2227.11%22.%22C%C3%B3digo_Regi%C3%B3n%22%20%3D%2015</v>
      </c>
      <c r="T26" s="65" t="s">
        <v>5921</v>
      </c>
      <c r="U26" s="24" t="s">
        <v>397</v>
      </c>
      <c r="V26" s="19" t="str">
        <f>+Ingresos_Historicos[[#This Row],[idcoleccion]]&amp;"-"&amp;Ingresos_Historicos[[#This Row],[id]]</f>
        <v>300-0016</v>
      </c>
      <c r="W26" s="19">
        <f>+VLOOKUP(Ingresos_Historicos[[#This Row],[Filtro URL]],Estructura!$X$4:$Y$366,2,0)</f>
        <v>30200015</v>
      </c>
      <c r="X26" s="19" t="str">
        <f>+VLOOKUP(Ingresos_Historicos[[#This Row],[tema]],Estructura!$A$4:$C$18,3,0)</f>
        <v>T-301</v>
      </c>
      <c r="Y26" s="19" t="str">
        <f>+VLOOKUP(Ingresos_Historicos[[#This Row],[contenido]],Estructura!$E$4:$G$18,3,0)</f>
        <v>C-302</v>
      </c>
      <c r="Z26" s="19" t="str">
        <f>+VLOOKUP(Ingresos_Historicos[[#This Row],[Filtro Integrado]],Estructura!$M$4:$O$367,3,0)</f>
        <v>FI-301</v>
      </c>
      <c r="AA26" s="19" t="str">
        <f>+VLOOKUP(Ingresos_Historicos[[#This Row],[Muestra]],Estructura!$Q$4:$S$194,3,0)</f>
        <v>M-302</v>
      </c>
      <c r="AC26" s="52" t="s">
        <v>382</v>
      </c>
      <c r="AD26" s="63">
        <f t="shared" si="0"/>
        <v>14</v>
      </c>
      <c r="AE26" s="63">
        <f>COUNTIFS($T$11:$T$739,"100-R-16")</f>
        <v>11</v>
      </c>
      <c r="AF26" s="63">
        <f>COUNTIFS($T$11:$T$739,"100-C-16")</f>
        <v>18</v>
      </c>
      <c r="AG26" s="53">
        <f t="shared" si="8"/>
        <v>43</v>
      </c>
    </row>
    <row r="27" spans="1:33" ht="40.799999999999997" x14ac:dyDescent="0.3">
      <c r="A27" s="71" t="s">
        <v>413</v>
      </c>
      <c r="B27" s="12">
        <f t="shared" si="1"/>
        <v>300</v>
      </c>
      <c r="C27" s="13" t="str">
        <f t="shared" si="2"/>
        <v>Violencia contra la mujer</v>
      </c>
      <c r="D27" s="13" t="str">
        <f t="shared" si="3"/>
        <v>Mujeres</v>
      </c>
      <c r="E27" s="26">
        <v>16</v>
      </c>
      <c r="F27" s="13" t="s">
        <v>5846</v>
      </c>
      <c r="G27" s="13" t="s">
        <v>7570</v>
      </c>
      <c r="H27" s="29" t="s">
        <v>15</v>
      </c>
      <c r="I27" s="28" t="s">
        <v>382</v>
      </c>
      <c r="J27" s="12" t="str">
        <f t="shared" si="4"/>
        <v>Comuna</v>
      </c>
      <c r="K27" s="12" t="str">
        <f t="shared" si="5"/>
        <v>Cantidad de Centros de la Mujer Regional</v>
      </c>
      <c r="L27" s="75" t="str">
        <f t="shared" si="6"/>
        <v>Año 2021</v>
      </c>
      <c r="M27" s="12" t="str">
        <f t="shared" si="7"/>
        <v>Número de centros</v>
      </c>
      <c r="N27" s="33" t="s">
        <v>5841</v>
      </c>
      <c r="O27" s="14" t="str">
        <f>+"Cantidad de Centros de la Mujer por comuna en la "&amp;Ingresos_Historicos[[#This Row],[territorio]]</f>
        <v>Cantidad de Centros de la Mujer por comuna en la Región de Ñuble</v>
      </c>
      <c r="P27" s="41" t="str">
        <f>"Gráfico que muestra la cantidad de Centros de la Mujer por comuna en la  "&amp;Ingresos_Historicos[[#This Row],[territorio]]&amp;", de acuerdo a los datos publicados por el "&amp;N26&amp;" para el "&amp;L26&amp;"."</f>
        <v>Gráfico que muestra la cantidad de Centros de la Mujer por comuna en la  Región de Ñuble, de acuerdo a los datos publicados por el Servicio Nacional de la Mujer y la Equidad de Género para el Año 2021.</v>
      </c>
      <c r="Q27" s="14" t="s">
        <v>5842</v>
      </c>
      <c r="R27" s="14" t="s">
        <v>5880</v>
      </c>
      <c r="S27" s="15" t="str">
        <f>"https://analytics.zoho.com/open-view/2395394000008621922?ZOHO_CRITERIA=%2227.11%22.%22C%C3%B3digo_Regi%C3%B3n%22%20%3D%20"&amp;Ingresos_Historicos[[#This Row],[Filtro URL]]</f>
        <v>https://analytics.zoho.com/open-view/2395394000008621922?ZOHO_CRITERIA=%2227.11%22.%22C%C3%B3digo_Regi%C3%B3n%22%20%3D%2016</v>
      </c>
      <c r="T27" s="65" t="s">
        <v>5958</v>
      </c>
      <c r="U27" s="24" t="s">
        <v>397</v>
      </c>
      <c r="V27" s="19" t="str">
        <f>+Ingresos_Historicos[[#This Row],[idcoleccion]]&amp;"-"&amp;Ingresos_Historicos[[#This Row],[id]]</f>
        <v>300-0017</v>
      </c>
      <c r="W27" s="19">
        <f>+VLOOKUP(Ingresos_Historicos[[#This Row],[Filtro URL]],Estructura!$X$4:$Y$366,2,0)</f>
        <v>30200016</v>
      </c>
      <c r="X27" s="19" t="str">
        <f>+VLOOKUP(Ingresos_Historicos[[#This Row],[tema]],Estructura!$A$4:$C$18,3,0)</f>
        <v>T-301</v>
      </c>
      <c r="Y27" s="19" t="str">
        <f>+VLOOKUP(Ingresos_Historicos[[#This Row],[contenido]],Estructura!$E$4:$G$18,3,0)</f>
        <v>C-302</v>
      </c>
      <c r="Z27" s="19" t="str">
        <f>+VLOOKUP(Ingresos_Historicos[[#This Row],[Filtro Integrado]],Estructura!$M$4:$O$367,3,0)</f>
        <v>FI-301</v>
      </c>
      <c r="AA27" s="19" t="str">
        <f>+VLOOKUP(Ingresos_Historicos[[#This Row],[Muestra]],Estructura!$Q$4:$S$194,3,0)</f>
        <v>M-302</v>
      </c>
      <c r="AC27" s="54" t="s">
        <v>5946</v>
      </c>
      <c r="AD27" s="49" t="s">
        <v>5942</v>
      </c>
      <c r="AE27" s="49" t="s">
        <v>5943</v>
      </c>
      <c r="AF27" s="49" t="s">
        <v>5944</v>
      </c>
      <c r="AG27" s="49" t="s">
        <v>5945</v>
      </c>
    </row>
    <row r="28" spans="1:33" ht="40.799999999999997" x14ac:dyDescent="0.3">
      <c r="A28" s="32" t="s">
        <v>414</v>
      </c>
      <c r="B28" s="12">
        <f t="shared" si="1"/>
        <v>300</v>
      </c>
      <c r="C28" s="13" t="str">
        <f t="shared" si="2"/>
        <v>Violencia contra la mujer</v>
      </c>
      <c r="D28" s="13" t="str">
        <f t="shared" si="3"/>
        <v>Mujeres</v>
      </c>
      <c r="E28" s="26">
        <v>1</v>
      </c>
      <c r="F28" s="13" t="s">
        <v>5846</v>
      </c>
      <c r="G28" s="13" t="s">
        <v>7570</v>
      </c>
      <c r="H28" s="29" t="s">
        <v>15</v>
      </c>
      <c r="I28" s="28" t="s">
        <v>367</v>
      </c>
      <c r="J28" s="12" t="s">
        <v>398</v>
      </c>
      <c r="K28" s="12" t="str">
        <f t="shared" si="5"/>
        <v>Cantidad de Centros de la Mujer Regional</v>
      </c>
      <c r="L28" s="75" t="str">
        <f t="shared" si="6"/>
        <v>Año 2021</v>
      </c>
      <c r="M28" s="12" t="str">
        <f t="shared" si="7"/>
        <v>Número de centros</v>
      </c>
      <c r="N28" s="33" t="s">
        <v>5841</v>
      </c>
      <c r="O28" s="14" t="str">
        <f>+"Cantidad de Centros de la Mujer por tipo de atención en la "&amp;Ingresos_Historicos[[#This Row],[territorio]]</f>
        <v>Cantidad de Centros de la Mujer por tipo de atención en la Región de Tarapacá</v>
      </c>
      <c r="P28" s="41" t="str">
        <f>"Gráfico que muestra la cantidad de Centros de la Mujer por tipo de atención en la  "&amp;Ingresos_Historicos[[#This Row],[territorio]]&amp;", de acuerdo a los datos publicados por el "&amp;N27&amp;" para el "&amp;L27&amp;"."</f>
        <v>Gráfico que muestra la cantidad de Centros de la Mujer por tipo de atención en la  Región de Tarapacá, de acuerdo a los datos publicados por el Servicio Nacional de la Mujer y la Equidad de Género para el Año 2021.</v>
      </c>
      <c r="Q28" s="14" t="str">
        <f t="shared" ref="Q28:Q58" si="9">+Q27</f>
        <v>Gráfico</v>
      </c>
      <c r="R28" s="14" t="s">
        <v>5882</v>
      </c>
      <c r="S28" s="15" t="str">
        <f>"https://analytics.zoho.com/open-view/2395394000008621848?ZOHO_CRITERIA=%2227.11%22.%22C%C3%B3digo_Regi%C3%B3n%22%20%3D%20"&amp;Ingresos_Historicos[[#This Row],[Filtro URL]]</f>
        <v>https://analytics.zoho.com/open-view/2395394000008621848?ZOHO_CRITERIA=%2227.11%22.%22C%C3%B3digo_Regi%C3%B3n%22%20%3D%201</v>
      </c>
      <c r="T28" s="65" t="s">
        <v>5922</v>
      </c>
      <c r="U28" s="24" t="s">
        <v>397</v>
      </c>
      <c r="V28" s="19" t="str">
        <f>+Ingresos_Historicos[[#This Row],[idcoleccion]]&amp;"-"&amp;Ingresos_Historicos[[#This Row],[id]]</f>
        <v>300-0018</v>
      </c>
      <c r="W28" s="19">
        <f>+VLOOKUP(Ingresos_Historicos[[#This Row],[Filtro URL]],Estructura!$X$4:$Y$366,2,0)</f>
        <v>30200001</v>
      </c>
      <c r="X28" s="19" t="str">
        <f>+VLOOKUP(Ingresos_Historicos[[#This Row],[tema]],Estructura!$A$4:$C$18,3,0)</f>
        <v>T-301</v>
      </c>
      <c r="Y28" s="19" t="str">
        <f>+VLOOKUP(Ingresos_Historicos[[#This Row],[contenido]],Estructura!$E$4:$G$18,3,0)</f>
        <v>C-302</v>
      </c>
      <c r="Z28" s="19" t="str">
        <f>+VLOOKUP(Ingresos_Historicos[[#This Row],[Filtro Integrado]],Estructura!$M$4:$O$367,3,0)</f>
        <v>FI-303</v>
      </c>
      <c r="AA28" s="19" t="str">
        <f>+VLOOKUP(Ingresos_Historicos[[#This Row],[Muestra]],Estructura!$Q$4:$S$194,3,0)</f>
        <v>M-302</v>
      </c>
      <c r="AC28" s="52" t="s">
        <v>379</v>
      </c>
      <c r="AD28" s="63">
        <f>COUNTIFS($T$11:$T$739,"0")</f>
        <v>14</v>
      </c>
      <c r="AE28" s="63">
        <f>COUNTIFS($T$11:$T$739,"200-R-13")</f>
        <v>12</v>
      </c>
      <c r="AF28" s="63">
        <f>COUNTIFS($T$11:$T$739,"200-C-13")</f>
        <v>66</v>
      </c>
      <c r="AG28" s="53">
        <f>SUM(AD28:AF28)</f>
        <v>92</v>
      </c>
    </row>
    <row r="29" spans="1:33" ht="40.799999999999997" x14ac:dyDescent="0.3">
      <c r="A29" s="71" t="s">
        <v>415</v>
      </c>
      <c r="B29" s="12">
        <f t="shared" si="1"/>
        <v>300</v>
      </c>
      <c r="C29" s="13" t="str">
        <f t="shared" si="2"/>
        <v>Violencia contra la mujer</v>
      </c>
      <c r="D29" s="13" t="str">
        <f t="shared" si="3"/>
        <v>Mujeres</v>
      </c>
      <c r="E29" s="26">
        <v>2</v>
      </c>
      <c r="F29" s="13" t="s">
        <v>5846</v>
      </c>
      <c r="G29" s="13" t="s">
        <v>7570</v>
      </c>
      <c r="H29" s="29" t="s">
        <v>15</v>
      </c>
      <c r="I29" s="28" t="s">
        <v>368</v>
      </c>
      <c r="J29" s="12" t="str">
        <f t="shared" si="4"/>
        <v>Ninguno</v>
      </c>
      <c r="K29" s="12" t="str">
        <f t="shared" si="5"/>
        <v>Cantidad de Centros de la Mujer Regional</v>
      </c>
      <c r="L29" s="75" t="str">
        <f t="shared" si="6"/>
        <v>Año 2021</v>
      </c>
      <c r="M29" s="12" t="str">
        <f t="shared" si="7"/>
        <v>Número de centros</v>
      </c>
      <c r="N29" s="33" t="s">
        <v>5841</v>
      </c>
      <c r="O29" s="14" t="str">
        <f>+"Cantidad de Centros de la Mujer por tipo de atención en la "&amp;Ingresos_Historicos[[#This Row],[territorio]]</f>
        <v>Cantidad de Centros de la Mujer por tipo de atención en la Región de Antofagasta</v>
      </c>
      <c r="P29" s="41" t="str">
        <f>"Gráfico que muestra la cantidad de Centros de la Mujer por tipo de atención en la  "&amp;Ingresos_Historicos[[#This Row],[territorio]]&amp;", de acuerdo a los datos publicados por el "&amp;N28&amp;" para el "&amp;L28&amp;"."</f>
        <v>Gráfico que muestra la cantidad de Centros de la Mujer por tipo de atención en la  Región de Antofagasta, de acuerdo a los datos publicados por el Servicio Nacional de la Mujer y la Equidad de Género para el Año 2021.</v>
      </c>
      <c r="Q29" s="14" t="str">
        <f t="shared" si="9"/>
        <v>Gráfico</v>
      </c>
      <c r="R29" s="34" t="s">
        <v>5883</v>
      </c>
      <c r="S29" s="15" t="str">
        <f>"https://analytics.zoho.com/open-view/2395394000008621848?ZOHO_CRITERIA=%2227.11%22.%22C%C3%B3digo_Regi%C3%B3n%22%20%3D%20"&amp;Ingresos_Historicos[[#This Row],[Filtro URL]]</f>
        <v>https://analytics.zoho.com/open-view/2395394000008621848?ZOHO_CRITERIA=%2227.11%22.%22C%C3%B3digo_Regi%C3%B3n%22%20%3D%202</v>
      </c>
      <c r="T29" s="66" t="s">
        <v>5923</v>
      </c>
      <c r="U29" s="24" t="s">
        <v>397</v>
      </c>
      <c r="V29" s="19" t="str">
        <f>+Ingresos_Historicos[[#This Row],[idcoleccion]]&amp;"-"&amp;Ingresos_Historicos[[#This Row],[id]]</f>
        <v>300-0019</v>
      </c>
      <c r="W29" s="19">
        <f>+VLOOKUP(Ingresos_Historicos[[#This Row],[Filtro URL]],Estructura!$X$4:$Y$366,2,0)</f>
        <v>30200002</v>
      </c>
      <c r="X29" s="19" t="str">
        <f>+VLOOKUP(Ingresos_Historicos[[#This Row],[tema]],Estructura!$A$4:$C$18,3,0)</f>
        <v>T-301</v>
      </c>
      <c r="Y29" s="19" t="str">
        <f>+VLOOKUP(Ingresos_Historicos[[#This Row],[contenido]],Estructura!$E$4:$G$18,3,0)</f>
        <v>C-302</v>
      </c>
      <c r="Z29" s="19" t="str">
        <f>+VLOOKUP(Ingresos_Historicos[[#This Row],[Filtro Integrado]],Estructura!$M$4:$O$367,3,0)</f>
        <v>FI-303</v>
      </c>
      <c r="AA29" s="19" t="str">
        <f>+VLOOKUP(Ingresos_Historicos[[#This Row],[Muestra]],Estructura!$Q$4:$S$194,3,0)</f>
        <v>M-302</v>
      </c>
      <c r="AC29" s="54" t="s">
        <v>5947</v>
      </c>
      <c r="AD29" s="49" t="s">
        <v>5942</v>
      </c>
      <c r="AE29" s="49" t="s">
        <v>5943</v>
      </c>
      <c r="AF29" s="49" t="s">
        <v>5944</v>
      </c>
      <c r="AG29" s="49" t="s">
        <v>5945</v>
      </c>
    </row>
    <row r="30" spans="1:33" ht="40.799999999999997" x14ac:dyDescent="0.3">
      <c r="A30" s="71" t="s">
        <v>416</v>
      </c>
      <c r="B30" s="12">
        <f t="shared" si="1"/>
        <v>300</v>
      </c>
      <c r="C30" s="13" t="str">
        <f t="shared" si="2"/>
        <v>Violencia contra la mujer</v>
      </c>
      <c r="D30" s="13" t="str">
        <f t="shared" si="3"/>
        <v>Mujeres</v>
      </c>
      <c r="E30" s="26">
        <v>3</v>
      </c>
      <c r="F30" s="13" t="s">
        <v>5846</v>
      </c>
      <c r="G30" s="13" t="s">
        <v>7570</v>
      </c>
      <c r="H30" s="29" t="s">
        <v>15</v>
      </c>
      <c r="I30" s="28" t="s">
        <v>369</v>
      </c>
      <c r="J30" s="12" t="str">
        <f t="shared" si="4"/>
        <v>Ninguno</v>
      </c>
      <c r="K30" s="12" t="str">
        <f t="shared" si="5"/>
        <v>Cantidad de Centros de la Mujer Regional</v>
      </c>
      <c r="L30" s="75" t="str">
        <f t="shared" si="6"/>
        <v>Año 2021</v>
      </c>
      <c r="M30" s="12" t="str">
        <f t="shared" si="7"/>
        <v>Número de centros</v>
      </c>
      <c r="N30" s="33" t="s">
        <v>5841</v>
      </c>
      <c r="O30" s="14" t="str">
        <f>+"Cantidad de Centros de la Mujer por tipo de atención en la "&amp;Ingresos_Historicos[[#This Row],[territorio]]</f>
        <v>Cantidad de Centros de la Mujer por tipo de atención en la Región de Atacama</v>
      </c>
      <c r="P30" s="41" t="str">
        <f>"Gráfico que muestra la cantidad de Centros de la Mujer por tipo de atención en la  "&amp;Ingresos_Historicos[[#This Row],[territorio]]&amp;", de acuerdo a los datos publicados por el "&amp;N29&amp;" para el "&amp;L29&amp;"."</f>
        <v>Gráfico que muestra la cantidad de Centros de la Mujer por tipo de atención en la  Región de Atacama, de acuerdo a los datos publicados por el Servicio Nacional de la Mujer y la Equidad de Género para el Año 2021.</v>
      </c>
      <c r="Q30" s="14" t="str">
        <f t="shared" si="9"/>
        <v>Gráfico</v>
      </c>
      <c r="R30" s="27" t="s">
        <v>5884</v>
      </c>
      <c r="S30" s="15" t="str">
        <f>"https://analytics.zoho.com/open-view/2395394000008621848?ZOHO_CRITERIA=%2227.11%22.%22C%C3%B3digo_Regi%C3%B3n%22%20%3D%20"&amp;Ingresos_Historicos[[#This Row],[Filtro URL]]</f>
        <v>https://analytics.zoho.com/open-view/2395394000008621848?ZOHO_CRITERIA=%2227.11%22.%22C%C3%B3digo_Regi%C3%B3n%22%20%3D%203</v>
      </c>
      <c r="T30" s="65" t="s">
        <v>5925</v>
      </c>
      <c r="U30" s="24" t="s">
        <v>397</v>
      </c>
      <c r="V30" s="19" t="str">
        <f>+Ingresos_Historicos[[#This Row],[idcoleccion]]&amp;"-"&amp;Ingresos_Historicos[[#This Row],[id]]</f>
        <v>300-0020</v>
      </c>
      <c r="W30" s="19">
        <f>+VLOOKUP(Ingresos_Historicos[[#This Row],[Filtro URL]],Estructura!$X$4:$Y$366,2,0)</f>
        <v>30200003</v>
      </c>
      <c r="X30" s="19" t="str">
        <f>+VLOOKUP(Ingresos_Historicos[[#This Row],[tema]],Estructura!$A$4:$C$18,3,0)</f>
        <v>T-301</v>
      </c>
      <c r="Y30" s="19" t="str">
        <f>+VLOOKUP(Ingresos_Historicos[[#This Row],[contenido]],Estructura!$E$4:$G$18,3,0)</f>
        <v>C-302</v>
      </c>
      <c r="Z30" s="19" t="str">
        <f>+VLOOKUP(Ingresos_Historicos[[#This Row],[Filtro Integrado]],Estructura!$M$4:$O$367,3,0)</f>
        <v>FI-303</v>
      </c>
      <c r="AA30" s="19" t="str">
        <f>+VLOOKUP(Ingresos_Historicos[[#This Row],[Muestra]],Estructura!$Q$4:$S$194,3,0)</f>
        <v>M-302</v>
      </c>
      <c r="AC30" s="52" t="s">
        <v>14</v>
      </c>
      <c r="AD30" s="63">
        <f>COUNTIFS($T$11:$T$739,"0")</f>
        <v>14</v>
      </c>
      <c r="AE30" s="63">
        <f>COUNTIFS($T$11:$T$739,"300-R")</f>
        <v>63</v>
      </c>
      <c r="AF30" s="63">
        <f>COUNTIFS($T$11:$T$739,"300-C")</f>
        <v>49</v>
      </c>
      <c r="AG30" s="53">
        <f>SUM(AD30:AF30)</f>
        <v>126</v>
      </c>
    </row>
    <row r="31" spans="1:33" ht="40.799999999999997" x14ac:dyDescent="0.3">
      <c r="A31" s="71" t="s">
        <v>417</v>
      </c>
      <c r="B31" s="12">
        <f t="shared" si="1"/>
        <v>300</v>
      </c>
      <c r="C31" s="13" t="str">
        <f t="shared" si="2"/>
        <v>Violencia contra la mujer</v>
      </c>
      <c r="D31" s="13" t="str">
        <f t="shared" si="3"/>
        <v>Mujeres</v>
      </c>
      <c r="E31" s="26">
        <v>4</v>
      </c>
      <c r="F31" s="13" t="s">
        <v>5846</v>
      </c>
      <c r="G31" s="13" t="s">
        <v>7570</v>
      </c>
      <c r="H31" s="29" t="s">
        <v>15</v>
      </c>
      <c r="I31" s="28" t="s">
        <v>370</v>
      </c>
      <c r="J31" s="12" t="str">
        <f t="shared" si="4"/>
        <v>Ninguno</v>
      </c>
      <c r="K31" s="12" t="str">
        <f t="shared" si="5"/>
        <v>Cantidad de Centros de la Mujer Regional</v>
      </c>
      <c r="L31" s="75" t="str">
        <f t="shared" si="6"/>
        <v>Año 2021</v>
      </c>
      <c r="M31" s="12" t="str">
        <f t="shared" si="7"/>
        <v>Número de centros</v>
      </c>
      <c r="N31" s="33" t="s">
        <v>5841</v>
      </c>
      <c r="O31" s="14" t="str">
        <f>+"Cantidad de Centros de la Mujer por tipo de atención en la "&amp;Ingresos_Historicos[[#This Row],[territorio]]</f>
        <v>Cantidad de Centros de la Mujer por tipo de atención en la Región de Coquimbo</v>
      </c>
      <c r="P31" s="41" t="str">
        <f>"Gráfico que muestra la cantidad de Centros de la Mujer por tipo de atención en la  "&amp;Ingresos_Historicos[[#This Row],[territorio]]&amp;", de acuerdo a los datos publicados por el "&amp;N30&amp;" para el "&amp;L30&amp;"."</f>
        <v>Gráfico que muestra la cantidad de Centros de la Mujer por tipo de atención en la  Región de Coquimbo, de acuerdo a los datos publicados por el Servicio Nacional de la Mujer y la Equidad de Género para el Año 2021.</v>
      </c>
      <c r="Q31" s="14" t="str">
        <f t="shared" si="9"/>
        <v>Gráfico</v>
      </c>
      <c r="R31" s="27" t="s">
        <v>5885</v>
      </c>
      <c r="S31" s="15" t="str">
        <f>"https://analytics.zoho.com/open-view/2395394000008621848?ZOHO_CRITERIA=%2227.11%22.%22C%C3%B3digo_Regi%C3%B3n%22%20%3D%20"&amp;Ingresos_Historicos[[#This Row],[Filtro URL]]</f>
        <v>https://analytics.zoho.com/open-view/2395394000008621848?ZOHO_CRITERIA=%2227.11%22.%22C%C3%B3digo_Regi%C3%B3n%22%20%3D%204</v>
      </c>
      <c r="T31" s="66" t="s">
        <v>5926</v>
      </c>
      <c r="U31" s="24" t="s">
        <v>397</v>
      </c>
      <c r="V31" s="19" t="str">
        <f>+Ingresos_Historicos[[#This Row],[idcoleccion]]&amp;"-"&amp;Ingresos_Historicos[[#This Row],[id]]</f>
        <v>300-0021</v>
      </c>
      <c r="W31" s="19">
        <f>+VLOOKUP(Ingresos_Historicos[[#This Row],[Filtro URL]],Estructura!$X$4:$Y$366,2,0)</f>
        <v>30200004</v>
      </c>
      <c r="X31" s="19" t="str">
        <f>+VLOOKUP(Ingresos_Historicos[[#This Row],[tema]],Estructura!$A$4:$C$18,3,0)</f>
        <v>T-301</v>
      </c>
      <c r="Y31" s="19" t="str">
        <f>+VLOOKUP(Ingresos_Historicos[[#This Row],[contenido]],Estructura!$E$4:$G$18,3,0)</f>
        <v>C-302</v>
      </c>
      <c r="Z31" s="19" t="str">
        <f>+VLOOKUP(Ingresos_Historicos[[#This Row],[Filtro Integrado]],Estructura!$M$4:$O$367,3,0)</f>
        <v>FI-303</v>
      </c>
      <c r="AA31" s="19" t="str">
        <f>+VLOOKUP(Ingresos_Historicos[[#This Row],[Muestra]],Estructura!$Q$4:$S$194,3,0)</f>
        <v>M-302</v>
      </c>
    </row>
    <row r="32" spans="1:33" ht="40.799999999999997" x14ac:dyDescent="0.3">
      <c r="A32" s="71" t="s">
        <v>418</v>
      </c>
      <c r="B32" s="12">
        <f t="shared" si="1"/>
        <v>300</v>
      </c>
      <c r="C32" s="13" t="str">
        <f t="shared" si="2"/>
        <v>Violencia contra la mujer</v>
      </c>
      <c r="D32" s="13" t="str">
        <f t="shared" si="3"/>
        <v>Mujeres</v>
      </c>
      <c r="E32" s="26">
        <v>5</v>
      </c>
      <c r="F32" s="13" t="s">
        <v>5846</v>
      </c>
      <c r="G32" s="13" t="s">
        <v>7570</v>
      </c>
      <c r="H32" s="29" t="s">
        <v>15</v>
      </c>
      <c r="I32" s="28" t="s">
        <v>371</v>
      </c>
      <c r="J32" s="12" t="str">
        <f t="shared" si="4"/>
        <v>Ninguno</v>
      </c>
      <c r="K32" s="12" t="str">
        <f t="shared" si="5"/>
        <v>Cantidad de Centros de la Mujer Regional</v>
      </c>
      <c r="L32" s="75" t="str">
        <f t="shared" si="6"/>
        <v>Año 2021</v>
      </c>
      <c r="M32" s="12" t="str">
        <f t="shared" si="7"/>
        <v>Número de centros</v>
      </c>
      <c r="N32" s="33" t="s">
        <v>5841</v>
      </c>
      <c r="O32" s="14" t="str">
        <f>+"Cantidad de Centros de la Mujer por tipo de atención en la "&amp;Ingresos_Historicos[[#This Row],[territorio]]</f>
        <v>Cantidad de Centros de la Mujer por tipo de atención en la Región de Valparaíso</v>
      </c>
      <c r="P32" s="41" t="str">
        <f>"Gráfico que muestra la cantidad de Centros de la Mujer por tipo de atención en la  "&amp;Ingresos_Historicos[[#This Row],[territorio]]&amp;", de acuerdo a los datos publicados por el "&amp;N31&amp;" para el "&amp;L31&amp;"."</f>
        <v>Gráfico que muestra la cantidad de Centros de la Mujer por tipo de atención en la  Región de Valparaíso, de acuerdo a los datos publicados por el Servicio Nacional de la Mujer y la Equidad de Género para el Año 2021.</v>
      </c>
      <c r="Q32" s="14" t="str">
        <f t="shared" si="9"/>
        <v>Gráfico</v>
      </c>
      <c r="R32" s="27" t="s">
        <v>5886</v>
      </c>
      <c r="S32" s="15" t="str">
        <f>"https://analytics.zoho.com/open-view/2395394000008621848?ZOHO_CRITERIA=%2227.11%22.%22C%C3%B3digo_Regi%C3%B3n%22%20%3D%20"&amp;Ingresos_Historicos[[#This Row],[Filtro URL]]</f>
        <v>https://analytics.zoho.com/open-view/2395394000008621848?ZOHO_CRITERIA=%2227.11%22.%22C%C3%B3digo_Regi%C3%B3n%22%20%3D%205</v>
      </c>
      <c r="T32" s="65" t="s">
        <v>5927</v>
      </c>
      <c r="U32" s="24" t="s">
        <v>397</v>
      </c>
      <c r="V32" s="19" t="str">
        <f>+Ingresos_Historicos[[#This Row],[idcoleccion]]&amp;"-"&amp;Ingresos_Historicos[[#This Row],[id]]</f>
        <v>300-0022</v>
      </c>
      <c r="W32" s="19">
        <f>+VLOOKUP(Ingresos_Historicos[[#This Row],[Filtro URL]],Estructura!$X$4:$Y$366,2,0)</f>
        <v>30200005</v>
      </c>
      <c r="X32" s="19" t="str">
        <f>+VLOOKUP(Ingresos_Historicos[[#This Row],[tema]],Estructura!$A$4:$C$18,3,0)</f>
        <v>T-301</v>
      </c>
      <c r="Y32" s="19" t="str">
        <f>+VLOOKUP(Ingresos_Historicos[[#This Row],[contenido]],Estructura!$E$4:$G$18,3,0)</f>
        <v>C-302</v>
      </c>
      <c r="Z32" s="19" t="str">
        <f>+VLOOKUP(Ingresos_Historicos[[#This Row],[Filtro Integrado]],Estructura!$M$4:$O$367,3,0)</f>
        <v>FI-303</v>
      </c>
      <c r="AA32" s="19" t="str">
        <f>+VLOOKUP(Ingresos_Historicos[[#This Row],[Muestra]],Estructura!$Q$4:$S$194,3,0)</f>
        <v>M-302</v>
      </c>
    </row>
    <row r="33" spans="1:27" ht="40.799999999999997" x14ac:dyDescent="0.3">
      <c r="A33" s="71" t="s">
        <v>419</v>
      </c>
      <c r="B33" s="12">
        <f t="shared" si="1"/>
        <v>300</v>
      </c>
      <c r="C33" s="13" t="str">
        <f t="shared" si="2"/>
        <v>Violencia contra la mujer</v>
      </c>
      <c r="D33" s="13" t="str">
        <f t="shared" si="3"/>
        <v>Mujeres</v>
      </c>
      <c r="E33" s="26">
        <v>6</v>
      </c>
      <c r="F33" s="13" t="s">
        <v>5846</v>
      </c>
      <c r="G33" s="13" t="s">
        <v>7570</v>
      </c>
      <c r="H33" s="29" t="s">
        <v>15</v>
      </c>
      <c r="I33" s="28" t="s">
        <v>372</v>
      </c>
      <c r="J33" s="12" t="str">
        <f t="shared" si="4"/>
        <v>Ninguno</v>
      </c>
      <c r="K33" s="12" t="str">
        <f t="shared" si="5"/>
        <v>Cantidad de Centros de la Mujer Regional</v>
      </c>
      <c r="L33" s="75" t="str">
        <f t="shared" si="6"/>
        <v>Año 2021</v>
      </c>
      <c r="M33" s="12" t="str">
        <f t="shared" si="7"/>
        <v>Número de centros</v>
      </c>
      <c r="N33" s="33" t="s">
        <v>5841</v>
      </c>
      <c r="O33" s="14" t="str">
        <f>+"Cantidad de Centros de la Mujer por tipo de atención en la "&amp;Ingresos_Historicos[[#This Row],[territorio]]</f>
        <v>Cantidad de Centros de la Mujer por tipo de atención en la Región de O'Higgins</v>
      </c>
      <c r="P33" s="41" t="str">
        <f>"Gráfico que muestra la cantidad de Centros de la Mujer por tipo de atención en la  "&amp;Ingresos_Historicos[[#This Row],[territorio]]&amp;", de acuerdo a los datos publicados por el "&amp;N32&amp;" para el "&amp;L32&amp;"."</f>
        <v>Gráfico que muestra la cantidad de Centros de la Mujer por tipo de atención en la  Región de O'Higgins, de acuerdo a los datos publicados por el Servicio Nacional de la Mujer y la Equidad de Género para el Año 2021.</v>
      </c>
      <c r="Q33" s="14" t="str">
        <f t="shared" si="9"/>
        <v>Gráfico</v>
      </c>
      <c r="R33" s="27" t="s">
        <v>5887</v>
      </c>
      <c r="S33" s="15" t="str">
        <f>"https://analytics.zoho.com/open-view/2395394000008621848?ZOHO_CRITERIA=%2227.11%22.%22C%C3%B3digo_Regi%C3%B3n%22%20%3D%20"&amp;Ingresos_Historicos[[#This Row],[Filtro URL]]</f>
        <v>https://analytics.zoho.com/open-view/2395394000008621848?ZOHO_CRITERIA=%2227.11%22.%22C%C3%B3digo_Regi%C3%B3n%22%20%3D%206</v>
      </c>
      <c r="T33" s="66" t="s">
        <v>5928</v>
      </c>
      <c r="U33" s="24" t="s">
        <v>397</v>
      </c>
      <c r="V33" s="19" t="str">
        <f>+Ingresos_Historicos[[#This Row],[idcoleccion]]&amp;"-"&amp;Ingresos_Historicos[[#This Row],[id]]</f>
        <v>300-0023</v>
      </c>
      <c r="W33" s="19">
        <f>+VLOOKUP(Ingresos_Historicos[[#This Row],[Filtro URL]],Estructura!$X$4:$Y$366,2,0)</f>
        <v>30200006</v>
      </c>
      <c r="X33" s="19" t="str">
        <f>+VLOOKUP(Ingresos_Historicos[[#This Row],[tema]],Estructura!$A$4:$C$18,3,0)</f>
        <v>T-301</v>
      </c>
      <c r="Y33" s="19" t="str">
        <f>+VLOOKUP(Ingresos_Historicos[[#This Row],[contenido]],Estructura!$E$4:$G$18,3,0)</f>
        <v>C-302</v>
      </c>
      <c r="Z33" s="19" t="str">
        <f>+VLOOKUP(Ingresos_Historicos[[#This Row],[Filtro Integrado]],Estructura!$M$4:$O$367,3,0)</f>
        <v>FI-303</v>
      </c>
      <c r="AA33" s="19" t="str">
        <f>+VLOOKUP(Ingresos_Historicos[[#This Row],[Muestra]],Estructura!$Q$4:$S$194,3,0)</f>
        <v>M-302</v>
      </c>
    </row>
    <row r="34" spans="1:27" ht="40.799999999999997" x14ac:dyDescent="0.3">
      <c r="A34" s="71" t="s">
        <v>420</v>
      </c>
      <c r="B34" s="12">
        <f t="shared" si="1"/>
        <v>300</v>
      </c>
      <c r="C34" s="13" t="str">
        <f t="shared" si="2"/>
        <v>Violencia contra la mujer</v>
      </c>
      <c r="D34" s="13" t="str">
        <f t="shared" si="3"/>
        <v>Mujeres</v>
      </c>
      <c r="E34" s="26">
        <v>7</v>
      </c>
      <c r="F34" s="13" t="s">
        <v>5846</v>
      </c>
      <c r="G34" s="13" t="s">
        <v>7570</v>
      </c>
      <c r="H34" s="29" t="s">
        <v>15</v>
      </c>
      <c r="I34" s="28" t="s">
        <v>373</v>
      </c>
      <c r="J34" s="12" t="str">
        <f t="shared" si="4"/>
        <v>Ninguno</v>
      </c>
      <c r="K34" s="12" t="str">
        <f t="shared" si="5"/>
        <v>Cantidad de Centros de la Mujer Regional</v>
      </c>
      <c r="L34" s="75" t="str">
        <f t="shared" si="6"/>
        <v>Año 2021</v>
      </c>
      <c r="M34" s="12" t="str">
        <f t="shared" si="7"/>
        <v>Número de centros</v>
      </c>
      <c r="N34" s="33" t="s">
        <v>5841</v>
      </c>
      <c r="O34" s="14" t="str">
        <f>+"Cantidad de Centros de la Mujer por tipo de atención en la "&amp;Ingresos_Historicos[[#This Row],[territorio]]</f>
        <v>Cantidad de Centros de la Mujer por tipo de atención en la Región de Maule</v>
      </c>
      <c r="P34" s="41" t="str">
        <f>"Gráfico que muestra la cantidad de Centros de la Mujer por tipo de atención en la  "&amp;Ingresos_Historicos[[#This Row],[territorio]]&amp;", de acuerdo a los datos publicados por el "&amp;N33&amp;" para el "&amp;L33&amp;"."</f>
        <v>Gráfico que muestra la cantidad de Centros de la Mujer por tipo de atención en la  Región de Maule, de acuerdo a los datos publicados por el Servicio Nacional de la Mujer y la Equidad de Género para el Año 2021.</v>
      </c>
      <c r="Q34" s="14" t="str">
        <f t="shared" si="9"/>
        <v>Gráfico</v>
      </c>
      <c r="R34" s="27" t="s">
        <v>5888</v>
      </c>
      <c r="S34" s="15" t="str">
        <f>"https://analytics.zoho.com/open-view/2395394000008621848?ZOHO_CRITERIA=%2227.11%22.%22C%C3%B3digo_Regi%C3%B3n%22%20%3D%20"&amp;Ingresos_Historicos[[#This Row],[Filtro URL]]</f>
        <v>https://analytics.zoho.com/open-view/2395394000008621848?ZOHO_CRITERIA=%2227.11%22.%22C%C3%B3digo_Regi%C3%B3n%22%20%3D%207</v>
      </c>
      <c r="T34" s="65" t="s">
        <v>5929</v>
      </c>
      <c r="U34" s="24" t="s">
        <v>397</v>
      </c>
      <c r="V34" s="19" t="str">
        <f>+Ingresos_Historicos[[#This Row],[idcoleccion]]&amp;"-"&amp;Ingresos_Historicos[[#This Row],[id]]</f>
        <v>300-0024</v>
      </c>
      <c r="W34" s="19">
        <f>+VLOOKUP(Ingresos_Historicos[[#This Row],[Filtro URL]],Estructura!$X$4:$Y$366,2,0)</f>
        <v>30200007</v>
      </c>
      <c r="X34" s="19" t="str">
        <f>+VLOOKUP(Ingresos_Historicos[[#This Row],[tema]],Estructura!$A$4:$C$18,3,0)</f>
        <v>T-301</v>
      </c>
      <c r="Y34" s="19" t="str">
        <f>+VLOOKUP(Ingresos_Historicos[[#This Row],[contenido]],Estructura!$E$4:$G$18,3,0)</f>
        <v>C-302</v>
      </c>
      <c r="Z34" s="19" t="str">
        <f>+VLOOKUP(Ingresos_Historicos[[#This Row],[Filtro Integrado]],Estructura!$M$4:$O$367,3,0)</f>
        <v>FI-303</v>
      </c>
      <c r="AA34" s="19" t="str">
        <f>+VLOOKUP(Ingresos_Historicos[[#This Row],[Muestra]],Estructura!$Q$4:$S$194,3,0)</f>
        <v>M-302</v>
      </c>
    </row>
    <row r="35" spans="1:27" ht="40.799999999999997" x14ac:dyDescent="0.3">
      <c r="A35" s="71" t="s">
        <v>421</v>
      </c>
      <c r="B35" s="12">
        <f t="shared" si="1"/>
        <v>300</v>
      </c>
      <c r="C35" s="13" t="str">
        <f t="shared" si="2"/>
        <v>Violencia contra la mujer</v>
      </c>
      <c r="D35" s="13" t="str">
        <f t="shared" si="3"/>
        <v>Mujeres</v>
      </c>
      <c r="E35" s="26">
        <v>8</v>
      </c>
      <c r="F35" s="13" t="s">
        <v>5846</v>
      </c>
      <c r="G35" s="13" t="s">
        <v>7570</v>
      </c>
      <c r="H35" s="29" t="s">
        <v>15</v>
      </c>
      <c r="I35" s="28" t="s">
        <v>374</v>
      </c>
      <c r="J35" s="12" t="str">
        <f t="shared" si="4"/>
        <v>Ninguno</v>
      </c>
      <c r="K35" s="12" t="str">
        <f t="shared" si="5"/>
        <v>Cantidad de Centros de la Mujer Regional</v>
      </c>
      <c r="L35" s="75" t="str">
        <f t="shared" si="6"/>
        <v>Año 2021</v>
      </c>
      <c r="M35" s="12" t="str">
        <f t="shared" si="7"/>
        <v>Número de centros</v>
      </c>
      <c r="N35" s="33" t="s">
        <v>5841</v>
      </c>
      <c r="O35" s="14" t="str">
        <f>+"Cantidad de Centros de la Mujer por tipo de atención en la "&amp;Ingresos_Historicos[[#This Row],[territorio]]</f>
        <v>Cantidad de Centros de la Mujer por tipo de atención en la Región del Biobío</v>
      </c>
      <c r="P35" s="41" t="str">
        <f>"Gráfico que muestra la cantidad de Centros de la Mujer por tipo de atención en la  "&amp;Ingresos_Historicos[[#This Row],[territorio]]&amp;", de acuerdo a los datos publicados por el "&amp;N34&amp;" para el "&amp;L34&amp;"."</f>
        <v>Gráfico que muestra la cantidad de Centros de la Mujer por tipo de atención en la  Región del Biobío, de acuerdo a los datos publicados por el Servicio Nacional de la Mujer y la Equidad de Género para el Año 2021.</v>
      </c>
      <c r="Q35" s="14" t="str">
        <f t="shared" si="9"/>
        <v>Gráfico</v>
      </c>
      <c r="R35" s="27" t="s">
        <v>5889</v>
      </c>
      <c r="S35" s="15" t="str">
        <f>"https://analytics.zoho.com/open-view/2395394000008621848?ZOHO_CRITERIA=%2227.11%22.%22C%C3%B3digo_Regi%C3%B3n%22%20%3D%20"&amp;Ingresos_Historicos[[#This Row],[Filtro URL]]</f>
        <v>https://analytics.zoho.com/open-view/2395394000008621848?ZOHO_CRITERIA=%2227.11%22.%22C%C3%B3digo_Regi%C3%B3n%22%20%3D%208</v>
      </c>
      <c r="T35" s="66" t="s">
        <v>5930</v>
      </c>
      <c r="U35" s="24" t="s">
        <v>397</v>
      </c>
      <c r="V35" s="19" t="str">
        <f>+Ingresos_Historicos[[#This Row],[idcoleccion]]&amp;"-"&amp;Ingresos_Historicos[[#This Row],[id]]</f>
        <v>300-0025</v>
      </c>
      <c r="W35" s="19">
        <f>+VLOOKUP(Ingresos_Historicos[[#This Row],[Filtro URL]],Estructura!$X$4:$Y$366,2,0)</f>
        <v>30200008</v>
      </c>
      <c r="X35" s="19" t="str">
        <f>+VLOOKUP(Ingresos_Historicos[[#This Row],[tema]],Estructura!$A$4:$C$18,3,0)</f>
        <v>T-301</v>
      </c>
      <c r="Y35" s="19" t="str">
        <f>+VLOOKUP(Ingresos_Historicos[[#This Row],[contenido]],Estructura!$E$4:$G$18,3,0)</f>
        <v>C-302</v>
      </c>
      <c r="Z35" s="19" t="str">
        <f>+VLOOKUP(Ingresos_Historicos[[#This Row],[Filtro Integrado]],Estructura!$M$4:$O$367,3,0)</f>
        <v>FI-303</v>
      </c>
      <c r="AA35" s="19" t="str">
        <f>+VLOOKUP(Ingresos_Historicos[[#This Row],[Muestra]],Estructura!$Q$4:$S$194,3,0)</f>
        <v>M-302</v>
      </c>
    </row>
    <row r="36" spans="1:27" ht="40.799999999999997" x14ac:dyDescent="0.3">
      <c r="A36" s="71" t="s">
        <v>422</v>
      </c>
      <c r="B36" s="12">
        <f t="shared" si="1"/>
        <v>300</v>
      </c>
      <c r="C36" s="13" t="str">
        <f t="shared" si="2"/>
        <v>Violencia contra la mujer</v>
      </c>
      <c r="D36" s="13" t="str">
        <f t="shared" si="3"/>
        <v>Mujeres</v>
      </c>
      <c r="E36" s="26">
        <v>9</v>
      </c>
      <c r="F36" s="13" t="s">
        <v>5846</v>
      </c>
      <c r="G36" s="13" t="s">
        <v>7570</v>
      </c>
      <c r="H36" s="29" t="s">
        <v>15</v>
      </c>
      <c r="I36" s="28" t="s">
        <v>375</v>
      </c>
      <c r="J36" s="12" t="str">
        <f t="shared" si="4"/>
        <v>Ninguno</v>
      </c>
      <c r="K36" s="12" t="str">
        <f t="shared" si="5"/>
        <v>Cantidad de Centros de la Mujer Regional</v>
      </c>
      <c r="L36" s="75" t="str">
        <f t="shared" si="6"/>
        <v>Año 2021</v>
      </c>
      <c r="M36" s="12" t="str">
        <f t="shared" si="7"/>
        <v>Número de centros</v>
      </c>
      <c r="N36" s="33" t="s">
        <v>5841</v>
      </c>
      <c r="O36" s="14" t="str">
        <f>+"Cantidad de Centros de la Mujer por tipo de atención en la "&amp;Ingresos_Historicos[[#This Row],[territorio]]</f>
        <v>Cantidad de Centros de la Mujer por tipo de atención en la Región de La Araucanía</v>
      </c>
      <c r="P36" s="41" t="str">
        <f>"Gráfico que muestra la cantidad de Centros de la Mujer por tipo de atención en la  "&amp;Ingresos_Historicos[[#This Row],[territorio]]&amp;", de acuerdo a los datos publicados por el "&amp;N35&amp;" para el "&amp;L35&amp;"."</f>
        <v>Gráfico que muestra la cantidad de Centros de la Mujer por tipo de atención en la  Región de La Araucanía, de acuerdo a los datos publicados por el Servicio Nacional de la Mujer y la Equidad de Género para el Año 2021.</v>
      </c>
      <c r="Q36" s="14" t="str">
        <f t="shared" si="9"/>
        <v>Gráfico</v>
      </c>
      <c r="R36" s="27" t="s">
        <v>5890</v>
      </c>
      <c r="S36" s="15" t="str">
        <f>"https://analytics.zoho.com/open-view/2395394000008621848?ZOHO_CRITERIA=%2227.11%22.%22C%C3%B3digo_Regi%C3%B3n%22%20%3D%20"&amp;Ingresos_Historicos[[#This Row],[Filtro URL]]</f>
        <v>https://analytics.zoho.com/open-view/2395394000008621848?ZOHO_CRITERIA=%2227.11%22.%22C%C3%B3digo_Regi%C3%B3n%22%20%3D%209</v>
      </c>
      <c r="T36" s="65" t="s">
        <v>5931</v>
      </c>
      <c r="U36" s="24" t="s">
        <v>397</v>
      </c>
      <c r="V36" s="19" t="str">
        <f>+Ingresos_Historicos[[#This Row],[idcoleccion]]&amp;"-"&amp;Ingresos_Historicos[[#This Row],[id]]</f>
        <v>300-0026</v>
      </c>
      <c r="W36" s="19">
        <f>+VLOOKUP(Ingresos_Historicos[[#This Row],[Filtro URL]],Estructura!$X$4:$Y$366,2,0)</f>
        <v>30200009</v>
      </c>
      <c r="X36" s="19" t="str">
        <f>+VLOOKUP(Ingresos_Historicos[[#This Row],[tema]],Estructura!$A$4:$C$18,3,0)</f>
        <v>T-301</v>
      </c>
      <c r="Y36" s="19" t="str">
        <f>+VLOOKUP(Ingresos_Historicos[[#This Row],[contenido]],Estructura!$E$4:$G$18,3,0)</f>
        <v>C-302</v>
      </c>
      <c r="Z36" s="19" t="str">
        <f>+VLOOKUP(Ingresos_Historicos[[#This Row],[Filtro Integrado]],Estructura!$M$4:$O$367,3,0)</f>
        <v>FI-303</v>
      </c>
      <c r="AA36" s="19" t="str">
        <f>+VLOOKUP(Ingresos_Historicos[[#This Row],[Muestra]],Estructura!$Q$4:$S$194,3,0)</f>
        <v>M-302</v>
      </c>
    </row>
    <row r="37" spans="1:27" ht="40.799999999999997" x14ac:dyDescent="0.3">
      <c r="A37" s="71" t="s">
        <v>423</v>
      </c>
      <c r="B37" s="12">
        <f t="shared" si="1"/>
        <v>300</v>
      </c>
      <c r="C37" s="13" t="str">
        <f t="shared" si="2"/>
        <v>Violencia contra la mujer</v>
      </c>
      <c r="D37" s="13" t="str">
        <f t="shared" si="3"/>
        <v>Mujeres</v>
      </c>
      <c r="E37" s="26">
        <v>10</v>
      </c>
      <c r="F37" s="13" t="s">
        <v>5846</v>
      </c>
      <c r="G37" s="13" t="s">
        <v>7570</v>
      </c>
      <c r="H37" s="29" t="s">
        <v>15</v>
      </c>
      <c r="I37" s="28" t="s">
        <v>376</v>
      </c>
      <c r="J37" s="12" t="str">
        <f t="shared" si="4"/>
        <v>Ninguno</v>
      </c>
      <c r="K37" s="12" t="str">
        <f t="shared" si="5"/>
        <v>Cantidad de Centros de la Mujer Regional</v>
      </c>
      <c r="L37" s="75" t="str">
        <f t="shared" si="6"/>
        <v>Año 2021</v>
      </c>
      <c r="M37" s="12" t="str">
        <f t="shared" si="7"/>
        <v>Número de centros</v>
      </c>
      <c r="N37" s="33" t="s">
        <v>5841</v>
      </c>
      <c r="O37" s="14" t="str">
        <f>+"Cantidad de Centros de la Mujer por tipo de atención en la "&amp;Ingresos_Historicos[[#This Row],[territorio]]</f>
        <v>Cantidad de Centros de la Mujer por tipo de atención en la Región de Los Lagos</v>
      </c>
      <c r="P37" s="41" t="str">
        <f>"Gráfico que muestra la cantidad de Centros de la Mujer por tipo de atención en la  "&amp;Ingresos_Historicos[[#This Row],[territorio]]&amp;", de acuerdo a los datos publicados por el "&amp;N36&amp;" para el "&amp;L36&amp;"."</f>
        <v>Gráfico que muestra la cantidad de Centros de la Mujer por tipo de atención en la  Región de Los Lagos, de acuerdo a los datos publicados por el Servicio Nacional de la Mujer y la Equidad de Género para el Año 2021.</v>
      </c>
      <c r="Q37" s="14" t="str">
        <f t="shared" si="9"/>
        <v>Gráfico</v>
      </c>
      <c r="R37" s="27" t="s">
        <v>5891</v>
      </c>
      <c r="S37" s="15" t="str">
        <f>"https://analytics.zoho.com/open-view/2395394000008621848?ZOHO_CRITERIA=%2227.11%22.%22C%C3%B3digo_Regi%C3%B3n%22%20%3D%20"&amp;Ingresos_Historicos[[#This Row],[Filtro URL]]</f>
        <v>https://analytics.zoho.com/open-view/2395394000008621848?ZOHO_CRITERIA=%2227.11%22.%22C%C3%B3digo_Regi%C3%B3n%22%20%3D%2010</v>
      </c>
      <c r="T37" s="66" t="s">
        <v>5932</v>
      </c>
      <c r="U37" s="24" t="s">
        <v>397</v>
      </c>
      <c r="V37" s="19" t="str">
        <f>+Ingresos_Historicos[[#This Row],[idcoleccion]]&amp;"-"&amp;Ingresos_Historicos[[#This Row],[id]]</f>
        <v>300-0027</v>
      </c>
      <c r="W37" s="19">
        <f>+VLOOKUP(Ingresos_Historicos[[#This Row],[Filtro URL]],Estructura!$X$4:$Y$366,2,0)</f>
        <v>30200010</v>
      </c>
      <c r="X37" s="19" t="str">
        <f>+VLOOKUP(Ingresos_Historicos[[#This Row],[tema]],Estructura!$A$4:$C$18,3,0)</f>
        <v>T-301</v>
      </c>
      <c r="Y37" s="19" t="str">
        <f>+VLOOKUP(Ingresos_Historicos[[#This Row],[contenido]],Estructura!$E$4:$G$18,3,0)</f>
        <v>C-302</v>
      </c>
      <c r="Z37" s="19" t="str">
        <f>+VLOOKUP(Ingresos_Historicos[[#This Row],[Filtro Integrado]],Estructura!$M$4:$O$367,3,0)</f>
        <v>FI-303</v>
      </c>
      <c r="AA37" s="19" t="str">
        <f>+VLOOKUP(Ingresos_Historicos[[#This Row],[Muestra]],Estructura!$Q$4:$S$194,3,0)</f>
        <v>M-302</v>
      </c>
    </row>
    <row r="38" spans="1:27" ht="40.799999999999997" x14ac:dyDescent="0.3">
      <c r="A38" s="71" t="s">
        <v>424</v>
      </c>
      <c r="B38" s="12">
        <f t="shared" si="1"/>
        <v>300</v>
      </c>
      <c r="C38" s="13" t="str">
        <f t="shared" si="2"/>
        <v>Violencia contra la mujer</v>
      </c>
      <c r="D38" s="13" t="str">
        <f t="shared" si="3"/>
        <v>Mujeres</v>
      </c>
      <c r="E38" s="26">
        <v>11</v>
      </c>
      <c r="F38" s="13" t="s">
        <v>5846</v>
      </c>
      <c r="G38" s="13" t="s">
        <v>7570</v>
      </c>
      <c r="H38" s="29" t="s">
        <v>15</v>
      </c>
      <c r="I38" s="28" t="s">
        <v>377</v>
      </c>
      <c r="J38" s="12" t="str">
        <f t="shared" si="4"/>
        <v>Ninguno</v>
      </c>
      <c r="K38" s="12" t="str">
        <f t="shared" si="5"/>
        <v>Cantidad de Centros de la Mujer Regional</v>
      </c>
      <c r="L38" s="75" t="str">
        <f t="shared" si="6"/>
        <v>Año 2021</v>
      </c>
      <c r="M38" s="12" t="str">
        <f t="shared" si="7"/>
        <v>Número de centros</v>
      </c>
      <c r="N38" s="33" t="s">
        <v>5841</v>
      </c>
      <c r="O38" s="14" t="str">
        <f>+"Cantidad de Centros de la Mujer por tipo de atención en la "&amp;Ingresos_Historicos[[#This Row],[territorio]]</f>
        <v>Cantidad de Centros de la Mujer por tipo de atención en la Región de Aysén</v>
      </c>
      <c r="P38" s="41" t="str">
        <f>"Gráfico que muestra la cantidad de Centros de la Mujer por tipo de atención en la  "&amp;Ingresos_Historicos[[#This Row],[territorio]]&amp;", de acuerdo a los datos publicados por el "&amp;N37&amp;" para el "&amp;L37&amp;"."</f>
        <v>Gráfico que muestra la cantidad de Centros de la Mujer por tipo de atención en la  Región de Aysén, de acuerdo a los datos publicados por el Servicio Nacional de la Mujer y la Equidad de Género para el Año 2021.</v>
      </c>
      <c r="Q38" s="14" t="str">
        <f t="shared" si="9"/>
        <v>Gráfico</v>
      </c>
      <c r="R38" s="27" t="s">
        <v>5892</v>
      </c>
      <c r="S38" s="15" t="str">
        <f>"https://analytics.zoho.com/open-view/2395394000008621848?ZOHO_CRITERIA=%2227.11%22.%22C%C3%B3digo_Regi%C3%B3n%22%20%3D%20"&amp;Ingresos_Historicos[[#This Row],[Filtro URL]]</f>
        <v>https://analytics.zoho.com/open-view/2395394000008621848?ZOHO_CRITERIA=%2227.11%22.%22C%C3%B3digo_Regi%C3%B3n%22%20%3D%2011</v>
      </c>
      <c r="T38" s="65" t="s">
        <v>5933</v>
      </c>
      <c r="U38" s="24" t="s">
        <v>397</v>
      </c>
      <c r="V38" s="19" t="str">
        <f>+Ingresos_Historicos[[#This Row],[idcoleccion]]&amp;"-"&amp;Ingresos_Historicos[[#This Row],[id]]</f>
        <v>300-0028</v>
      </c>
      <c r="W38" s="19">
        <f>+VLOOKUP(Ingresos_Historicos[[#This Row],[Filtro URL]],Estructura!$X$4:$Y$366,2,0)</f>
        <v>30200011</v>
      </c>
      <c r="X38" s="19" t="str">
        <f>+VLOOKUP(Ingresos_Historicos[[#This Row],[tema]],Estructura!$A$4:$C$18,3,0)</f>
        <v>T-301</v>
      </c>
      <c r="Y38" s="19" t="str">
        <f>+VLOOKUP(Ingresos_Historicos[[#This Row],[contenido]],Estructura!$E$4:$G$18,3,0)</f>
        <v>C-302</v>
      </c>
      <c r="Z38" s="19" t="str">
        <f>+VLOOKUP(Ingresos_Historicos[[#This Row],[Filtro Integrado]],Estructura!$M$4:$O$367,3,0)</f>
        <v>FI-303</v>
      </c>
      <c r="AA38" s="19" t="str">
        <f>+VLOOKUP(Ingresos_Historicos[[#This Row],[Muestra]],Estructura!$Q$4:$S$194,3,0)</f>
        <v>M-302</v>
      </c>
    </row>
    <row r="39" spans="1:27" ht="40.799999999999997" x14ac:dyDescent="0.3">
      <c r="A39" s="71" t="s">
        <v>425</v>
      </c>
      <c r="B39" s="12">
        <f t="shared" si="1"/>
        <v>300</v>
      </c>
      <c r="C39" s="13" t="str">
        <f t="shared" si="2"/>
        <v>Violencia contra la mujer</v>
      </c>
      <c r="D39" s="13" t="str">
        <f t="shared" si="3"/>
        <v>Mujeres</v>
      </c>
      <c r="E39" s="26">
        <v>12</v>
      </c>
      <c r="F39" s="13" t="s">
        <v>5846</v>
      </c>
      <c r="G39" s="13" t="s">
        <v>7570</v>
      </c>
      <c r="H39" s="29" t="s">
        <v>15</v>
      </c>
      <c r="I39" s="28" t="s">
        <v>378</v>
      </c>
      <c r="J39" s="12" t="str">
        <f t="shared" si="4"/>
        <v>Ninguno</v>
      </c>
      <c r="K39" s="12" t="str">
        <f t="shared" si="5"/>
        <v>Cantidad de Centros de la Mujer Regional</v>
      </c>
      <c r="L39" s="75" t="str">
        <f t="shared" si="6"/>
        <v>Año 2021</v>
      </c>
      <c r="M39" s="12" t="str">
        <f t="shared" si="7"/>
        <v>Número de centros</v>
      </c>
      <c r="N39" s="33" t="s">
        <v>5841</v>
      </c>
      <c r="O39" s="14" t="str">
        <f>+"Cantidad de Centros de la Mujer por tipo de atención en la "&amp;Ingresos_Historicos[[#This Row],[territorio]]</f>
        <v>Cantidad de Centros de la Mujer por tipo de atención en la Región de Magallanes</v>
      </c>
      <c r="P39" s="41" t="str">
        <f>"Gráfico que muestra la cantidad de Centros de la Mujer por tipo de atención en la  "&amp;Ingresos_Historicos[[#This Row],[territorio]]&amp;", de acuerdo a los datos publicados por el "&amp;N38&amp;" para el "&amp;L38&amp;"."</f>
        <v>Gráfico que muestra la cantidad de Centros de la Mujer por tipo de atención en la  Región de Magallanes, de acuerdo a los datos publicados por el Servicio Nacional de la Mujer y la Equidad de Género para el Año 2021.</v>
      </c>
      <c r="Q39" s="14" t="str">
        <f t="shared" si="9"/>
        <v>Gráfico</v>
      </c>
      <c r="R39" s="27" t="s">
        <v>5893</v>
      </c>
      <c r="S39" s="15" t="str">
        <f>"https://analytics.zoho.com/open-view/2395394000008621848?ZOHO_CRITERIA=%2227.11%22.%22C%C3%B3digo_Regi%C3%B3n%22%20%3D%20"&amp;Ingresos_Historicos[[#This Row],[Filtro URL]]</f>
        <v>https://analytics.zoho.com/open-view/2395394000008621848?ZOHO_CRITERIA=%2227.11%22.%22C%C3%B3digo_Regi%C3%B3n%22%20%3D%2012</v>
      </c>
      <c r="T39" s="66" t="s">
        <v>5934</v>
      </c>
      <c r="U39" s="24" t="s">
        <v>397</v>
      </c>
      <c r="V39" s="19" t="str">
        <f>+Ingresos_Historicos[[#This Row],[idcoleccion]]&amp;"-"&amp;Ingresos_Historicos[[#This Row],[id]]</f>
        <v>300-0029</v>
      </c>
      <c r="W39" s="19">
        <f>+VLOOKUP(Ingresos_Historicos[[#This Row],[Filtro URL]],Estructura!$X$4:$Y$366,2,0)</f>
        <v>30200012</v>
      </c>
      <c r="X39" s="19" t="str">
        <f>+VLOOKUP(Ingresos_Historicos[[#This Row],[tema]],Estructura!$A$4:$C$18,3,0)</f>
        <v>T-301</v>
      </c>
      <c r="Y39" s="19" t="str">
        <f>+VLOOKUP(Ingresos_Historicos[[#This Row],[contenido]],Estructura!$E$4:$G$18,3,0)</f>
        <v>C-302</v>
      </c>
      <c r="Z39" s="19" t="str">
        <f>+VLOOKUP(Ingresos_Historicos[[#This Row],[Filtro Integrado]],Estructura!$M$4:$O$367,3,0)</f>
        <v>FI-303</v>
      </c>
      <c r="AA39" s="19" t="str">
        <f>+VLOOKUP(Ingresos_Historicos[[#This Row],[Muestra]],Estructura!$Q$4:$S$194,3,0)</f>
        <v>M-302</v>
      </c>
    </row>
    <row r="40" spans="1:27" ht="40.799999999999997" x14ac:dyDescent="0.3">
      <c r="A40" s="71" t="s">
        <v>426</v>
      </c>
      <c r="B40" s="12">
        <f t="shared" si="1"/>
        <v>300</v>
      </c>
      <c r="C40" s="13" t="str">
        <f t="shared" si="2"/>
        <v>Violencia contra la mujer</v>
      </c>
      <c r="D40" s="13" t="str">
        <f t="shared" si="3"/>
        <v>Mujeres</v>
      </c>
      <c r="E40" s="26">
        <v>13</v>
      </c>
      <c r="F40" s="13" t="s">
        <v>5846</v>
      </c>
      <c r="G40" s="13" t="s">
        <v>7570</v>
      </c>
      <c r="H40" s="29" t="s">
        <v>15</v>
      </c>
      <c r="I40" s="28" t="s">
        <v>379</v>
      </c>
      <c r="J40" s="12" t="str">
        <f t="shared" si="4"/>
        <v>Ninguno</v>
      </c>
      <c r="K40" s="12" t="str">
        <f t="shared" si="5"/>
        <v>Cantidad de Centros de la Mujer Regional</v>
      </c>
      <c r="L40" s="75" t="str">
        <f t="shared" si="6"/>
        <v>Año 2021</v>
      </c>
      <c r="M40" s="12" t="str">
        <f t="shared" si="7"/>
        <v>Número de centros</v>
      </c>
      <c r="N40" s="33" t="s">
        <v>5841</v>
      </c>
      <c r="O40" s="14" t="str">
        <f>+"Cantidad de Centros de la Mujer por tipo de atención en la "&amp;Ingresos_Historicos[[#This Row],[territorio]]</f>
        <v>Cantidad de Centros de la Mujer por tipo de atención en la Región Metropolitana</v>
      </c>
      <c r="P40" s="41" t="str">
        <f>"Gráfico que muestra la cantidad de Centros de la Mujer por tipo de atención en la  "&amp;Ingresos_Historicos[[#This Row],[territorio]]&amp;", de acuerdo a los datos publicados por el "&amp;N39&amp;" para el "&amp;L39&amp;"."</f>
        <v>Gráfico que muestra la cantidad de Centros de la Mujer por tipo de atención en la  Región Metropolitana, de acuerdo a los datos publicados por el Servicio Nacional de la Mujer y la Equidad de Género para el Año 2021.</v>
      </c>
      <c r="Q40" s="14" t="str">
        <f t="shared" si="9"/>
        <v>Gráfico</v>
      </c>
      <c r="R40" s="27" t="s">
        <v>5894</v>
      </c>
      <c r="S40" s="15" t="str">
        <f>"https://analytics.zoho.com/open-view/2395394000008621848?ZOHO_CRITERIA=%2227.11%22.%22C%C3%B3digo_Regi%C3%B3n%22%20%3D%20"&amp;Ingresos_Historicos[[#This Row],[Filtro URL]]</f>
        <v>https://analytics.zoho.com/open-view/2395394000008621848?ZOHO_CRITERIA=%2227.11%22.%22C%C3%B3digo_Regi%C3%B3n%22%20%3D%2013</v>
      </c>
      <c r="T40" s="65" t="s">
        <v>5935</v>
      </c>
      <c r="U40" s="24" t="s">
        <v>397</v>
      </c>
      <c r="V40" s="19" t="str">
        <f>+Ingresos_Historicos[[#This Row],[idcoleccion]]&amp;"-"&amp;Ingresos_Historicos[[#This Row],[id]]</f>
        <v>300-0030</v>
      </c>
      <c r="W40" s="19">
        <f>+VLOOKUP(Ingresos_Historicos[[#This Row],[Filtro URL]],Estructura!$X$4:$Y$366,2,0)</f>
        <v>30200013</v>
      </c>
      <c r="X40" s="19" t="str">
        <f>+VLOOKUP(Ingresos_Historicos[[#This Row],[tema]],Estructura!$A$4:$C$18,3,0)</f>
        <v>T-301</v>
      </c>
      <c r="Y40" s="19" t="str">
        <f>+VLOOKUP(Ingresos_Historicos[[#This Row],[contenido]],Estructura!$E$4:$G$18,3,0)</f>
        <v>C-302</v>
      </c>
      <c r="Z40" s="19" t="str">
        <f>+VLOOKUP(Ingresos_Historicos[[#This Row],[Filtro Integrado]],Estructura!$M$4:$O$367,3,0)</f>
        <v>FI-303</v>
      </c>
      <c r="AA40" s="19" t="str">
        <f>+VLOOKUP(Ingresos_Historicos[[#This Row],[Muestra]],Estructura!$Q$4:$S$194,3,0)</f>
        <v>M-302</v>
      </c>
    </row>
    <row r="41" spans="1:27" ht="40.799999999999997" x14ac:dyDescent="0.3">
      <c r="A41" s="71" t="s">
        <v>427</v>
      </c>
      <c r="B41" s="12">
        <f t="shared" si="1"/>
        <v>300</v>
      </c>
      <c r="C41" s="13" t="str">
        <f t="shared" si="2"/>
        <v>Violencia contra la mujer</v>
      </c>
      <c r="D41" s="13" t="str">
        <f t="shared" si="3"/>
        <v>Mujeres</v>
      </c>
      <c r="E41" s="26">
        <v>14</v>
      </c>
      <c r="F41" s="13" t="s">
        <v>5846</v>
      </c>
      <c r="G41" s="13" t="s">
        <v>7570</v>
      </c>
      <c r="H41" s="29" t="s">
        <v>15</v>
      </c>
      <c r="I41" s="28" t="s">
        <v>380</v>
      </c>
      <c r="J41" s="12" t="str">
        <f t="shared" si="4"/>
        <v>Ninguno</v>
      </c>
      <c r="K41" s="12" t="str">
        <f t="shared" si="5"/>
        <v>Cantidad de Centros de la Mujer Regional</v>
      </c>
      <c r="L41" s="75" t="str">
        <f t="shared" si="6"/>
        <v>Año 2021</v>
      </c>
      <c r="M41" s="12" t="str">
        <f t="shared" si="7"/>
        <v>Número de centros</v>
      </c>
      <c r="N41" s="33" t="s">
        <v>5841</v>
      </c>
      <c r="O41" s="14" t="str">
        <f>+"Cantidad de Centros de la Mujer por tipo de atención en la "&amp;Ingresos_Historicos[[#This Row],[territorio]]</f>
        <v>Cantidad de Centros de la Mujer por tipo de atención en la Región de Los Ríos</v>
      </c>
      <c r="P41" s="41" t="str">
        <f>"Gráfico que muestra la cantidad de Centros de la Mujer por tipo de atención en la  "&amp;Ingresos_Historicos[[#This Row],[territorio]]&amp;", de acuerdo a los datos publicados por el "&amp;N40&amp;" para el "&amp;L40&amp;"."</f>
        <v>Gráfico que muestra la cantidad de Centros de la Mujer por tipo de atención en la  Región de Los Ríos, de acuerdo a los datos publicados por el Servicio Nacional de la Mujer y la Equidad de Género para el Año 2021.</v>
      </c>
      <c r="Q41" s="14" t="str">
        <f t="shared" si="9"/>
        <v>Gráfico</v>
      </c>
      <c r="R41" s="27" t="s">
        <v>5895</v>
      </c>
      <c r="S41" s="15" t="str">
        <f>"https://analytics.zoho.com/open-view/2395394000008621848?ZOHO_CRITERIA=%2227.11%22.%22C%C3%B3digo_Regi%C3%B3n%22%20%3D%20"&amp;Ingresos_Historicos[[#This Row],[Filtro URL]]</f>
        <v>https://analytics.zoho.com/open-view/2395394000008621848?ZOHO_CRITERIA=%2227.11%22.%22C%C3%B3digo_Regi%C3%B3n%22%20%3D%2014</v>
      </c>
      <c r="T41" s="65" t="s">
        <v>5936</v>
      </c>
      <c r="U41" s="24" t="s">
        <v>397</v>
      </c>
      <c r="V41" s="19" t="str">
        <f>+Ingresos_Historicos[[#This Row],[idcoleccion]]&amp;"-"&amp;Ingresos_Historicos[[#This Row],[id]]</f>
        <v>300-0031</v>
      </c>
      <c r="W41" s="19">
        <f>+VLOOKUP(Ingresos_Historicos[[#This Row],[Filtro URL]],Estructura!$X$4:$Y$366,2,0)</f>
        <v>30200014</v>
      </c>
      <c r="X41" s="19" t="str">
        <f>+VLOOKUP(Ingresos_Historicos[[#This Row],[tema]],Estructura!$A$4:$C$18,3,0)</f>
        <v>T-301</v>
      </c>
      <c r="Y41" s="19" t="str">
        <f>+VLOOKUP(Ingresos_Historicos[[#This Row],[contenido]],Estructura!$E$4:$G$18,3,0)</f>
        <v>C-302</v>
      </c>
      <c r="Z41" s="19" t="str">
        <f>+VLOOKUP(Ingresos_Historicos[[#This Row],[Filtro Integrado]],Estructura!$M$4:$O$367,3,0)</f>
        <v>FI-303</v>
      </c>
      <c r="AA41" s="19" t="str">
        <f>+VLOOKUP(Ingresos_Historicos[[#This Row],[Muestra]],Estructura!$Q$4:$S$194,3,0)</f>
        <v>M-302</v>
      </c>
    </row>
    <row r="42" spans="1:27" ht="40.799999999999997" x14ac:dyDescent="0.3">
      <c r="A42" s="71" t="s">
        <v>428</v>
      </c>
      <c r="B42" s="12">
        <f t="shared" si="1"/>
        <v>300</v>
      </c>
      <c r="C42" s="13" t="str">
        <f t="shared" si="2"/>
        <v>Violencia contra la mujer</v>
      </c>
      <c r="D42" s="13" t="str">
        <f t="shared" si="3"/>
        <v>Mujeres</v>
      </c>
      <c r="E42" s="26">
        <v>15</v>
      </c>
      <c r="F42" s="13" t="s">
        <v>5846</v>
      </c>
      <c r="G42" s="13" t="s">
        <v>7570</v>
      </c>
      <c r="H42" s="29" t="s">
        <v>15</v>
      </c>
      <c r="I42" s="28" t="s">
        <v>381</v>
      </c>
      <c r="J42" s="12" t="str">
        <f t="shared" si="4"/>
        <v>Ninguno</v>
      </c>
      <c r="K42" s="12" t="str">
        <f t="shared" si="5"/>
        <v>Cantidad de Centros de la Mujer Regional</v>
      </c>
      <c r="L42" s="75" t="str">
        <f t="shared" si="6"/>
        <v>Año 2021</v>
      </c>
      <c r="M42" s="12" t="str">
        <f t="shared" si="7"/>
        <v>Número de centros</v>
      </c>
      <c r="N42" s="33" t="s">
        <v>5841</v>
      </c>
      <c r="O42" s="14" t="str">
        <f>+"Cantidad de Centros de la Mujer por tipo de atención en la "&amp;Ingresos_Historicos[[#This Row],[territorio]]</f>
        <v>Cantidad de Centros de la Mujer por tipo de atención en la Región de Arica y Parinacota</v>
      </c>
      <c r="P42" s="41" t="str">
        <f>"Gráfico que muestra la cantidad de Centros de la Mujer por tipo de atención en la  "&amp;Ingresos_Historicos[[#This Row],[territorio]]&amp;", de acuerdo a los datos publicados por el "&amp;N41&amp;" para el "&amp;L41&amp;"."</f>
        <v>Gráfico que muestra la cantidad de Centros de la Mujer por tipo de atención en la  Región de Arica y Parinacota, de acuerdo a los datos publicados por el Servicio Nacional de la Mujer y la Equidad de Género para el Año 2021.</v>
      </c>
      <c r="Q42" s="14" t="str">
        <f t="shared" si="9"/>
        <v>Gráfico</v>
      </c>
      <c r="R42" s="27" t="s">
        <v>5896</v>
      </c>
      <c r="S42" s="15" t="str">
        <f>"https://analytics.zoho.com/open-view/2395394000008621848?ZOHO_CRITERIA=%2227.11%22.%22C%C3%B3digo_Regi%C3%B3n%22%20%3D%20"&amp;Ingresos_Historicos[[#This Row],[Filtro URL]]</f>
        <v>https://analytics.zoho.com/open-view/2395394000008621848?ZOHO_CRITERIA=%2227.11%22.%22C%C3%B3digo_Regi%C3%B3n%22%20%3D%2015</v>
      </c>
      <c r="T42" s="65" t="s">
        <v>5937</v>
      </c>
      <c r="U42" s="24" t="s">
        <v>397</v>
      </c>
      <c r="V42" s="19" t="str">
        <f>+Ingresos_Historicos[[#This Row],[idcoleccion]]&amp;"-"&amp;Ingresos_Historicos[[#This Row],[id]]</f>
        <v>300-0032</v>
      </c>
      <c r="W42" s="19">
        <f>+VLOOKUP(Ingresos_Historicos[[#This Row],[Filtro URL]],Estructura!$X$4:$Y$366,2,0)</f>
        <v>30200015</v>
      </c>
      <c r="X42" s="19" t="str">
        <f>+VLOOKUP(Ingresos_Historicos[[#This Row],[tema]],Estructura!$A$4:$C$18,3,0)</f>
        <v>T-301</v>
      </c>
      <c r="Y42" s="19" t="str">
        <f>+VLOOKUP(Ingresos_Historicos[[#This Row],[contenido]],Estructura!$E$4:$G$18,3,0)</f>
        <v>C-302</v>
      </c>
      <c r="Z42" s="19" t="str">
        <f>+VLOOKUP(Ingresos_Historicos[[#This Row],[Filtro Integrado]],Estructura!$M$4:$O$367,3,0)</f>
        <v>FI-303</v>
      </c>
      <c r="AA42" s="19" t="str">
        <f>+VLOOKUP(Ingresos_Historicos[[#This Row],[Muestra]],Estructura!$Q$4:$S$194,3,0)</f>
        <v>M-302</v>
      </c>
    </row>
    <row r="43" spans="1:27" ht="40.799999999999997" x14ac:dyDescent="0.3">
      <c r="A43" s="71" t="s">
        <v>429</v>
      </c>
      <c r="B43" s="12">
        <f t="shared" si="1"/>
        <v>300</v>
      </c>
      <c r="C43" s="13" t="str">
        <f t="shared" si="2"/>
        <v>Violencia contra la mujer</v>
      </c>
      <c r="D43" s="13" t="str">
        <f t="shared" si="3"/>
        <v>Mujeres</v>
      </c>
      <c r="E43" s="26">
        <v>16</v>
      </c>
      <c r="F43" s="13" t="s">
        <v>5846</v>
      </c>
      <c r="G43" s="13" t="s">
        <v>7570</v>
      </c>
      <c r="H43" s="29" t="s">
        <v>15</v>
      </c>
      <c r="I43" s="28" t="s">
        <v>382</v>
      </c>
      <c r="J43" s="12" t="str">
        <f t="shared" si="4"/>
        <v>Ninguno</v>
      </c>
      <c r="K43" s="12" t="str">
        <f t="shared" si="5"/>
        <v>Cantidad de Centros de la Mujer Regional</v>
      </c>
      <c r="L43" s="75" t="str">
        <f t="shared" si="6"/>
        <v>Año 2021</v>
      </c>
      <c r="M43" s="12" t="str">
        <f t="shared" si="7"/>
        <v>Número de centros</v>
      </c>
      <c r="N43" s="33" t="s">
        <v>5841</v>
      </c>
      <c r="O43" s="14" t="str">
        <f>+"Cantidad de Centros de la Mujer por tipo de atención en la "&amp;Ingresos_Historicos[[#This Row],[territorio]]</f>
        <v>Cantidad de Centros de la Mujer por tipo de atención en la Región de Ñuble</v>
      </c>
      <c r="P43" s="41" t="str">
        <f>"Gráfico que muestra la cantidad de Centros de la Mujer por tipo de atención en la  "&amp;Ingresos_Historicos[[#This Row],[territorio]]&amp;", de acuerdo a los datos publicados por el "&amp;N42&amp;" para el "&amp;L42&amp;"."</f>
        <v>Gráfico que muestra la cantidad de Centros de la Mujer por tipo de atención en la  Región de Ñuble, de acuerdo a los datos publicados por el Servicio Nacional de la Mujer y la Equidad de Género para el Año 2021.</v>
      </c>
      <c r="Q43" s="14" t="str">
        <f t="shared" si="9"/>
        <v>Gráfico</v>
      </c>
      <c r="R43" s="27" t="s">
        <v>5897</v>
      </c>
      <c r="S43" s="15" t="str">
        <f>"https://analytics.zoho.com/open-view/2395394000008621848?ZOHO_CRITERIA=%2227.11%22.%22C%C3%B3digo_Regi%C3%B3n%22%20%3D%20"&amp;Ingresos_Historicos[[#This Row],[Filtro URL]]</f>
        <v>https://analytics.zoho.com/open-view/2395394000008621848?ZOHO_CRITERIA=%2227.11%22.%22C%C3%B3digo_Regi%C3%B3n%22%20%3D%2016</v>
      </c>
      <c r="T43" s="65" t="s">
        <v>5924</v>
      </c>
      <c r="U43" s="24" t="s">
        <v>397</v>
      </c>
      <c r="V43" s="19" t="str">
        <f>+Ingresos_Historicos[[#This Row],[idcoleccion]]&amp;"-"&amp;Ingresos_Historicos[[#This Row],[id]]</f>
        <v>300-0033</v>
      </c>
      <c r="W43" s="19">
        <f>+VLOOKUP(Ingresos_Historicos[[#This Row],[Filtro URL]],Estructura!$X$4:$Y$366,2,0)</f>
        <v>30200016</v>
      </c>
      <c r="X43" s="19" t="str">
        <f>+VLOOKUP(Ingresos_Historicos[[#This Row],[tema]],Estructura!$A$4:$C$18,3,0)</f>
        <v>T-301</v>
      </c>
      <c r="Y43" s="19" t="str">
        <f>+VLOOKUP(Ingresos_Historicos[[#This Row],[contenido]],Estructura!$E$4:$G$18,3,0)</f>
        <v>C-302</v>
      </c>
      <c r="Z43" s="19" t="str">
        <f>+VLOOKUP(Ingresos_Historicos[[#This Row],[Filtro Integrado]],Estructura!$M$4:$O$367,3,0)</f>
        <v>FI-303</v>
      </c>
      <c r="AA43" s="19" t="str">
        <f>+VLOOKUP(Ingresos_Historicos[[#This Row],[Muestra]],Estructura!$Q$4:$S$194,3,0)</f>
        <v>M-302</v>
      </c>
    </row>
    <row r="44" spans="1:27" ht="61.2" x14ac:dyDescent="0.3">
      <c r="A44" s="32" t="s">
        <v>430</v>
      </c>
      <c r="B44" s="12">
        <f t="shared" si="1"/>
        <v>300</v>
      </c>
      <c r="C44" s="13" t="str">
        <f t="shared" si="2"/>
        <v>Violencia contra la mujer</v>
      </c>
      <c r="D44" s="13" t="str">
        <f t="shared" si="3"/>
        <v>Mujeres</v>
      </c>
      <c r="E44" s="26">
        <v>5</v>
      </c>
      <c r="F44" s="13" t="s">
        <v>5955</v>
      </c>
      <c r="G44" s="13" t="s">
        <v>7570</v>
      </c>
      <c r="H44" s="29" t="s">
        <v>15</v>
      </c>
      <c r="I44" s="28" t="s">
        <v>371</v>
      </c>
      <c r="J44" s="12" t="s">
        <v>398</v>
      </c>
      <c r="K44" s="12" t="s">
        <v>5849</v>
      </c>
      <c r="L44" s="75" t="s">
        <v>5850</v>
      </c>
      <c r="M44" s="12" t="s">
        <v>5865</v>
      </c>
      <c r="N44" s="33" t="s">
        <v>5841</v>
      </c>
      <c r="O44" s="27" t="str">
        <f>"Cantidad de mujeres atendidas en Centros de Atención y Reparación para Mujeres Víctimas/Sobrevivientes de Violencia Sexual por tipo de atención en la "&amp;Ingresos_Historicos[[#This Row],[territorio]]</f>
        <v>Cantidad de mujeres atendidas en Centros de Atención y Reparación para Mujeres Víctimas/Sobrevivientes de Violencia Sexual por tipo de atención en la Región de Valparaíso</v>
      </c>
      <c r="P44" s="46" t="str">
        <f>+"Gráfico que muestra la cantidad de mujeres atendidas en Centros de Atención y Reparación para Mujeres Víctimas/Sobrevivientes de Violencia Sexual por tipo de atención en la "&amp;Ingresos_Historicos[[#This Row],[territorio]]&amp;", de acuerdo a los datos publicados por el "&amp;Ingresos_Historicos[[#This Row],[fuente]]&amp;" de Chile para el "&amp;Ingresos_Historicos[[#This Row],[temporalidad]]&amp;"."</f>
        <v>Gráfico que muestra la cantidad de mujeres atendidas en Centros de Atención y Reparación para Mujeres Víctimas/Sobrevivientes de Violencia Sexual por tipo de atención en la Región de Valparaíso, de acuerdo a los datos publicados por el Servicio Nacional de la Mujer y la Equidad de Género de Chile para el Periodo 2017-2019.</v>
      </c>
      <c r="Q44" s="14" t="str">
        <f t="shared" si="9"/>
        <v>Gráfico</v>
      </c>
      <c r="R44" s="27" t="s">
        <v>5898</v>
      </c>
      <c r="S44" s="15" t="str">
        <f>HYPERLINK("https://analytics.zoho.com/open-view/2395394000007114973?ZOHO_CRITERIA=%2227.12%22.%22C%C3%B3digo_Regi%C3%B3n%22%20%3D%20"&amp;Ingresos_Historicos[[#This Row],[Filtro URL]])</f>
        <v>https://analytics.zoho.com/open-view/2395394000007114973?ZOHO_CRITERIA=%2227.12%22.%22C%C3%B3digo_Regi%C3%B3n%22%20%3D%205</v>
      </c>
      <c r="T44" s="65" t="s">
        <v>5927</v>
      </c>
      <c r="U44" s="24" t="s">
        <v>397</v>
      </c>
      <c r="V44" s="19" t="str">
        <f>+Ingresos_Historicos[[#This Row],[idcoleccion]]&amp;"-"&amp;Ingresos_Historicos[[#This Row],[id]]</f>
        <v>300-0034</v>
      </c>
      <c r="W44" s="19">
        <f>+VLOOKUP(Ingresos_Historicos[[#This Row],[Filtro URL]],Estructura!$X$4:$Y$366,2,0)</f>
        <v>30200005</v>
      </c>
      <c r="X44" s="19" t="str">
        <f>+VLOOKUP(Ingresos_Historicos[[#This Row],[tema]],Estructura!$A$4:$C$18,3,0)</f>
        <v>T-302</v>
      </c>
      <c r="Y44" s="19" t="str">
        <f>+VLOOKUP(Ingresos_Historicos[[#This Row],[contenido]],Estructura!$E$4:$G$18,3,0)</f>
        <v>C-302</v>
      </c>
      <c r="Z44" s="19" t="str">
        <f>+VLOOKUP(Ingresos_Historicos[[#This Row],[Filtro Integrado]],Estructura!$M$4:$O$367,3,0)</f>
        <v>FI-303</v>
      </c>
      <c r="AA44" s="19" t="str">
        <f>+VLOOKUP(Ingresos_Historicos[[#This Row],[Muestra]],Estructura!$Q$4:$S$194,3,0)</f>
        <v>M-303</v>
      </c>
    </row>
    <row r="45" spans="1:27" ht="61.2" x14ac:dyDescent="0.3">
      <c r="A45" s="71" t="s">
        <v>431</v>
      </c>
      <c r="B45" s="12">
        <f t="shared" si="1"/>
        <v>300</v>
      </c>
      <c r="C45" s="13" t="str">
        <f t="shared" si="2"/>
        <v>Violencia contra la mujer</v>
      </c>
      <c r="D45" s="13" t="str">
        <f t="shared" si="3"/>
        <v>Mujeres</v>
      </c>
      <c r="E45" s="26">
        <v>13</v>
      </c>
      <c r="F45" s="13" t="str">
        <f t="shared" ref="F45:F58" si="10">+F44</f>
        <v>Centros de Atención y Reparación para Mujeres Víctimas/Sobrevivientes de Violencia Sexual</v>
      </c>
      <c r="G45" s="13" t="str">
        <f t="shared" ref="G45:G58" si="11">+G44</f>
        <v>Centros de Apoyo</v>
      </c>
      <c r="H45" s="29" t="s">
        <v>15</v>
      </c>
      <c r="I45" s="28" t="s">
        <v>379</v>
      </c>
      <c r="J45" s="12" t="str">
        <f t="shared" si="4"/>
        <v>Ninguno</v>
      </c>
      <c r="K45" s="12" t="str">
        <f t="shared" si="5"/>
        <v>Cantidad de Mujeres Atendidas Regional</v>
      </c>
      <c r="L45" s="75" t="str">
        <f t="shared" si="6"/>
        <v>Periodo 2017-2019</v>
      </c>
      <c r="M45" s="12" t="str">
        <f t="shared" si="7"/>
        <v>Número de atenciones</v>
      </c>
      <c r="N45" s="33" t="s">
        <v>5841</v>
      </c>
      <c r="O45" s="27" t="str">
        <f>"Cantidad de mujeres atendidas en Centros de Atención y Reparación para Mujeres Víctimas/Sobrevivientes de Violencia Sexual por tipo de atención en la "&amp;Ingresos_Historicos[[#This Row],[territorio]]</f>
        <v>Cantidad de mujeres atendidas en Centros de Atención y Reparación para Mujeres Víctimas/Sobrevivientes de Violencia Sexual por tipo de atención en la Región Metropolitana</v>
      </c>
      <c r="P45" s="46" t="str">
        <f>+"Gráfico que muestra la cantidad de mujeres atendidas en Centros de Atención y Reparación para Mujeres Víctimas/Sobrevivientes de Violencia Sexual por tipo de atención en la "&amp;Ingresos_Historicos[[#This Row],[territorio]]&amp;", de acuerdo a los datos publicados por el "&amp;Ingresos_Historicos[[#This Row],[fuente]]&amp;" de Chile para el "&amp;Ingresos_Historicos[[#This Row],[temporalidad]]&amp;"."</f>
        <v>Gráfico que muestra la cantidad de mujeres atendidas en Centros de Atención y Reparación para Mujeres Víctimas/Sobrevivientes de Violencia Sexual por tipo de atención en la Región Metropolitana, de acuerdo a los datos publicados por el Servicio Nacional de la Mujer y la Equidad de Género de Chile para el Periodo 2017-2019.</v>
      </c>
      <c r="Q45" s="14" t="str">
        <f t="shared" si="9"/>
        <v>Gráfico</v>
      </c>
      <c r="R45" s="27" t="s">
        <v>5899</v>
      </c>
      <c r="S45" s="15" t="str">
        <f>HYPERLINK("https://analytics.zoho.com/open-view/2395394000007114973?ZOHO_CRITERIA=%2227.12%22.%22C%C3%B3digo_Regi%C3%B3n%22%20%3D%20"&amp;Ingresos_Historicos[[#This Row],[Filtro URL]])</f>
        <v>https://analytics.zoho.com/open-view/2395394000007114973?ZOHO_CRITERIA=%2227.12%22.%22C%C3%B3digo_Regi%C3%B3n%22%20%3D%2013</v>
      </c>
      <c r="T45" s="65" t="s">
        <v>5935</v>
      </c>
      <c r="U45" s="24" t="s">
        <v>397</v>
      </c>
      <c r="V45" s="19" t="str">
        <f>+Ingresos_Historicos[[#This Row],[idcoleccion]]&amp;"-"&amp;Ingresos_Historicos[[#This Row],[id]]</f>
        <v>300-0035</v>
      </c>
      <c r="W45" s="19">
        <f>+VLOOKUP(Ingresos_Historicos[[#This Row],[Filtro URL]],Estructura!$X$4:$Y$366,2,0)</f>
        <v>30200013</v>
      </c>
      <c r="X45" s="19" t="str">
        <f>+VLOOKUP(Ingresos_Historicos[[#This Row],[tema]],Estructura!$A$4:$C$18,3,0)</f>
        <v>T-302</v>
      </c>
      <c r="Y45" s="19" t="str">
        <f>+VLOOKUP(Ingresos_Historicos[[#This Row],[contenido]],Estructura!$E$4:$G$18,3,0)</f>
        <v>C-302</v>
      </c>
      <c r="Z45" s="19" t="str">
        <f>+VLOOKUP(Ingresos_Historicos[[#This Row],[Filtro Integrado]],Estructura!$M$4:$O$367,3,0)</f>
        <v>FI-303</v>
      </c>
      <c r="AA45" s="19" t="str">
        <f>+VLOOKUP(Ingresos_Historicos[[#This Row],[Muestra]],Estructura!$Q$4:$S$194,3,0)</f>
        <v>M-303</v>
      </c>
    </row>
    <row r="46" spans="1:27" ht="61.2" x14ac:dyDescent="0.3">
      <c r="A46" s="71" t="s">
        <v>432</v>
      </c>
      <c r="B46" s="12">
        <f t="shared" si="1"/>
        <v>300</v>
      </c>
      <c r="C46" s="13" t="str">
        <f t="shared" si="2"/>
        <v>Violencia contra la mujer</v>
      </c>
      <c r="D46" s="13" t="str">
        <f t="shared" si="3"/>
        <v>Mujeres</v>
      </c>
      <c r="E46" s="26">
        <v>8</v>
      </c>
      <c r="F46" s="13" t="str">
        <f t="shared" si="10"/>
        <v>Centros de Atención y Reparación para Mujeres Víctimas/Sobrevivientes de Violencia Sexual</v>
      </c>
      <c r="G46" s="13" t="str">
        <f t="shared" si="11"/>
        <v>Centros de Apoyo</v>
      </c>
      <c r="H46" s="29" t="s">
        <v>15</v>
      </c>
      <c r="I46" s="28" t="s">
        <v>374</v>
      </c>
      <c r="J46" s="12" t="str">
        <f t="shared" si="4"/>
        <v>Ninguno</v>
      </c>
      <c r="K46" s="12" t="str">
        <f t="shared" si="5"/>
        <v>Cantidad de Mujeres Atendidas Regional</v>
      </c>
      <c r="L46" s="75" t="str">
        <f t="shared" si="6"/>
        <v>Periodo 2017-2019</v>
      </c>
      <c r="M46" s="12" t="str">
        <f t="shared" si="7"/>
        <v>Número de atenciones</v>
      </c>
      <c r="N46" s="33" t="s">
        <v>5841</v>
      </c>
      <c r="O46" s="27" t="str">
        <f>"Cantidad de mujeres atendidas en Centros de Atención y Reparación para Mujeres Víctimas/Sobrevivientes de Violencia Sexual por tipo de atención en la "&amp;Ingresos_Historicos[[#This Row],[territorio]]</f>
        <v>Cantidad de mujeres atendidas en Centros de Atención y Reparación para Mujeres Víctimas/Sobrevivientes de Violencia Sexual por tipo de atención en la Región del Biobío</v>
      </c>
      <c r="P46" s="46" t="str">
        <f>+"Gráfico que muestra la cantidad de mujeres atendidas en Centros de Atención y Reparación para Mujeres Víctimas/Sobrevivientes de Violencia Sexual por tipo de atención en la "&amp;Ingresos_Historicos[[#This Row],[territorio]]&amp;", de acuerdo a los datos publicados por el "&amp;Ingresos_Historicos[[#This Row],[fuente]]&amp;" de Chile para el "&amp;Ingresos_Historicos[[#This Row],[temporalidad]]&amp;"."</f>
        <v>Gráfico que muestra la cantidad de mujeres atendidas en Centros de Atención y Reparación para Mujeres Víctimas/Sobrevivientes de Violencia Sexual por tipo de atención en la Región del Biobío, de acuerdo a los datos publicados por el Servicio Nacional de la Mujer y la Equidad de Género de Chile para el Periodo 2017-2019.</v>
      </c>
      <c r="Q46" s="14" t="str">
        <f t="shared" si="9"/>
        <v>Gráfico</v>
      </c>
      <c r="R46" s="27" t="s">
        <v>5900</v>
      </c>
      <c r="S46" s="15" t="str">
        <f>HYPERLINK("https://analytics.zoho.com/open-view/2395394000007114973?ZOHO_CRITERIA=%2227.12%22.%22C%C3%B3digo_Regi%C3%B3n%22%20%3D%20"&amp;Ingresos_Historicos[[#This Row],[Filtro URL]])</f>
        <v>https://analytics.zoho.com/open-view/2395394000007114973?ZOHO_CRITERIA=%2227.12%22.%22C%C3%B3digo_Regi%C3%B3n%22%20%3D%208</v>
      </c>
      <c r="T46" s="65" t="s">
        <v>5930</v>
      </c>
      <c r="U46" s="24" t="s">
        <v>397</v>
      </c>
      <c r="V46" s="19" t="str">
        <f>+Ingresos_Historicos[[#This Row],[idcoleccion]]&amp;"-"&amp;Ingresos_Historicos[[#This Row],[id]]</f>
        <v>300-0036</v>
      </c>
      <c r="W46" s="19">
        <f>+VLOOKUP(Ingresos_Historicos[[#This Row],[Filtro URL]],Estructura!$X$4:$Y$366,2,0)</f>
        <v>30200008</v>
      </c>
      <c r="X46" s="19" t="str">
        <f>+VLOOKUP(Ingresos_Historicos[[#This Row],[tema]],Estructura!$A$4:$C$18,3,0)</f>
        <v>T-302</v>
      </c>
      <c r="Y46" s="19" t="str">
        <f>+VLOOKUP(Ingresos_Historicos[[#This Row],[contenido]],Estructura!$E$4:$G$18,3,0)</f>
        <v>C-302</v>
      </c>
      <c r="Z46" s="19" t="str">
        <f>+VLOOKUP(Ingresos_Historicos[[#This Row],[Filtro Integrado]],Estructura!$M$4:$O$367,3,0)</f>
        <v>FI-303</v>
      </c>
      <c r="AA46" s="19" t="str">
        <f>+VLOOKUP(Ingresos_Historicos[[#This Row],[Muestra]],Estructura!$Q$4:$S$194,3,0)</f>
        <v>M-303</v>
      </c>
    </row>
    <row r="47" spans="1:27" ht="61.2" x14ac:dyDescent="0.3">
      <c r="A47" s="32" t="s">
        <v>433</v>
      </c>
      <c r="B47" s="12">
        <f t="shared" si="1"/>
        <v>300</v>
      </c>
      <c r="C47" s="13" t="str">
        <f t="shared" si="2"/>
        <v>Violencia contra la mujer</v>
      </c>
      <c r="D47" s="13" t="str">
        <f t="shared" si="3"/>
        <v>Mujeres</v>
      </c>
      <c r="E47" s="18">
        <v>270110001</v>
      </c>
      <c r="F47" s="13" t="s">
        <v>5955</v>
      </c>
      <c r="G47" s="13" t="str">
        <f t="shared" si="11"/>
        <v>Centros de Apoyo</v>
      </c>
      <c r="H47" s="30" t="s">
        <v>19</v>
      </c>
      <c r="I47" s="31" t="s">
        <v>14</v>
      </c>
      <c r="J47" s="12" t="s">
        <v>15</v>
      </c>
      <c r="K47" s="12" t="s">
        <v>5851</v>
      </c>
      <c r="L47" s="75" t="str">
        <f t="shared" si="6"/>
        <v>Periodo 2017-2019</v>
      </c>
      <c r="M47" s="12" t="str">
        <f t="shared" si="7"/>
        <v>Número de atenciones</v>
      </c>
      <c r="N47" s="33" t="s">
        <v>5841</v>
      </c>
      <c r="O47" s="47" t="s">
        <v>5852</v>
      </c>
      <c r="P47" s="46" t="str">
        <f>+"Gráfico que muestra la cantidad de mujeres atendidas en Centros de Atención y Reparación para Mujeres Víctimas/Sobrevivientes de Violencia Sexual por región en la fase de Orientación e Información (OI), de acuerdo a los datos publicados por el "&amp;Ingresos_Historicos[[#This Row],[fuente]]&amp;" de Chile para el "&amp;Ingresos_Historicos[[#This Row],[temporalidad]]&amp;"."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y la Equidad de Género de Chile para el Periodo 2017-2019.</v>
      </c>
      <c r="Q47" s="14" t="str">
        <f t="shared" si="9"/>
        <v>Gráfico</v>
      </c>
      <c r="R47" s="27" t="s">
        <v>5901</v>
      </c>
      <c r="S47" s="15" t="str">
        <f>HYPERLINK("https://analytics.zoho.com/open-view/2395394000007117231?ZOHO_CRITERIA=%2227.12%22.%22Id_Categor%C3%ADa%22%20%3D%20"&amp;Ingresos_Historicos[[#This Row],[Filtro URL]]&amp;"%0A")</f>
        <v>https://analytics.zoho.com/open-view/2395394000007117231?ZOHO_CRITERIA=%2227.12%22.%22Id_Categor%C3%ADa%22%20%3D%20270110001%0A</v>
      </c>
      <c r="T47" s="65" t="s">
        <v>5906</v>
      </c>
      <c r="U47" s="24" t="s">
        <v>397</v>
      </c>
      <c r="V47" s="19" t="str">
        <f>+Ingresos_Historicos[[#This Row],[idcoleccion]]&amp;"-"&amp;Ingresos_Historicos[[#This Row],[id]]</f>
        <v>300-0037</v>
      </c>
      <c r="W47" s="19" t="e">
        <f>+VLOOKUP(Ingresos_Historicos[[#This Row],[Filtro URL]],Estructura!$X$4:$Y$366,2,0)</f>
        <v>#N/A</v>
      </c>
      <c r="X47" s="19" t="str">
        <f>+VLOOKUP(Ingresos_Historicos[[#This Row],[tema]],Estructura!$A$4:$C$18,3,0)</f>
        <v>T-302</v>
      </c>
      <c r="Y47" s="19" t="str">
        <f>+VLOOKUP(Ingresos_Historicos[[#This Row],[contenido]],Estructura!$E$4:$G$18,3,0)</f>
        <v>C-302</v>
      </c>
      <c r="Z47" s="19" t="str">
        <f>+VLOOKUP(Ingresos_Historicos[[#This Row],[Filtro Integrado]],Estructura!$M$4:$O$367,3,0)</f>
        <v>FI-302</v>
      </c>
      <c r="AA47" s="19" t="str">
        <f>+VLOOKUP(Ingresos_Historicos[[#This Row],[Muestra]],Estructura!$Q$4:$S$194,3,0)</f>
        <v>M-304</v>
      </c>
    </row>
    <row r="48" spans="1:27" ht="61.2" x14ac:dyDescent="0.3">
      <c r="A48" s="32" t="s">
        <v>434</v>
      </c>
      <c r="B48" s="12">
        <f t="shared" si="1"/>
        <v>300</v>
      </c>
      <c r="C48" s="13" t="str">
        <f t="shared" si="2"/>
        <v>Violencia contra la mujer</v>
      </c>
      <c r="D48" s="13" t="str">
        <f t="shared" si="3"/>
        <v>Mujeres</v>
      </c>
      <c r="E48" s="18">
        <v>270110002</v>
      </c>
      <c r="F48" s="13" t="str">
        <f t="shared" si="10"/>
        <v>Centros de Atención y Reparación para Mujeres Víctimas/Sobrevivientes de Violencia Sexual</v>
      </c>
      <c r="G48" s="13" t="str">
        <f t="shared" si="11"/>
        <v>Centros de Apoyo</v>
      </c>
      <c r="H48" s="30" t="s">
        <v>19</v>
      </c>
      <c r="I48" s="31" t="s">
        <v>14</v>
      </c>
      <c r="J48" s="12" t="s">
        <v>15</v>
      </c>
      <c r="K48" s="12" t="str">
        <f t="shared" si="5"/>
        <v>Cantidad de Mujeres Atendidas Nacional</v>
      </c>
      <c r="L48" s="75" t="str">
        <f t="shared" si="6"/>
        <v>Periodo 2017-2019</v>
      </c>
      <c r="M48" s="12" t="str">
        <f t="shared" si="7"/>
        <v>Número de atenciones</v>
      </c>
      <c r="N48" s="33" t="s">
        <v>5841</v>
      </c>
      <c r="O48" s="47" t="s">
        <v>5853</v>
      </c>
      <c r="P48" s="46" t="str">
        <f>+"Gráfico que muestra la cantidad de mujeres atendidas en Centros de Atención y Reparación para Mujeres Víctimas/Sobrevivientes de Violencia Sexual por región en la fase de Atención Reparatoria (AR), de acuerdo a los datos publicados por el "&amp;Ingresos_Historicos[[#This Row],[fuente]]&amp;" de Chile para el "&amp;Ingresos_Historicos[[#This Row],[temporalidad]]&amp;"."</f>
        <v>Gráfico que muestra la cantidad de mujeres atendidas en Centros de Atención y Reparación para Mujeres Víctimas/Sobrevivientes de Violencia Sexual por región en la fase de Atención Reparatoria (AR), de acuerdo a los datos publicados por el Servicio Nacional de la Mujer y la Equidad de Género de Chile para el Periodo 2017-2019.</v>
      </c>
      <c r="Q48" s="14" t="str">
        <f t="shared" si="9"/>
        <v>Gráfico</v>
      </c>
      <c r="R48" s="27" t="s">
        <v>5901</v>
      </c>
      <c r="S48" s="15" t="str">
        <f>HYPERLINK("https://analytics.zoho.com/open-view/2395394000007117231?ZOHO_CRITERIA=%2227.12%22.%22Id_Categor%C3%ADa%22%20%3D%20"&amp;Ingresos_Historicos[[#This Row],[Filtro URL]]&amp;"%0A")</f>
        <v>https://analytics.zoho.com/open-view/2395394000007117231?ZOHO_CRITERIA=%2227.12%22.%22Id_Categor%C3%ADa%22%20%3D%20270110002%0A</v>
      </c>
      <c r="T48" s="65" t="s">
        <v>5906</v>
      </c>
      <c r="U48" s="24" t="s">
        <v>397</v>
      </c>
      <c r="V48" s="19" t="str">
        <f>+Ingresos_Historicos[[#This Row],[idcoleccion]]&amp;"-"&amp;Ingresos_Historicos[[#This Row],[id]]</f>
        <v>300-0038</v>
      </c>
      <c r="W48" s="19" t="e">
        <f>+VLOOKUP(Ingresos_Historicos[[#This Row],[Filtro URL]],Estructura!$X$4:$Y$366,2,0)</f>
        <v>#N/A</v>
      </c>
      <c r="X48" s="19" t="str">
        <f>+VLOOKUP(Ingresos_Historicos[[#This Row],[tema]],Estructura!$A$4:$C$18,3,0)</f>
        <v>T-302</v>
      </c>
      <c r="Y48" s="19" t="str">
        <f>+VLOOKUP(Ingresos_Historicos[[#This Row],[contenido]],Estructura!$E$4:$G$18,3,0)</f>
        <v>C-302</v>
      </c>
      <c r="Z48" s="19" t="str">
        <f>+VLOOKUP(Ingresos_Historicos[[#This Row],[Filtro Integrado]],Estructura!$M$4:$O$367,3,0)</f>
        <v>FI-302</v>
      </c>
      <c r="AA48" s="19" t="str">
        <f>+VLOOKUP(Ingresos_Historicos[[#This Row],[Muestra]],Estructura!$Q$4:$S$194,3,0)</f>
        <v>M-304</v>
      </c>
    </row>
    <row r="49" spans="1:27" ht="81.599999999999994" x14ac:dyDescent="0.3">
      <c r="A49" s="32" t="s">
        <v>435</v>
      </c>
      <c r="B49" s="12">
        <f t="shared" si="1"/>
        <v>300</v>
      </c>
      <c r="C49" s="13" t="str">
        <f t="shared" si="2"/>
        <v>Violencia contra la mujer</v>
      </c>
      <c r="D49" s="13" t="str">
        <f t="shared" si="3"/>
        <v>Mujeres</v>
      </c>
      <c r="E49" s="18">
        <v>270110003</v>
      </c>
      <c r="F49" s="13" t="str">
        <f t="shared" si="10"/>
        <v>Centros de Atención y Reparación para Mujeres Víctimas/Sobrevivientes de Violencia Sexual</v>
      </c>
      <c r="G49" s="13" t="str">
        <f t="shared" si="11"/>
        <v>Centros de Apoyo</v>
      </c>
      <c r="H49" s="30" t="s">
        <v>19</v>
      </c>
      <c r="I49" s="31" t="s">
        <v>14</v>
      </c>
      <c r="J49" s="12" t="str">
        <f t="shared" si="4"/>
        <v>Región</v>
      </c>
      <c r="K49" s="12" t="str">
        <f t="shared" si="5"/>
        <v>Cantidad de Mujeres Atendidas Nacional</v>
      </c>
      <c r="L49" s="75" t="str">
        <f t="shared" si="6"/>
        <v>Periodo 2017-2019</v>
      </c>
      <c r="M49" s="12" t="str">
        <f t="shared" si="7"/>
        <v>Número de atenciones</v>
      </c>
      <c r="N49" s="33" t="s">
        <v>5841</v>
      </c>
      <c r="O49" s="47" t="s">
        <v>5854</v>
      </c>
      <c r="P49" s="46" t="str">
        <f>+"Gráfico que muestra la cantidad de mujeres atendidas en Centros de Atención y Reparación para Mujeres Víctimas/Sobrevivientes de Violencia Sexual que continúan del año anterior por región, de acuerdo a los datos publicados por el "&amp;Ingresos_Historicos[[#This Row],[fuente]]&amp;" de Chile para el "&amp;Ingresos_Historicos[[#This Row],[temporalidad]]&amp;". Las mujeres que continúan del año anterior aún tienen su proceso de intervención vigente."</f>
        <v>Gráfico que muestra la cantidad de mujeres atendidas en Centros de Atención y Reparación para Mujeres Víctimas/Sobrevivientes de Violencia Sexual que continúan del año anterior por región, de acuerdo a los datos publicados por el Servicio Nacional de la Mujer y la Equidad de Género de Chile para el Periodo 2017-2019. Las mujeres que continúan del año anterior aún tienen su proceso de intervención vigente.</v>
      </c>
      <c r="Q49" s="14" t="str">
        <f t="shared" si="9"/>
        <v>Gráfico</v>
      </c>
      <c r="R49" s="27" t="s">
        <v>5901</v>
      </c>
      <c r="S49" s="15" t="str">
        <f>HYPERLINK("https://analytics.zoho.com/open-view/2395394000007117231?ZOHO_CRITERIA=%2227.12%22.%22Id_Categor%C3%ADa%22%20%3D%20"&amp;Ingresos_Historicos[[#This Row],[Filtro URL]]&amp;"%0A")</f>
        <v>https://analytics.zoho.com/open-view/2395394000007117231?ZOHO_CRITERIA=%2227.12%22.%22Id_Categor%C3%ADa%22%20%3D%20270110003%0A</v>
      </c>
      <c r="T49" s="65" t="s">
        <v>5906</v>
      </c>
      <c r="U49" s="24" t="s">
        <v>397</v>
      </c>
      <c r="V49" s="19" t="str">
        <f>+Ingresos_Historicos[[#This Row],[idcoleccion]]&amp;"-"&amp;Ingresos_Historicos[[#This Row],[id]]</f>
        <v>300-0039</v>
      </c>
      <c r="W49" s="19" t="e">
        <f>+VLOOKUP(Ingresos_Historicos[[#This Row],[Filtro URL]],Estructura!$X$4:$Y$366,2,0)</f>
        <v>#N/A</v>
      </c>
      <c r="X49" s="19" t="str">
        <f>+VLOOKUP(Ingresos_Historicos[[#This Row],[tema]],Estructura!$A$4:$C$18,3,0)</f>
        <v>T-302</v>
      </c>
      <c r="Y49" s="19" t="str">
        <f>+VLOOKUP(Ingresos_Historicos[[#This Row],[contenido]],Estructura!$E$4:$G$18,3,0)</f>
        <v>C-302</v>
      </c>
      <c r="Z49" s="19" t="str">
        <f>+VLOOKUP(Ingresos_Historicos[[#This Row],[Filtro Integrado]],Estructura!$M$4:$O$367,3,0)</f>
        <v>FI-302</v>
      </c>
      <c r="AA49" s="19" t="str">
        <f>+VLOOKUP(Ingresos_Historicos[[#This Row],[Muestra]],Estructura!$Q$4:$S$194,3,0)</f>
        <v>M-304</v>
      </c>
    </row>
    <row r="50" spans="1:27" ht="51" x14ac:dyDescent="0.3">
      <c r="A50" s="32" t="s">
        <v>436</v>
      </c>
      <c r="B50" s="12">
        <f t="shared" si="1"/>
        <v>300</v>
      </c>
      <c r="C50" s="13" t="str">
        <f t="shared" si="2"/>
        <v>Violencia contra la mujer</v>
      </c>
      <c r="D50" s="13" t="str">
        <f t="shared" si="3"/>
        <v>Mujeres</v>
      </c>
      <c r="E50" s="18">
        <v>0</v>
      </c>
      <c r="F50" s="13" t="s">
        <v>5956</v>
      </c>
      <c r="G50" s="13" t="str">
        <f t="shared" si="11"/>
        <v>Centros de Apoyo</v>
      </c>
      <c r="H50" s="30" t="s">
        <v>19</v>
      </c>
      <c r="I50" s="31" t="s">
        <v>14</v>
      </c>
      <c r="J50" s="12" t="s">
        <v>398</v>
      </c>
      <c r="K50" s="12" t="s">
        <v>5855</v>
      </c>
      <c r="L50" s="75" t="s">
        <v>5856</v>
      </c>
      <c r="M50" s="12" t="str">
        <f t="shared" si="7"/>
        <v>Número de atenciones</v>
      </c>
      <c r="N50" s="33" t="s">
        <v>5841</v>
      </c>
      <c r="O50" s="27" t="s">
        <v>5857</v>
      </c>
      <c r="P50" s="46" t="str">
        <f>+"Gráfico que muestra la cantidad de registros existentes en Centros de Reeducación de Hombres por tipo de procedimiento, de acuerdo a los datos publicados por el "&amp;Ingresos_Historicos[[#This Row],[fuente]]&amp;" de Chile para el "&amp;Ingresos_Historicos[[#This Row],[temporalidad]]&amp;"."</f>
        <v>Gráfico que muestra la cantidad de registros existentes en Centros de Reeducación de Hombres por tipo de procedimiento, de acuerdo a los datos publicados por el Servicio Nacional de la Mujer y la Equidad de Género de Chile para el Periodo 2015-2019.</v>
      </c>
      <c r="Q50" s="14" t="str">
        <f t="shared" si="9"/>
        <v>Gráfico</v>
      </c>
      <c r="R50" s="27" t="s">
        <v>5902</v>
      </c>
      <c r="S50" s="25" t="str">
        <f>HYPERLINK("https://analytics.zoho.com/open-view/2395394000007149310")</f>
        <v>https://analytics.zoho.com/open-view/2395394000007149310</v>
      </c>
      <c r="T50" s="65">
        <v>0</v>
      </c>
      <c r="U50" s="24" t="s">
        <v>397</v>
      </c>
      <c r="V50" s="19" t="str">
        <f>+Ingresos_Historicos[[#This Row],[idcoleccion]]&amp;"-"&amp;Ingresos_Historicos[[#This Row],[id]]</f>
        <v>300-0040</v>
      </c>
      <c r="W50" s="19">
        <f>+VLOOKUP(Ingresos_Historicos[[#This Row],[Filtro URL]],Estructura!$X$4:$Y$366,2,0)</f>
        <v>30100000</v>
      </c>
      <c r="X50" s="19" t="str">
        <f>+VLOOKUP(Ingresos_Historicos[[#This Row],[tema]],Estructura!$A$4:$C$18,3,0)</f>
        <v>T-303</v>
      </c>
      <c r="Y50" s="19" t="str">
        <f>+VLOOKUP(Ingresos_Historicos[[#This Row],[contenido]],Estructura!$E$4:$G$18,3,0)</f>
        <v>C-302</v>
      </c>
      <c r="Z50" s="19" t="str">
        <f>+VLOOKUP(Ingresos_Historicos[[#This Row],[Filtro Integrado]],Estructura!$M$4:$O$367,3,0)</f>
        <v>FI-303</v>
      </c>
      <c r="AA50" s="19" t="str">
        <f>+VLOOKUP(Ingresos_Historicos[[#This Row],[Muestra]],Estructura!$Q$4:$S$194,3,0)</f>
        <v>M-305</v>
      </c>
    </row>
    <row r="51" spans="1:27" ht="40.799999999999997" x14ac:dyDescent="0.3">
      <c r="A51" s="32" t="s">
        <v>437</v>
      </c>
      <c r="B51" s="12">
        <f t="shared" si="1"/>
        <v>300</v>
      </c>
      <c r="C51" s="13" t="str">
        <f t="shared" si="2"/>
        <v>Violencia contra la mujer</v>
      </c>
      <c r="D51" s="13" t="str">
        <f t="shared" si="3"/>
        <v>Mujeres</v>
      </c>
      <c r="E51" s="18">
        <v>270108</v>
      </c>
      <c r="F51" s="13" t="s">
        <v>5846</v>
      </c>
      <c r="G51" s="13" t="str">
        <f t="shared" si="11"/>
        <v>Centros de Apoyo</v>
      </c>
      <c r="H51" s="30" t="s">
        <v>19</v>
      </c>
      <c r="I51" s="31" t="s">
        <v>14</v>
      </c>
      <c r="J51" s="12" t="s">
        <v>398</v>
      </c>
      <c r="K51" s="12" t="s">
        <v>5851</v>
      </c>
      <c r="L51" s="75" t="s">
        <v>5858</v>
      </c>
      <c r="M51" s="12" t="str">
        <f t="shared" si="7"/>
        <v>Número de atenciones</v>
      </c>
      <c r="N51" s="33" t="s">
        <v>5841</v>
      </c>
      <c r="O51" s="27" t="s">
        <v>5859</v>
      </c>
      <c r="P51" s="42" t="str">
        <f>+"Gráfico que muestra la cantidad de mujeres atendidas por procedimiento en Centros de la Mujer, de acuerdo a los datos publicados por el "&amp;Ingresos_Historicos[[#This Row],[fuente]]&amp;" de Chile para el "&amp;Ingresos_Historicos[[#This Row],[temporalidad]]&amp;"."</f>
        <v>Gráfico que muestra la cantidad de mujeres atendidas por procedimiento en Centros de la Mujer, de acuerdo a los datos publicados por el Servicio Nacional de la Mujer y la Equidad de Género de Chile para el Periodo 2014-2019.</v>
      </c>
      <c r="Q51" s="14" t="str">
        <f t="shared" si="9"/>
        <v>Gráfico</v>
      </c>
      <c r="R51" s="27" t="s">
        <v>5903</v>
      </c>
      <c r="S51" s="15" t="str">
        <f>HYPERLINK("https://analytics.zoho.com/open-view/2395394000006929198?ZOHO_CRITERIA=%22Trasposicion_27.14%22.%22Id_producto%22%20%3D%20"&amp;Ingresos_Historicos[[#This Row],[Filtro URL]]&amp;"%0A")</f>
        <v>https://analytics.zoho.com/open-view/2395394000006929198?ZOHO_CRITERIA=%22Trasposicion_27.14%22.%22Id_producto%22%20%3D%20270108%0A</v>
      </c>
      <c r="T51" s="65">
        <v>0</v>
      </c>
      <c r="U51" s="24" t="s">
        <v>397</v>
      </c>
      <c r="V51" s="19" t="str">
        <f>+Ingresos_Historicos[[#This Row],[idcoleccion]]&amp;"-"&amp;Ingresos_Historicos[[#This Row],[id]]</f>
        <v>300-0041</v>
      </c>
      <c r="W51" s="19" t="e">
        <f>+VLOOKUP(Ingresos_Historicos[[#This Row],[Filtro URL]],Estructura!$X$4:$Y$366,2,0)</f>
        <v>#N/A</v>
      </c>
      <c r="X51" s="19" t="str">
        <f>+VLOOKUP(Ingresos_Historicos[[#This Row],[tema]],Estructura!$A$4:$C$18,3,0)</f>
        <v>T-301</v>
      </c>
      <c r="Y51" s="19" t="str">
        <f>+VLOOKUP(Ingresos_Historicos[[#This Row],[contenido]],Estructura!$E$4:$G$18,3,0)</f>
        <v>C-302</v>
      </c>
      <c r="Z51" s="19" t="str">
        <f>+VLOOKUP(Ingresos_Historicos[[#This Row],[Filtro Integrado]],Estructura!$M$4:$O$367,3,0)</f>
        <v>FI-303</v>
      </c>
      <c r="AA51" s="19" t="str">
        <f>+VLOOKUP(Ingresos_Historicos[[#This Row],[Muestra]],Estructura!$Q$4:$S$194,3,0)</f>
        <v>M-304</v>
      </c>
    </row>
    <row r="52" spans="1:27" ht="40.799999999999997" x14ac:dyDescent="0.3">
      <c r="A52" s="32" t="s">
        <v>438</v>
      </c>
      <c r="B52" s="12">
        <f t="shared" si="1"/>
        <v>300</v>
      </c>
      <c r="C52" s="13" t="str">
        <f t="shared" si="2"/>
        <v>Violencia contra la mujer</v>
      </c>
      <c r="D52" s="13" t="str">
        <f t="shared" si="3"/>
        <v>Mujeres</v>
      </c>
      <c r="E52" s="18">
        <v>270109</v>
      </c>
      <c r="F52" s="13" t="s">
        <v>5957</v>
      </c>
      <c r="G52" s="13" t="str">
        <f t="shared" si="11"/>
        <v>Centros de Apoyo</v>
      </c>
      <c r="H52" s="30" t="s">
        <v>19</v>
      </c>
      <c r="I52" s="31" t="s">
        <v>14</v>
      </c>
      <c r="J52" s="12" t="str">
        <f t="shared" si="4"/>
        <v>Ninguno</v>
      </c>
      <c r="K52" s="12" t="str">
        <f t="shared" si="5"/>
        <v>Cantidad de Mujeres Atendidas Nacional</v>
      </c>
      <c r="L52" s="75" t="str">
        <f t="shared" si="6"/>
        <v>Periodo 2014-2019</v>
      </c>
      <c r="M52" s="12" t="str">
        <f t="shared" si="7"/>
        <v>Número de atenciones</v>
      </c>
      <c r="N52" s="33" t="s">
        <v>5841</v>
      </c>
      <c r="O52" s="27" t="s">
        <v>5860</v>
      </c>
      <c r="P52" s="42" t="str">
        <f>+"Gráfico que muestra la cantidad de mujeres atendidas por procedimiento en Casas de Acogida, de acuerdo a los datos publicados por el "&amp;Ingresos_Historicos[[#This Row],[fuente]]&amp;" de Chile para el "&amp;Ingresos_Historicos[[#This Row],[temporalidad]]&amp;"."</f>
        <v>Gráfico que muestra la cantidad de mujeres atendidas por procedimiento en Casas de Acogida, de acuerdo a los datos publicados por el Servicio Nacional de la Mujer y la Equidad de Género de Chile para el Periodo 2014-2019.</v>
      </c>
      <c r="Q52" s="14" t="str">
        <f t="shared" si="9"/>
        <v>Gráfico</v>
      </c>
      <c r="R52" s="27" t="s">
        <v>5904</v>
      </c>
      <c r="S52" s="15" t="str">
        <f>HYPERLINK("https://analytics.zoho.com/open-view/2395394000006929198?ZOHO_CRITERIA=%22Trasposicion_27.14%22.%22Id_producto%22%20%3D%20"&amp;Ingresos_Historicos[[#This Row],[Filtro URL]]&amp;"%0A")</f>
        <v>https://analytics.zoho.com/open-view/2395394000006929198?ZOHO_CRITERIA=%22Trasposicion_27.14%22.%22Id_producto%22%20%3D%20270109%0A</v>
      </c>
      <c r="T52" s="65">
        <v>0</v>
      </c>
      <c r="U52" s="24" t="s">
        <v>397</v>
      </c>
      <c r="V52" s="19" t="str">
        <f>+Ingresos_Historicos[[#This Row],[idcoleccion]]&amp;"-"&amp;Ingresos_Historicos[[#This Row],[id]]</f>
        <v>300-0042</v>
      </c>
      <c r="W52" s="19" t="e">
        <f>+VLOOKUP(Ingresos_Historicos[[#This Row],[Filtro URL]],Estructura!$X$4:$Y$366,2,0)</f>
        <v>#N/A</v>
      </c>
      <c r="X52" s="19" t="str">
        <f>+VLOOKUP(Ingresos_Historicos[[#This Row],[tema]],Estructura!$A$4:$C$18,3,0)</f>
        <v>T-304</v>
      </c>
      <c r="Y52" s="19" t="str">
        <f>+VLOOKUP(Ingresos_Historicos[[#This Row],[contenido]],Estructura!$E$4:$G$18,3,0)</f>
        <v>C-302</v>
      </c>
      <c r="Z52" s="19" t="str">
        <f>+VLOOKUP(Ingresos_Historicos[[#This Row],[Filtro Integrado]],Estructura!$M$4:$O$367,3,0)</f>
        <v>FI-303</v>
      </c>
      <c r="AA52" s="19" t="str">
        <f>+VLOOKUP(Ingresos_Historicos[[#This Row],[Muestra]],Estructura!$Q$4:$S$194,3,0)</f>
        <v>M-304</v>
      </c>
    </row>
    <row r="53" spans="1:27" ht="40.799999999999997" x14ac:dyDescent="0.3">
      <c r="A53" s="32" t="s">
        <v>439</v>
      </c>
      <c r="B53" s="12">
        <f t="shared" si="1"/>
        <v>300</v>
      </c>
      <c r="C53" s="13" t="str">
        <f t="shared" si="2"/>
        <v>Violencia contra la mujer</v>
      </c>
      <c r="D53" s="13" t="str">
        <f t="shared" si="3"/>
        <v>Mujeres</v>
      </c>
      <c r="E53" s="18">
        <v>270108</v>
      </c>
      <c r="F53" s="13" t="s">
        <v>5846</v>
      </c>
      <c r="G53" s="13" t="str">
        <f t="shared" si="11"/>
        <v>Centros de Apoyo</v>
      </c>
      <c r="H53" s="30" t="s">
        <v>19</v>
      </c>
      <c r="I53" s="31" t="s">
        <v>14</v>
      </c>
      <c r="J53" s="12" t="s">
        <v>398</v>
      </c>
      <c r="K53" s="12" t="str">
        <f t="shared" si="5"/>
        <v>Cantidad de Mujeres Atendidas Nacional</v>
      </c>
      <c r="L53" s="75" t="str">
        <f t="shared" si="6"/>
        <v>Periodo 2014-2019</v>
      </c>
      <c r="M53" s="12" t="str">
        <f t="shared" si="7"/>
        <v>Número de atenciones</v>
      </c>
      <c r="N53" s="33" t="s">
        <v>5841</v>
      </c>
      <c r="O53" s="27" t="s">
        <v>5861</v>
      </c>
      <c r="P53" s="42" t="str">
        <f>+"Gráfico que muestra la cantidad de mujeres atendidas por procedimiento en Centros de la Mujer, de acuerdo a los datos publicados por el "&amp;Ingresos_Historicos[[#This Row],[fuente]]&amp;" de Chile para el "&amp;Ingresos_Historicos[[#This Row],[temporalidad]]&amp;"."</f>
        <v>Gráfico que muestra la cantidad de mujeres atendidas por procedimiento en Centros de la Mujer, de acuerdo a los datos publicados por el Servicio Nacional de la Mujer y la Equidad de Género de Chile para el Periodo 2014-2019.</v>
      </c>
      <c r="Q53" s="14" t="str">
        <f t="shared" si="9"/>
        <v>Gráfico</v>
      </c>
      <c r="R53" s="27" t="s">
        <v>5903</v>
      </c>
      <c r="S53" s="15" t="str">
        <f>HYPERLINK("https://analytics.zoho.com/open-view/2395394000006929327?ZOHO_CRITERIA=%22Trasposicion_27.14%22.%22Id_producto%22%20%3D%20"&amp;E52&amp;"%0A")</f>
        <v>https://analytics.zoho.com/open-view/2395394000006929327?ZOHO_CRITERIA=%22Trasposicion_27.14%22.%22Id_producto%22%20%3D%20270109%0A</v>
      </c>
      <c r="T53" s="65">
        <v>0</v>
      </c>
      <c r="U53" s="24" t="s">
        <v>397</v>
      </c>
      <c r="V53" s="19" t="str">
        <f>+Ingresos_Historicos[[#This Row],[idcoleccion]]&amp;"-"&amp;Ingresos_Historicos[[#This Row],[id]]</f>
        <v>300-0043</v>
      </c>
      <c r="W53" s="19" t="e">
        <f>+VLOOKUP(Ingresos_Historicos[[#This Row],[Filtro URL]],Estructura!$X$4:$Y$366,2,0)</f>
        <v>#N/A</v>
      </c>
      <c r="X53" s="19" t="str">
        <f>+VLOOKUP(Ingresos_Historicos[[#This Row],[tema]],Estructura!$A$4:$C$18,3,0)</f>
        <v>T-301</v>
      </c>
      <c r="Y53" s="19" t="str">
        <f>+VLOOKUP(Ingresos_Historicos[[#This Row],[contenido]],Estructura!$E$4:$G$18,3,0)</f>
        <v>C-302</v>
      </c>
      <c r="Z53" s="19" t="str">
        <f>+VLOOKUP(Ingresos_Historicos[[#This Row],[Filtro Integrado]],Estructura!$M$4:$O$367,3,0)</f>
        <v>FI-303</v>
      </c>
      <c r="AA53" s="19" t="str">
        <f>+VLOOKUP(Ingresos_Historicos[[#This Row],[Muestra]],Estructura!$Q$4:$S$194,3,0)</f>
        <v>M-304</v>
      </c>
    </row>
    <row r="54" spans="1:27" ht="57.6" x14ac:dyDescent="0.3">
      <c r="A54" s="32" t="s">
        <v>440</v>
      </c>
      <c r="B54" s="12">
        <f t="shared" si="1"/>
        <v>300</v>
      </c>
      <c r="C54" s="13" t="str">
        <f t="shared" si="2"/>
        <v>Violencia contra la mujer</v>
      </c>
      <c r="D54" s="13" t="str">
        <f t="shared" si="3"/>
        <v>Mujeres</v>
      </c>
      <c r="E54" s="18">
        <v>270109</v>
      </c>
      <c r="F54" s="13" t="s">
        <v>5957</v>
      </c>
      <c r="G54" s="13" t="str">
        <f t="shared" si="11"/>
        <v>Centros de Apoyo</v>
      </c>
      <c r="H54" s="30" t="s">
        <v>19</v>
      </c>
      <c r="I54" s="31" t="s">
        <v>14</v>
      </c>
      <c r="J54" s="12" t="str">
        <f t="shared" si="4"/>
        <v>Ninguno</v>
      </c>
      <c r="K54" s="12" t="str">
        <f t="shared" si="5"/>
        <v>Cantidad de Mujeres Atendidas Nacional</v>
      </c>
      <c r="L54" s="75" t="str">
        <f t="shared" si="6"/>
        <v>Periodo 2014-2019</v>
      </c>
      <c r="M54" s="12" t="str">
        <f t="shared" si="7"/>
        <v>Número de atenciones</v>
      </c>
      <c r="N54" s="33" t="s">
        <v>5841</v>
      </c>
      <c r="O54" s="27" t="s">
        <v>5862</v>
      </c>
      <c r="P54" s="42" t="str">
        <f>+"Gráfico que muestra la cantidad de mujeres atendidas por procedimiento en Casas de Acogida, de acuerdo a los datos publicados por el "&amp;Ingresos_Historicos[[#This Row],[fuente]]&amp;" de Chile para el "&amp;Ingresos_Historicos[[#This Row],[temporalidad]]&amp;"."</f>
        <v>Gráfico que muestra la cantidad de mujeres atendidas por procedimiento en Casas de Acogida, de acuerdo a los datos publicados por el Servicio Nacional de la Mujer y la Equidad de Género de Chile para el Periodo 2014-2019.</v>
      </c>
      <c r="Q54" s="14" t="str">
        <f t="shared" si="9"/>
        <v>Gráfico</v>
      </c>
      <c r="R54" s="27" t="s">
        <v>5904</v>
      </c>
      <c r="S54" s="25" t="str">
        <f>HYPERLINK("https://analytics.zoho.com/open-view/2395394000006929327?ZOHO_CRITERIA=%22Trasposicion_27.14%22.%22Id_producto%22%20%3D%20"&amp;E53&amp;"%0A")</f>
        <v>https://analytics.zoho.com/open-view/2395394000006929327?ZOHO_CRITERIA=%22Trasposicion_27.14%22.%22Id_producto%22%20%3D%20270108%0A</v>
      </c>
      <c r="T54" s="65">
        <v>0</v>
      </c>
      <c r="U54" s="24" t="s">
        <v>397</v>
      </c>
      <c r="V54" s="19" t="str">
        <f>+Ingresos_Historicos[[#This Row],[idcoleccion]]&amp;"-"&amp;Ingresos_Historicos[[#This Row],[id]]</f>
        <v>300-0044</v>
      </c>
      <c r="W54" s="19" t="e">
        <f>+VLOOKUP(Ingresos_Historicos[[#This Row],[Filtro URL]],Estructura!$X$4:$Y$366,2,0)</f>
        <v>#N/A</v>
      </c>
      <c r="X54" s="19" t="str">
        <f>+VLOOKUP(Ingresos_Historicos[[#This Row],[tema]],Estructura!$A$4:$C$18,3,0)</f>
        <v>T-304</v>
      </c>
      <c r="Y54" s="19" t="str">
        <f>+VLOOKUP(Ingresos_Historicos[[#This Row],[contenido]],Estructura!$E$4:$G$18,3,0)</f>
        <v>C-302</v>
      </c>
      <c r="Z54" s="19" t="str">
        <f>+VLOOKUP(Ingresos_Historicos[[#This Row],[Filtro Integrado]],Estructura!$M$4:$O$367,3,0)</f>
        <v>FI-303</v>
      </c>
      <c r="AA54" s="19" t="str">
        <f>+VLOOKUP(Ingresos_Historicos[[#This Row],[Muestra]],Estructura!$Q$4:$S$194,3,0)</f>
        <v>M-304</v>
      </c>
    </row>
    <row r="55" spans="1:27" ht="40.799999999999997" x14ac:dyDescent="0.3">
      <c r="A55" s="32" t="s">
        <v>441</v>
      </c>
      <c r="B55" s="12">
        <f t="shared" si="1"/>
        <v>300</v>
      </c>
      <c r="C55" s="13" t="str">
        <f t="shared" si="2"/>
        <v>Violencia contra la mujer</v>
      </c>
      <c r="D55" s="13" t="str">
        <f t="shared" si="3"/>
        <v>Mujeres</v>
      </c>
      <c r="E55" s="18">
        <v>1</v>
      </c>
      <c r="F55" s="13" t="s">
        <v>5863</v>
      </c>
      <c r="G55" s="13" t="str">
        <f t="shared" si="11"/>
        <v>Centros de Apoyo</v>
      </c>
      <c r="H55" s="30" t="s">
        <v>19</v>
      </c>
      <c r="I55" s="31" t="s">
        <v>14</v>
      </c>
      <c r="J55" s="12" t="s">
        <v>398</v>
      </c>
      <c r="K55" s="12" t="str">
        <f t="shared" si="5"/>
        <v>Cantidad de Mujeres Atendidas Nacional</v>
      </c>
      <c r="L55" s="75" t="str">
        <f t="shared" si="6"/>
        <v>Periodo 2014-2019</v>
      </c>
      <c r="M55" s="12" t="str">
        <f t="shared" si="7"/>
        <v>Número de atenciones</v>
      </c>
      <c r="N55" s="33" t="s">
        <v>5841</v>
      </c>
      <c r="O55" s="27" t="s">
        <v>7574</v>
      </c>
      <c r="P55" s="42" t="str">
        <f>+"Gráfico que muestra la cantidad de mujeres atendidas por procedimiento en la fase de Atención, de acuerdo a los datos publicados por el "&amp;Ingresos_Historicos[[#This Row],[fuente]]&amp;" de Chile para el "&amp;Ingresos_Historicos[[#This Row],[temporalidad]]&amp;"."</f>
        <v>Gráfico que muestra la cantidad de mujeres atendidas por procedimiento en la fase de Atención, de acuerdo a los datos publicados por el Servicio Nacional de la Mujer y la Equidad de Género de Chile para el Periodo 2014-2019.</v>
      </c>
      <c r="Q55" s="14" t="str">
        <f t="shared" si="9"/>
        <v>Gráfico</v>
      </c>
      <c r="R55" s="27" t="s">
        <v>5905</v>
      </c>
      <c r="S55" s="15" t="str">
        <f>HYPERLINK("https://analytics.zoho.com/open-view/2395394000006929437?ZOHO_CRITERIA=%22Trasposicion_27.14%22.%22Id_Tipo_de_Procedimiento%22%20%3D%20"&amp;Ingresos_Historicos[[#This Row],[Filtro URL]]&amp;"%0A")</f>
        <v>https://analytics.zoho.com/open-view/2395394000006929437?ZOHO_CRITERIA=%22Trasposicion_27.14%22.%22Id_Tipo_de_Procedimiento%22%20%3D%201%0A</v>
      </c>
      <c r="T55" s="65">
        <v>0</v>
      </c>
      <c r="U55" s="24" t="s">
        <v>397</v>
      </c>
      <c r="V55" s="19" t="str">
        <f>+Ingresos_Historicos[[#This Row],[idcoleccion]]&amp;"-"&amp;Ingresos_Historicos[[#This Row],[id]]</f>
        <v>300-0045</v>
      </c>
      <c r="W55" s="19">
        <f>+VLOOKUP(Ingresos_Historicos[[#This Row],[Filtro URL]],Estructura!$X$4:$Y$366,2,0)</f>
        <v>30200001</v>
      </c>
      <c r="X55" s="19" t="str">
        <f>+VLOOKUP(Ingresos_Historicos[[#This Row],[tema]],Estructura!$A$4:$C$18,3,0)</f>
        <v>T-305</v>
      </c>
      <c r="Y55" s="19" t="str">
        <f>+VLOOKUP(Ingresos_Historicos[[#This Row],[contenido]],Estructura!$E$4:$G$18,3,0)</f>
        <v>C-302</v>
      </c>
      <c r="Z55" s="19" t="str">
        <f>+VLOOKUP(Ingresos_Historicos[[#This Row],[Filtro Integrado]],Estructura!$M$4:$O$367,3,0)</f>
        <v>FI-303</v>
      </c>
      <c r="AA55" s="19" t="str">
        <f>+VLOOKUP(Ingresos_Historicos[[#This Row],[Muestra]],Estructura!$Q$4:$S$194,3,0)</f>
        <v>M-304</v>
      </c>
    </row>
    <row r="56" spans="1:27" ht="40.799999999999997" x14ac:dyDescent="0.3">
      <c r="A56" s="32" t="s">
        <v>442</v>
      </c>
      <c r="B56" s="12">
        <f t="shared" si="1"/>
        <v>300</v>
      </c>
      <c r="C56" s="13" t="str">
        <f t="shared" si="2"/>
        <v>Violencia contra la mujer</v>
      </c>
      <c r="D56" s="13" t="str">
        <f t="shared" si="3"/>
        <v>Mujeres</v>
      </c>
      <c r="E56" s="18">
        <v>2</v>
      </c>
      <c r="F56" s="13" t="str">
        <f t="shared" si="10"/>
        <v>Atenciones por procedimiento</v>
      </c>
      <c r="G56" s="13" t="str">
        <f t="shared" si="11"/>
        <v>Centros de Apoyo</v>
      </c>
      <c r="H56" s="30" t="s">
        <v>19</v>
      </c>
      <c r="I56" s="31" t="s">
        <v>14</v>
      </c>
      <c r="J56" s="12" t="str">
        <f t="shared" si="4"/>
        <v>Ninguno</v>
      </c>
      <c r="K56" s="12" t="str">
        <f t="shared" si="5"/>
        <v>Cantidad de Mujeres Atendidas Nacional</v>
      </c>
      <c r="L56" s="75" t="str">
        <f t="shared" si="6"/>
        <v>Periodo 2014-2019</v>
      </c>
      <c r="M56" s="12" t="str">
        <f t="shared" si="7"/>
        <v>Número de atenciones</v>
      </c>
      <c r="N56" s="33" t="s">
        <v>5841</v>
      </c>
      <c r="O56" s="27" t="s">
        <v>7571</v>
      </c>
      <c r="P56" s="42" t="str">
        <f>+"Gráfico que muestra la cantidad de mujeres atendidas por procedimiento en la fase de Ingreso, de acuerdo a los datos publicados por el "&amp;Ingresos_Historicos[[#This Row],[fuente]]&amp;" de Chile para el "&amp;Ingresos_Historicos[[#This Row],[temporalidad]]&amp;"."</f>
        <v>Gráfico que muestra la cantidad de mujeres atendidas por procedimiento en la fase de Ingreso, de acuerdo a los datos publicados por el Servicio Nacional de la Mujer y la Equidad de Género de Chile para el Periodo 2014-2019.</v>
      </c>
      <c r="Q56" s="14" t="str">
        <f t="shared" si="9"/>
        <v>Gráfico</v>
      </c>
      <c r="R56" s="27" t="s">
        <v>5905</v>
      </c>
      <c r="S56" s="15" t="str">
        <f>HYPERLINK("https://analytics.zoho.com/open-view/2395394000006929437?ZOHO_CRITERIA=%22Trasposicion_27.14%22.%22Id_Tipo_de_Procedimiento%22%20%3D%20"&amp;Ingresos_Historicos[[#This Row],[Filtro URL]]&amp;"%0A")</f>
        <v>https://analytics.zoho.com/open-view/2395394000006929437?ZOHO_CRITERIA=%22Trasposicion_27.14%22.%22Id_Tipo_de_Procedimiento%22%20%3D%202%0A</v>
      </c>
      <c r="T56" s="65">
        <v>0</v>
      </c>
      <c r="U56" s="24" t="s">
        <v>397</v>
      </c>
      <c r="V56" s="19" t="str">
        <f>+Ingresos_Historicos[[#This Row],[idcoleccion]]&amp;"-"&amp;Ingresos_Historicos[[#This Row],[id]]</f>
        <v>300-0046</v>
      </c>
      <c r="W56" s="19">
        <f>+VLOOKUP(Ingresos_Historicos[[#This Row],[Filtro URL]],Estructura!$X$4:$Y$366,2,0)</f>
        <v>30200002</v>
      </c>
      <c r="X56" s="19" t="str">
        <f>+VLOOKUP(Ingresos_Historicos[[#This Row],[tema]],Estructura!$A$4:$C$18,3,0)</f>
        <v>T-305</v>
      </c>
      <c r="Y56" s="19" t="str">
        <f>+VLOOKUP(Ingresos_Historicos[[#This Row],[contenido]],Estructura!$E$4:$G$18,3,0)</f>
        <v>C-302</v>
      </c>
      <c r="Z56" s="19" t="str">
        <f>+VLOOKUP(Ingresos_Historicos[[#This Row],[Filtro Integrado]],Estructura!$M$4:$O$367,3,0)</f>
        <v>FI-303</v>
      </c>
      <c r="AA56" s="19" t="str">
        <f>+VLOOKUP(Ingresos_Historicos[[#This Row],[Muestra]],Estructura!$Q$4:$S$194,3,0)</f>
        <v>M-304</v>
      </c>
    </row>
    <row r="57" spans="1:27" ht="40.799999999999997" x14ac:dyDescent="0.3">
      <c r="A57" s="32" t="s">
        <v>443</v>
      </c>
      <c r="B57" s="12">
        <f t="shared" si="1"/>
        <v>300</v>
      </c>
      <c r="C57" s="13" t="str">
        <f t="shared" si="2"/>
        <v>Violencia contra la mujer</v>
      </c>
      <c r="D57" s="13" t="str">
        <f t="shared" si="3"/>
        <v>Mujeres</v>
      </c>
      <c r="E57" s="18">
        <v>3</v>
      </c>
      <c r="F57" s="13" t="str">
        <f t="shared" si="10"/>
        <v>Atenciones por procedimiento</v>
      </c>
      <c r="G57" s="13" t="str">
        <f t="shared" si="11"/>
        <v>Centros de Apoyo</v>
      </c>
      <c r="H57" s="30" t="s">
        <v>19</v>
      </c>
      <c r="I57" s="31" t="s">
        <v>14</v>
      </c>
      <c r="J57" s="12" t="str">
        <f t="shared" si="4"/>
        <v>Ninguno</v>
      </c>
      <c r="K57" s="12" t="str">
        <f t="shared" si="5"/>
        <v>Cantidad de Mujeres Atendidas Nacional</v>
      </c>
      <c r="L57" s="75" t="str">
        <f t="shared" si="6"/>
        <v>Periodo 2014-2019</v>
      </c>
      <c r="M57" s="12" t="str">
        <f t="shared" si="7"/>
        <v>Número de atenciones</v>
      </c>
      <c r="N57" s="33" t="s">
        <v>5841</v>
      </c>
      <c r="O57" s="27" t="s">
        <v>7572</v>
      </c>
      <c r="P57" s="42" t="str">
        <f>+"Gráfico que muestra la cantidad de mujeres atendidas por procedimiento en la fase de Pre Ingreso, de acuerdo a los datos publicados por el "&amp;Ingresos_Historicos[[#This Row],[fuente]]&amp;" de Chile para el "&amp;Ingresos_Historicos[[#This Row],[temporalidad]]&amp;"."</f>
        <v>Gráfico que muestra la cantidad de mujeres atendidas por procedimiento en la fase de Pre Ingreso, de acuerdo a los datos publicados por el Servicio Nacional de la Mujer y la Equidad de Género de Chile para el Periodo 2014-2019.</v>
      </c>
      <c r="Q57" s="14" t="str">
        <f t="shared" si="9"/>
        <v>Gráfico</v>
      </c>
      <c r="R57" s="27" t="s">
        <v>5905</v>
      </c>
      <c r="S57" s="15" t="str">
        <f>HYPERLINK("https://analytics.zoho.com/open-view/2395394000006929437?ZOHO_CRITERIA=%22Trasposicion_27.14%22.%22Id_Tipo_de_Procedimiento%22%20%3D%20"&amp;Ingresos_Historicos[[#This Row],[Filtro URL]]&amp;"%0A")</f>
        <v>https://analytics.zoho.com/open-view/2395394000006929437?ZOHO_CRITERIA=%22Trasposicion_27.14%22.%22Id_Tipo_de_Procedimiento%22%20%3D%203%0A</v>
      </c>
      <c r="T57" s="65">
        <v>0</v>
      </c>
      <c r="U57" s="24" t="s">
        <v>397</v>
      </c>
      <c r="V57" s="19" t="str">
        <f>+Ingresos_Historicos[[#This Row],[idcoleccion]]&amp;"-"&amp;Ingresos_Historicos[[#This Row],[id]]</f>
        <v>300-0047</v>
      </c>
      <c r="W57" s="19">
        <f>+VLOOKUP(Ingresos_Historicos[[#This Row],[Filtro URL]],Estructura!$X$4:$Y$366,2,0)</f>
        <v>30200003</v>
      </c>
      <c r="X57" s="19" t="str">
        <f>+VLOOKUP(Ingresos_Historicos[[#This Row],[tema]],Estructura!$A$4:$C$18,3,0)</f>
        <v>T-305</v>
      </c>
      <c r="Y57" s="19" t="str">
        <f>+VLOOKUP(Ingresos_Historicos[[#This Row],[contenido]],Estructura!$E$4:$G$18,3,0)</f>
        <v>C-302</v>
      </c>
      <c r="Z57" s="19" t="str">
        <f>+VLOOKUP(Ingresos_Historicos[[#This Row],[Filtro Integrado]],Estructura!$M$4:$O$367,3,0)</f>
        <v>FI-303</v>
      </c>
      <c r="AA57" s="19" t="str">
        <f>+VLOOKUP(Ingresos_Historicos[[#This Row],[Muestra]],Estructura!$Q$4:$S$194,3,0)</f>
        <v>M-304</v>
      </c>
    </row>
    <row r="58" spans="1:27" ht="40.799999999999997" x14ac:dyDescent="0.3">
      <c r="A58" s="32" t="s">
        <v>444</v>
      </c>
      <c r="B58" s="12">
        <f t="shared" si="1"/>
        <v>300</v>
      </c>
      <c r="C58" s="13" t="str">
        <f t="shared" si="2"/>
        <v>Violencia contra la mujer</v>
      </c>
      <c r="D58" s="13" t="str">
        <f t="shared" si="3"/>
        <v>Mujeres</v>
      </c>
      <c r="E58" s="18">
        <v>4</v>
      </c>
      <c r="F58" s="13" t="str">
        <f t="shared" si="10"/>
        <v>Atenciones por procedimiento</v>
      </c>
      <c r="G58" s="13" t="str">
        <f t="shared" si="11"/>
        <v>Centros de Apoyo</v>
      </c>
      <c r="H58" s="30" t="s">
        <v>19</v>
      </c>
      <c r="I58" s="31" t="s">
        <v>14</v>
      </c>
      <c r="J58" s="12" t="str">
        <f t="shared" si="4"/>
        <v>Ninguno</v>
      </c>
      <c r="K58" s="12" t="str">
        <f t="shared" si="5"/>
        <v>Cantidad de Mujeres Atendidas Nacional</v>
      </c>
      <c r="L58" s="75" t="str">
        <f t="shared" si="6"/>
        <v>Periodo 2014-2019</v>
      </c>
      <c r="M58" s="12" t="str">
        <f t="shared" si="7"/>
        <v>Número de atenciones</v>
      </c>
      <c r="N58" s="33" t="s">
        <v>5841</v>
      </c>
      <c r="O58" s="27" t="s">
        <v>7573</v>
      </c>
      <c r="P58" s="42" t="str">
        <f>+"Gráfico que muestra la cantidad de mujeres atendidas por procedimiento en la fase de Salida, de acuerdo a los datos publicados por el "&amp;Ingresos_Historicos[[#This Row],[fuente]]&amp;" de Chile para el "&amp;Ingresos_Historicos[[#This Row],[temporalidad]]&amp;"."</f>
        <v>Gráfico que muestra la cantidad de mujeres atendidas por procedimiento en la fase de Salida, de acuerdo a los datos publicados por el Servicio Nacional de la Mujer y la Equidad de Género de Chile para el Periodo 2014-2019.</v>
      </c>
      <c r="Q58" s="14" t="str">
        <f t="shared" si="9"/>
        <v>Gráfico</v>
      </c>
      <c r="R58" s="27" t="s">
        <v>5905</v>
      </c>
      <c r="S58" s="15" t="str">
        <f>HYPERLINK("https://analytics.zoho.com/open-view/2395394000006929437?ZOHO_CRITERIA=%22Trasposicion_27.14%22.%22Id_Tipo_de_Procedimiento%22%20%3D%20"&amp;Ingresos_Historicos[[#This Row],[Filtro URL]]&amp;"%0A")</f>
        <v>https://analytics.zoho.com/open-view/2395394000006929437?ZOHO_CRITERIA=%22Trasposicion_27.14%22.%22Id_Tipo_de_Procedimiento%22%20%3D%204%0A</v>
      </c>
      <c r="T58" s="65">
        <v>0</v>
      </c>
      <c r="U58" s="24" t="s">
        <v>397</v>
      </c>
      <c r="V58" s="19" t="str">
        <f>+Ingresos_Historicos[[#This Row],[idcoleccion]]&amp;"-"&amp;Ingresos_Historicos[[#This Row],[id]]</f>
        <v>300-0048</v>
      </c>
      <c r="W58" s="19">
        <f>+VLOOKUP(Ingresos_Historicos[[#This Row],[Filtro URL]],Estructura!$X$4:$Y$366,2,0)</f>
        <v>30200004</v>
      </c>
      <c r="X58" s="19" t="str">
        <f>+VLOOKUP(Ingresos_Historicos[[#This Row],[tema]],Estructura!$A$4:$C$18,3,0)</f>
        <v>T-305</v>
      </c>
      <c r="Y58" s="19" t="str">
        <f>+VLOOKUP(Ingresos_Historicos[[#This Row],[contenido]],Estructura!$E$4:$G$18,3,0)</f>
        <v>C-302</v>
      </c>
      <c r="Z58" s="19" t="str">
        <f>+VLOOKUP(Ingresos_Historicos[[#This Row],[Filtro Integrado]],Estructura!$M$4:$O$367,3,0)</f>
        <v>FI-303</v>
      </c>
      <c r="AA58" s="19" t="str">
        <f>+VLOOKUP(Ingresos_Historicos[[#This Row],[Muestra]],Estructura!$Q$4:$S$194,3,0)</f>
        <v>M-304</v>
      </c>
    </row>
    <row r="59" spans="1:27" ht="36" x14ac:dyDescent="0.3">
      <c r="A59" s="32" t="s">
        <v>445</v>
      </c>
      <c r="B59" s="56">
        <v>300</v>
      </c>
      <c r="C59" s="57" t="s">
        <v>5839</v>
      </c>
      <c r="D59" s="57" t="s">
        <v>5847</v>
      </c>
      <c r="E59" s="18">
        <v>0</v>
      </c>
      <c r="F59" s="57" t="s">
        <v>5846</v>
      </c>
      <c r="G59" s="58" t="s">
        <v>7570</v>
      </c>
      <c r="H59" s="30" t="s">
        <v>19</v>
      </c>
      <c r="I59" s="59" t="s">
        <v>14</v>
      </c>
      <c r="J59" s="56" t="s">
        <v>17</v>
      </c>
      <c r="K59" s="56" t="s">
        <v>5843</v>
      </c>
      <c r="L59" s="76" t="s">
        <v>5840</v>
      </c>
      <c r="M59" s="56" t="s">
        <v>5864</v>
      </c>
      <c r="N59" s="60" t="s">
        <v>5841</v>
      </c>
      <c r="O59" s="34" t="s">
        <v>5948</v>
      </c>
      <c r="P59" s="61" t="s">
        <v>5949</v>
      </c>
      <c r="Q59" s="62" t="s">
        <v>5842</v>
      </c>
      <c r="R59" s="34" t="s">
        <v>5950</v>
      </c>
      <c r="S59" s="64" t="str">
        <f>HYPERLINK("https://analytics.zoho.com/open-view/2395394000006849227")</f>
        <v>https://analytics.zoho.com/open-view/2395394000006849227</v>
      </c>
      <c r="T59" s="66" t="s">
        <v>5951</v>
      </c>
      <c r="U59" s="24" t="s">
        <v>397</v>
      </c>
      <c r="V59" s="19" t="str">
        <f>+Ingresos_Historicos[[#This Row],[idcoleccion]]&amp;"-"&amp;Ingresos_Historicos[[#This Row],[id]]</f>
        <v>300-0049</v>
      </c>
      <c r="W59" s="19">
        <f>+VLOOKUP(Ingresos_Historicos[[#This Row],[Filtro URL]],Estructura!$X$4:$Y$366,2,0)</f>
        <v>30100000</v>
      </c>
      <c r="X59" s="19" t="str">
        <f>+VLOOKUP(Ingresos_Historicos[[#This Row],[tema]],Estructura!$A$4:$C$18,3,0)</f>
        <v>T-301</v>
      </c>
      <c r="Y59" s="19" t="str">
        <f>+VLOOKUP(Ingresos_Historicos[[#This Row],[contenido]],Estructura!$E$4:$G$18,3,0)</f>
        <v>C-302</v>
      </c>
      <c r="Z59" s="19" t="str">
        <f>+VLOOKUP(Ingresos_Historicos[[#This Row],[Filtro Integrado]],Estructura!$M$4:$O$367,3,0)</f>
        <v>FI-301</v>
      </c>
      <c r="AA59" s="19" t="str">
        <f>+VLOOKUP(Ingresos_Historicos[[#This Row],[Muestra]],Estructura!$Q$4:$S$194,3,0)</f>
        <v>M-301</v>
      </c>
    </row>
    <row r="60" spans="1:27" ht="48.75" customHeight="1" x14ac:dyDescent="0.3">
      <c r="A60" s="32" t="s">
        <v>446</v>
      </c>
      <c r="B60" s="12">
        <v>300</v>
      </c>
      <c r="C60" s="13" t="s">
        <v>5839</v>
      </c>
      <c r="D60" s="13" t="s">
        <v>5847</v>
      </c>
      <c r="E60" s="18">
        <v>0</v>
      </c>
      <c r="F60" s="13" t="s">
        <v>5846</v>
      </c>
      <c r="G60" s="55" t="s">
        <v>7570</v>
      </c>
      <c r="H60" s="30" t="s">
        <v>19</v>
      </c>
      <c r="I60" s="31" t="s">
        <v>14</v>
      </c>
      <c r="J60" s="12" t="s">
        <v>15</v>
      </c>
      <c r="K60" s="12" t="s">
        <v>5843</v>
      </c>
      <c r="L60" s="75" t="s">
        <v>5840</v>
      </c>
      <c r="M60" s="12" t="s">
        <v>5864</v>
      </c>
      <c r="N60" s="33" t="s">
        <v>5841</v>
      </c>
      <c r="O60" s="27" t="s">
        <v>5953</v>
      </c>
      <c r="P60" s="42" t="str">
        <f>"Gráfico que muestra la cantidad de Centros de la Mujer por tipo de atención en  "&amp;Ingresos_Historicos[[#This Row],[territorio]]&amp;", de acuerdo a los datos publicados por el "&amp;N50&amp;" para el "&amp;L50&amp;"."</f>
        <v>Gráfico que muestra la cantidad de Centros de la Mujer por tipo de atención en  Chile, de acuerdo a los datos publicados por el Servicio Nacional de la Mujer y la Equidad de Género para el Periodo 2015-2019.</v>
      </c>
      <c r="Q60" s="14" t="str">
        <f>+Q59</f>
        <v>Gráfico</v>
      </c>
      <c r="R60" s="27" t="s">
        <v>5954</v>
      </c>
      <c r="S60" s="25" t="str">
        <f>HYPERLINK("https://analytics.zoho.com/open-view/2395394000006849284")</f>
        <v>https://analytics.zoho.com/open-view/2395394000006849284</v>
      </c>
      <c r="T60" s="65" t="s">
        <v>5906</v>
      </c>
      <c r="U60" s="24" t="s">
        <v>397</v>
      </c>
      <c r="V60" s="19" t="str">
        <f>+Ingresos_Historicos[[#This Row],[idcoleccion]]&amp;"-"&amp;Ingresos_Historicos[[#This Row],[id]]</f>
        <v>300-0050</v>
      </c>
      <c r="W60" s="19">
        <f>+VLOOKUP(Ingresos_Historicos[[#This Row],[Filtro URL]],Estructura!$X$4:$Y$366,2,0)</f>
        <v>30100000</v>
      </c>
      <c r="X60" s="19" t="str">
        <f>+VLOOKUP(Ingresos_Historicos[[#This Row],[tema]],Estructura!$A$4:$C$18,3,0)</f>
        <v>T-301</v>
      </c>
      <c r="Y60" s="19" t="str">
        <f>+VLOOKUP(Ingresos_Historicos[[#This Row],[contenido]],Estructura!$E$4:$G$18,3,0)</f>
        <v>C-302</v>
      </c>
      <c r="Z60" s="19" t="str">
        <f>+VLOOKUP(Ingresos_Historicos[[#This Row],[Filtro Integrado]],Estructura!$M$4:$O$367,3,0)</f>
        <v>FI-302</v>
      </c>
      <c r="AA60" s="19" t="str">
        <f>+VLOOKUP(Ingresos_Historicos[[#This Row],[Muestra]],Estructura!$Q$4:$S$194,3,0)</f>
        <v>M-301</v>
      </c>
    </row>
    <row r="61" spans="1:27" ht="51" x14ac:dyDescent="0.3">
      <c r="A61" s="32" t="s">
        <v>447</v>
      </c>
      <c r="B61" s="12">
        <v>300</v>
      </c>
      <c r="C61" s="13" t="s">
        <v>5839</v>
      </c>
      <c r="D61" s="13" t="s">
        <v>5847</v>
      </c>
      <c r="E61" s="18">
        <v>0</v>
      </c>
      <c r="F61" s="13" t="s">
        <v>5959</v>
      </c>
      <c r="G61" s="55" t="s">
        <v>5960</v>
      </c>
      <c r="H61" s="30" t="s">
        <v>19</v>
      </c>
      <c r="I61" s="31" t="s">
        <v>14</v>
      </c>
      <c r="J61" s="12" t="s">
        <v>15</v>
      </c>
      <c r="K61" s="12" t="s">
        <v>5961</v>
      </c>
      <c r="L61" s="12" t="s">
        <v>5962</v>
      </c>
      <c r="M61" s="12" t="s">
        <v>5963</v>
      </c>
      <c r="N61" s="33" t="s">
        <v>5964</v>
      </c>
      <c r="O61" s="27" t="s">
        <v>5965</v>
      </c>
      <c r="P61" s="42" t="s">
        <v>5966</v>
      </c>
      <c r="Q61" s="14" t="s">
        <v>5967</v>
      </c>
      <c r="R61" s="77" t="s">
        <v>5968</v>
      </c>
      <c r="S61" s="15" t="s">
        <v>6749</v>
      </c>
      <c r="T61" s="65" t="s">
        <v>5906</v>
      </c>
      <c r="U61" s="24" t="s">
        <v>397</v>
      </c>
      <c r="V61" s="19" t="str">
        <f>+Ingresos_Historicos[[#This Row],[idcoleccion]]&amp;"-"&amp;Ingresos_Historicos[[#This Row],[id]]</f>
        <v>300-0051</v>
      </c>
      <c r="W61" s="19">
        <f>+VLOOKUP(Ingresos_Historicos[[#This Row],[Filtro URL]],Estructura!$X$4:$Y$366,2,0)</f>
        <v>30100000</v>
      </c>
      <c r="X61" s="19" t="str">
        <f>+VLOOKUP(Ingresos_Historicos[[#This Row],[tema]],Estructura!$A$4:$C$18,3,0)</f>
        <v>T-306</v>
      </c>
      <c r="Y61" s="19" t="str">
        <f>+VLOOKUP(Ingresos_Historicos[[#This Row],[contenido]],Estructura!$E$4:$G$18,3,0)</f>
        <v>C-301</v>
      </c>
      <c r="Z61" s="19" t="str">
        <f>+VLOOKUP(Ingresos_Historicos[[#This Row],[Filtro Integrado]],Estructura!$M$4:$O$367,3,0)</f>
        <v>FI-302</v>
      </c>
      <c r="AA61" s="19" t="str">
        <f>+VLOOKUP(Ingresos_Historicos[[#This Row],[Muestra]],Estructura!$Q$4:$S$194,3,0)</f>
        <v>M-306</v>
      </c>
    </row>
    <row r="62" spans="1:27" ht="51" x14ac:dyDescent="0.3">
      <c r="A62" s="32" t="s">
        <v>448</v>
      </c>
      <c r="B62" s="12">
        <f>+B61</f>
        <v>300</v>
      </c>
      <c r="C62" s="13" t="str">
        <f>+C61</f>
        <v>Violencia contra la mujer</v>
      </c>
      <c r="D62" s="13" t="str">
        <f>+D61</f>
        <v>Mujeres</v>
      </c>
      <c r="E62" s="18">
        <v>0</v>
      </c>
      <c r="F62" s="13" t="s">
        <v>5959</v>
      </c>
      <c r="G62" s="55" t="s">
        <v>5960</v>
      </c>
      <c r="H62" s="30" t="s">
        <v>19</v>
      </c>
      <c r="I62" s="31" t="s">
        <v>14</v>
      </c>
      <c r="J62" s="12" t="s">
        <v>398</v>
      </c>
      <c r="K62" s="12" t="s">
        <v>5961</v>
      </c>
      <c r="L62" s="12" t="str">
        <f>+L61</f>
        <v>Periodo 2013-2019</v>
      </c>
      <c r="M62" s="12" t="str">
        <f>+M61</f>
        <v>Número de sentencias</v>
      </c>
      <c r="N62" s="33" t="s">
        <v>5964</v>
      </c>
      <c r="O62" s="27" t="s">
        <v>5969</v>
      </c>
      <c r="P62" s="42" t="s">
        <v>5970</v>
      </c>
      <c r="Q62" s="14" t="s">
        <v>5967</v>
      </c>
      <c r="R62" s="77" t="s">
        <v>5971</v>
      </c>
      <c r="S62" s="15" t="s">
        <v>6750</v>
      </c>
      <c r="T62" s="65" t="s">
        <v>5951</v>
      </c>
      <c r="U62" s="24" t="s">
        <v>397</v>
      </c>
      <c r="V62" s="19" t="str">
        <f>+Ingresos_Historicos[[#This Row],[idcoleccion]]&amp;"-"&amp;Ingresos_Historicos[[#This Row],[id]]</f>
        <v>300-0052</v>
      </c>
      <c r="W62" s="19">
        <f>+VLOOKUP(Ingresos_Historicos[[#This Row],[Filtro URL]],Estructura!$X$4:$Y$366,2,0)</f>
        <v>30100000</v>
      </c>
      <c r="X62" s="19" t="str">
        <f>+VLOOKUP(Ingresos_Historicos[[#This Row],[tema]],Estructura!$A$4:$C$18,3,0)</f>
        <v>T-306</v>
      </c>
      <c r="Y62" s="19" t="str">
        <f>+VLOOKUP(Ingresos_Historicos[[#This Row],[contenido]],Estructura!$E$4:$G$18,3,0)</f>
        <v>C-301</v>
      </c>
      <c r="Z62" s="19" t="str">
        <f>+VLOOKUP(Ingresos_Historicos[[#This Row],[Filtro Integrado]],Estructura!$M$4:$O$367,3,0)</f>
        <v>FI-303</v>
      </c>
      <c r="AA62" s="19" t="str">
        <f>+VLOOKUP(Ingresos_Historicos[[#This Row],[Muestra]],Estructura!$Q$4:$S$194,3,0)</f>
        <v>M-306</v>
      </c>
    </row>
    <row r="63" spans="1:27" ht="40.799999999999997" x14ac:dyDescent="0.3">
      <c r="A63" s="32" t="s">
        <v>449</v>
      </c>
      <c r="B63" s="12">
        <f t="shared" ref="B63:D78" si="12">+B62</f>
        <v>300</v>
      </c>
      <c r="C63" s="13" t="str">
        <f t="shared" si="12"/>
        <v>Violencia contra la mujer</v>
      </c>
      <c r="D63" s="13" t="str">
        <f t="shared" si="12"/>
        <v>Mujeres</v>
      </c>
      <c r="E63" s="18">
        <v>0</v>
      </c>
      <c r="F63" s="13" t="s">
        <v>5959</v>
      </c>
      <c r="G63" s="55" t="s">
        <v>5960</v>
      </c>
      <c r="H63" s="30" t="s">
        <v>19</v>
      </c>
      <c r="I63" s="31" t="s">
        <v>14</v>
      </c>
      <c r="J63" s="12" t="s">
        <v>398</v>
      </c>
      <c r="K63" s="12" t="s">
        <v>5961</v>
      </c>
      <c r="L63" s="12" t="str">
        <f t="shared" ref="L63:M78" si="13">+L62</f>
        <v>Periodo 2013-2019</v>
      </c>
      <c r="M63" s="12" t="str">
        <f t="shared" si="13"/>
        <v>Número de sentencias</v>
      </c>
      <c r="N63" s="33" t="s">
        <v>5964</v>
      </c>
      <c r="O63" s="27" t="s">
        <v>5972</v>
      </c>
      <c r="P63" s="42" t="s">
        <v>5973</v>
      </c>
      <c r="Q63" s="14" t="s">
        <v>5967</v>
      </c>
      <c r="R63" s="77" t="s">
        <v>5974</v>
      </c>
      <c r="S63" s="15" t="s">
        <v>6751</v>
      </c>
      <c r="T63" s="65" t="s">
        <v>5906</v>
      </c>
      <c r="U63" s="24" t="s">
        <v>397</v>
      </c>
      <c r="V63" s="19" t="str">
        <f>+Ingresos_Historicos[[#This Row],[idcoleccion]]&amp;"-"&amp;Ingresos_Historicos[[#This Row],[id]]</f>
        <v>300-0053</v>
      </c>
      <c r="W63" s="19">
        <f>+VLOOKUP(Ingresos_Historicos[[#This Row],[Filtro URL]],Estructura!$X$4:$Y$366,2,0)</f>
        <v>30100000</v>
      </c>
      <c r="X63" s="19" t="str">
        <f>+VLOOKUP(Ingresos_Historicos[[#This Row],[tema]],Estructura!$A$4:$C$18,3,0)</f>
        <v>T-306</v>
      </c>
      <c r="Y63" s="19" t="str">
        <f>+VLOOKUP(Ingresos_Historicos[[#This Row],[contenido]],Estructura!$E$4:$G$18,3,0)</f>
        <v>C-301</v>
      </c>
      <c r="Z63" s="19" t="str">
        <f>+VLOOKUP(Ingresos_Historicos[[#This Row],[Filtro Integrado]],Estructura!$M$4:$O$367,3,0)</f>
        <v>FI-303</v>
      </c>
      <c r="AA63" s="19" t="str">
        <f>+VLOOKUP(Ingresos_Historicos[[#This Row],[Muestra]],Estructura!$Q$4:$S$194,3,0)</f>
        <v>M-306</v>
      </c>
    </row>
    <row r="64" spans="1:27" ht="40.799999999999997" x14ac:dyDescent="0.3">
      <c r="A64" s="32" t="s">
        <v>450</v>
      </c>
      <c r="B64" s="12">
        <f t="shared" si="12"/>
        <v>300</v>
      </c>
      <c r="C64" s="13" t="str">
        <f t="shared" si="12"/>
        <v>Violencia contra la mujer</v>
      </c>
      <c r="D64" s="13" t="str">
        <f t="shared" si="12"/>
        <v>Mujeres</v>
      </c>
      <c r="E64" s="26">
        <v>1</v>
      </c>
      <c r="F64" s="13" t="s">
        <v>5959</v>
      </c>
      <c r="G64" s="55" t="s">
        <v>5960</v>
      </c>
      <c r="H64" s="29" t="s">
        <v>15</v>
      </c>
      <c r="I64" s="28" t="s">
        <v>367</v>
      </c>
      <c r="J64" s="12" t="s">
        <v>398</v>
      </c>
      <c r="K64" s="12" t="str">
        <f t="shared" ref="K64:M79" si="14">+K63</f>
        <v>Sentencias Dictadas por Delitos de Abuso Sexual</v>
      </c>
      <c r="L64" s="12" t="str">
        <f t="shared" si="13"/>
        <v>Periodo 2013-2019</v>
      </c>
      <c r="M64" s="12" t="str">
        <f t="shared" si="13"/>
        <v>Número de sentencias</v>
      </c>
      <c r="N64" s="33" t="s">
        <v>5964</v>
      </c>
      <c r="O64" s="27" t="str">
        <f>"Sentencias Dictadas por Delitos de Abuso Sexual en la "&amp;[1]!Ingresos_Historicos[[#This Row],[territorio]]&amp;" durante el Periodo 2013-2019"</f>
        <v>Sentencias Dictadas por Delitos de Abuso Sexual en la Calama durante el Periodo 2013-2019</v>
      </c>
      <c r="P64"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Calama durante el Periodo 2013-2019 de acuerdo a datos provenientes del Poder Judicial de Chile.</v>
      </c>
      <c r="Q64" s="14" t="s">
        <v>5967</v>
      </c>
      <c r="R64" s="77" t="s">
        <v>5975</v>
      </c>
      <c r="S64" s="15" t="s">
        <v>6752</v>
      </c>
      <c r="T64" s="65" t="s">
        <v>5922</v>
      </c>
      <c r="U64" s="24" t="s">
        <v>397</v>
      </c>
      <c r="V64" s="19" t="str">
        <f>+Ingresos_Historicos[[#This Row],[idcoleccion]]&amp;"-"&amp;Ingresos_Historicos[[#This Row],[id]]</f>
        <v>300-0054</v>
      </c>
      <c r="W64" s="19">
        <f>+VLOOKUP(Ingresos_Historicos[[#This Row],[Filtro URL]],Estructura!$X$4:$Y$366,2,0)</f>
        <v>30200001</v>
      </c>
      <c r="X64" s="19" t="str">
        <f>+VLOOKUP(Ingresos_Historicos[[#This Row],[tema]],Estructura!$A$4:$C$18,3,0)</f>
        <v>T-306</v>
      </c>
      <c r="Y64" s="19" t="str">
        <f>+VLOOKUP(Ingresos_Historicos[[#This Row],[contenido]],Estructura!$E$4:$G$18,3,0)</f>
        <v>C-301</v>
      </c>
      <c r="Z64" s="19" t="str">
        <f>+VLOOKUP(Ingresos_Historicos[[#This Row],[Filtro Integrado]],Estructura!$M$4:$O$367,3,0)</f>
        <v>FI-303</v>
      </c>
      <c r="AA64" s="19" t="str">
        <f>+VLOOKUP(Ingresos_Historicos[[#This Row],[Muestra]],Estructura!$Q$4:$S$194,3,0)</f>
        <v>M-306</v>
      </c>
    </row>
    <row r="65" spans="1:27" ht="40.799999999999997" x14ac:dyDescent="0.3">
      <c r="A65" s="71" t="s">
        <v>451</v>
      </c>
      <c r="B65" s="12">
        <f t="shared" si="12"/>
        <v>300</v>
      </c>
      <c r="C65" s="13" t="str">
        <f t="shared" si="12"/>
        <v>Violencia contra la mujer</v>
      </c>
      <c r="D65" s="13" t="str">
        <f t="shared" si="12"/>
        <v>Mujeres</v>
      </c>
      <c r="E65" s="26">
        <v>2</v>
      </c>
      <c r="F65" s="13" t="s">
        <v>5959</v>
      </c>
      <c r="G65" s="55" t="s">
        <v>5960</v>
      </c>
      <c r="H65" s="29" t="s">
        <v>15</v>
      </c>
      <c r="I65" s="28" t="s">
        <v>368</v>
      </c>
      <c r="J65" s="12" t="str">
        <f t="shared" ref="J65:J95" si="15">+J64</f>
        <v>Ninguno</v>
      </c>
      <c r="K65" s="12" t="str">
        <f t="shared" si="14"/>
        <v>Sentencias Dictadas por Delitos de Abuso Sexual</v>
      </c>
      <c r="L65" s="12" t="str">
        <f t="shared" si="13"/>
        <v>Periodo 2013-2019</v>
      </c>
      <c r="M65" s="12" t="str">
        <f t="shared" si="13"/>
        <v>Número de sentencias</v>
      </c>
      <c r="N65" s="33" t="s">
        <v>5964</v>
      </c>
      <c r="O65" s="27" t="str">
        <f>"Sentencias Dictadas por Delitos de Abuso Sexual en la "&amp;[1]!Ingresos_Historicos[[#This Row],[territorio]]&amp;" durante el Periodo 2013-2019"</f>
        <v>Sentencias Dictadas por Delitos de Abuso Sexual en la Tocopilla durante el Periodo 2013-2019</v>
      </c>
      <c r="P65"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Tocopilla durante el Periodo 2013-2019 de acuerdo a datos provenientes del Poder Judicial de Chile.</v>
      </c>
      <c r="Q65" s="14" t="s">
        <v>5967</v>
      </c>
      <c r="R65" s="77" t="s">
        <v>5976</v>
      </c>
      <c r="S65" s="15" t="s">
        <v>6753</v>
      </c>
      <c r="T65" s="65" t="s">
        <v>5923</v>
      </c>
      <c r="U65" s="24" t="s">
        <v>397</v>
      </c>
      <c r="V65" s="19" t="str">
        <f>+Ingresos_Historicos[[#This Row],[idcoleccion]]&amp;"-"&amp;Ingresos_Historicos[[#This Row],[id]]</f>
        <v>300-0055</v>
      </c>
      <c r="W65" s="19">
        <f>+VLOOKUP(Ingresos_Historicos[[#This Row],[Filtro URL]],Estructura!$X$4:$Y$366,2,0)</f>
        <v>30200002</v>
      </c>
      <c r="X65" s="19" t="str">
        <f>+VLOOKUP(Ingresos_Historicos[[#This Row],[tema]],Estructura!$A$4:$C$18,3,0)</f>
        <v>T-306</v>
      </c>
      <c r="Y65" s="19" t="str">
        <f>+VLOOKUP(Ingresos_Historicos[[#This Row],[contenido]],Estructura!$E$4:$G$18,3,0)</f>
        <v>C-301</v>
      </c>
      <c r="Z65" s="19" t="str">
        <f>+VLOOKUP(Ingresos_Historicos[[#This Row],[Filtro Integrado]],Estructura!$M$4:$O$367,3,0)</f>
        <v>FI-303</v>
      </c>
      <c r="AA65" s="19" t="str">
        <f>+VLOOKUP(Ingresos_Historicos[[#This Row],[Muestra]],Estructura!$Q$4:$S$194,3,0)</f>
        <v>M-306</v>
      </c>
    </row>
    <row r="66" spans="1:27" ht="40.799999999999997" x14ac:dyDescent="0.3">
      <c r="A66" s="71" t="s">
        <v>452</v>
      </c>
      <c r="B66" s="12">
        <f t="shared" si="12"/>
        <v>300</v>
      </c>
      <c r="C66" s="13" t="str">
        <f t="shared" si="12"/>
        <v>Violencia contra la mujer</v>
      </c>
      <c r="D66" s="13" t="str">
        <f t="shared" si="12"/>
        <v>Mujeres</v>
      </c>
      <c r="E66" s="26">
        <v>3</v>
      </c>
      <c r="F66" s="13" t="s">
        <v>5959</v>
      </c>
      <c r="G66" s="55" t="s">
        <v>5960</v>
      </c>
      <c r="H66" s="29" t="s">
        <v>15</v>
      </c>
      <c r="I66" s="28" t="s">
        <v>369</v>
      </c>
      <c r="J66" s="12" t="str">
        <f t="shared" si="15"/>
        <v>Ninguno</v>
      </c>
      <c r="K66" s="12" t="str">
        <f t="shared" si="14"/>
        <v>Sentencias Dictadas por Delitos de Abuso Sexual</v>
      </c>
      <c r="L66" s="12" t="str">
        <f t="shared" si="13"/>
        <v>Periodo 2013-2019</v>
      </c>
      <c r="M66" s="12" t="str">
        <f t="shared" si="13"/>
        <v>Número de sentencias</v>
      </c>
      <c r="N66" s="33" t="s">
        <v>5964</v>
      </c>
      <c r="O66" s="27" t="str">
        <f>"Sentencias Dictadas por Delitos de Abuso Sexual en la "&amp;[1]!Ingresos_Historicos[[#This Row],[territorio]]&amp;" durante el Periodo 2013-2019"</f>
        <v>Sentencias Dictadas por Delitos de Abuso Sexual en la Copiapo durante el Periodo 2013-2019</v>
      </c>
      <c r="P66"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Copiapo durante el Periodo 2013-2019 de acuerdo a datos provenientes del Poder Judicial de Chile.</v>
      </c>
      <c r="Q66" s="14" t="s">
        <v>5967</v>
      </c>
      <c r="R66" s="77" t="s">
        <v>5977</v>
      </c>
      <c r="S66" s="15" t="s">
        <v>6754</v>
      </c>
      <c r="T66" s="65" t="s">
        <v>5925</v>
      </c>
      <c r="U66" s="24" t="s">
        <v>397</v>
      </c>
      <c r="V66" s="19" t="str">
        <f>+Ingresos_Historicos[[#This Row],[idcoleccion]]&amp;"-"&amp;Ingresos_Historicos[[#This Row],[id]]</f>
        <v>300-0056</v>
      </c>
      <c r="W66" s="19">
        <f>+VLOOKUP(Ingresos_Historicos[[#This Row],[Filtro URL]],Estructura!$X$4:$Y$366,2,0)</f>
        <v>30200003</v>
      </c>
      <c r="X66" s="19" t="str">
        <f>+VLOOKUP(Ingresos_Historicos[[#This Row],[tema]],Estructura!$A$4:$C$18,3,0)</f>
        <v>T-306</v>
      </c>
      <c r="Y66" s="19" t="str">
        <f>+VLOOKUP(Ingresos_Historicos[[#This Row],[contenido]],Estructura!$E$4:$G$18,3,0)</f>
        <v>C-301</v>
      </c>
      <c r="Z66" s="19" t="str">
        <f>+VLOOKUP(Ingresos_Historicos[[#This Row],[Filtro Integrado]],Estructura!$M$4:$O$367,3,0)</f>
        <v>FI-303</v>
      </c>
      <c r="AA66" s="19" t="str">
        <f>+VLOOKUP(Ingresos_Historicos[[#This Row],[Muestra]],Estructura!$Q$4:$S$194,3,0)</f>
        <v>M-306</v>
      </c>
    </row>
    <row r="67" spans="1:27" ht="40.799999999999997" x14ac:dyDescent="0.3">
      <c r="A67" s="71" t="s">
        <v>453</v>
      </c>
      <c r="B67" s="12">
        <f t="shared" si="12"/>
        <v>300</v>
      </c>
      <c r="C67" s="13" t="str">
        <f t="shared" si="12"/>
        <v>Violencia contra la mujer</v>
      </c>
      <c r="D67" s="13" t="str">
        <f t="shared" si="12"/>
        <v>Mujeres</v>
      </c>
      <c r="E67" s="26">
        <v>4</v>
      </c>
      <c r="F67" s="13" t="s">
        <v>5959</v>
      </c>
      <c r="G67" s="55" t="s">
        <v>5960</v>
      </c>
      <c r="H67" s="29" t="s">
        <v>15</v>
      </c>
      <c r="I67" s="28" t="s">
        <v>370</v>
      </c>
      <c r="J67" s="12" t="str">
        <f t="shared" si="15"/>
        <v>Ninguno</v>
      </c>
      <c r="K67" s="12" t="str">
        <f t="shared" si="14"/>
        <v>Sentencias Dictadas por Delitos de Abuso Sexual</v>
      </c>
      <c r="L67" s="12" t="str">
        <f t="shared" si="13"/>
        <v>Periodo 2013-2019</v>
      </c>
      <c r="M67" s="12" t="str">
        <f t="shared" si="13"/>
        <v>Número de sentencias</v>
      </c>
      <c r="N67" s="33" t="s">
        <v>5964</v>
      </c>
      <c r="O67" s="27" t="str">
        <f>"Sentencias Dictadas por Delitos de Abuso Sexual en la "&amp;[1]!Ingresos_Historicos[[#This Row],[territorio]]&amp;" durante el Periodo 2013-2019"</f>
        <v>Sentencias Dictadas por Delitos de Abuso Sexual en la Diego de Almagro durante el Periodo 2013-2019</v>
      </c>
      <c r="P67"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Diego de Almagro durante el Periodo 2013-2019 de acuerdo a datos provenientes del Poder Judicial de Chile.</v>
      </c>
      <c r="Q67" s="14" t="s">
        <v>5967</v>
      </c>
      <c r="R67" s="77" t="s">
        <v>5978</v>
      </c>
      <c r="S67" s="15" t="s">
        <v>6755</v>
      </c>
      <c r="T67" s="65" t="s">
        <v>5926</v>
      </c>
      <c r="U67" s="24" t="s">
        <v>397</v>
      </c>
      <c r="V67" s="19" t="str">
        <f>+Ingresos_Historicos[[#This Row],[idcoleccion]]&amp;"-"&amp;Ingresos_Historicos[[#This Row],[id]]</f>
        <v>300-0057</v>
      </c>
      <c r="W67" s="19">
        <f>+VLOOKUP(Ingresos_Historicos[[#This Row],[Filtro URL]],Estructura!$X$4:$Y$366,2,0)</f>
        <v>30200004</v>
      </c>
      <c r="X67" s="19" t="str">
        <f>+VLOOKUP(Ingresos_Historicos[[#This Row],[tema]],Estructura!$A$4:$C$18,3,0)</f>
        <v>T-306</v>
      </c>
      <c r="Y67" s="19" t="str">
        <f>+VLOOKUP(Ingresos_Historicos[[#This Row],[contenido]],Estructura!$E$4:$G$18,3,0)</f>
        <v>C-301</v>
      </c>
      <c r="Z67" s="19" t="str">
        <f>+VLOOKUP(Ingresos_Historicos[[#This Row],[Filtro Integrado]],Estructura!$M$4:$O$367,3,0)</f>
        <v>FI-303</v>
      </c>
      <c r="AA67" s="19" t="str">
        <f>+VLOOKUP(Ingresos_Historicos[[#This Row],[Muestra]],Estructura!$Q$4:$S$194,3,0)</f>
        <v>M-306</v>
      </c>
    </row>
    <row r="68" spans="1:27" ht="40.799999999999997" x14ac:dyDescent="0.3">
      <c r="A68" s="71" t="s">
        <v>454</v>
      </c>
      <c r="B68" s="12">
        <f t="shared" si="12"/>
        <v>300</v>
      </c>
      <c r="C68" s="13" t="str">
        <f t="shared" si="12"/>
        <v>Violencia contra la mujer</v>
      </c>
      <c r="D68" s="13" t="str">
        <f t="shared" si="12"/>
        <v>Mujeres</v>
      </c>
      <c r="E68" s="26">
        <v>5</v>
      </c>
      <c r="F68" s="13" t="s">
        <v>5959</v>
      </c>
      <c r="G68" s="55" t="s">
        <v>5960</v>
      </c>
      <c r="H68" s="29" t="s">
        <v>15</v>
      </c>
      <c r="I68" s="28" t="s">
        <v>371</v>
      </c>
      <c r="J68" s="12" t="str">
        <f t="shared" si="15"/>
        <v>Ninguno</v>
      </c>
      <c r="K68" s="12" t="str">
        <f t="shared" si="14"/>
        <v>Sentencias Dictadas por Delitos de Abuso Sexual</v>
      </c>
      <c r="L68" s="12" t="str">
        <f t="shared" si="13"/>
        <v>Periodo 2013-2019</v>
      </c>
      <c r="M68" s="12" t="str">
        <f t="shared" si="13"/>
        <v>Número de sentencias</v>
      </c>
      <c r="N68" s="33" t="s">
        <v>5964</v>
      </c>
      <c r="O68" s="27" t="str">
        <f>"Sentencias Dictadas por Delitos de Abuso Sexual en la "&amp;[1]!Ingresos_Historicos[[#This Row],[territorio]]&amp;" durante el Periodo 2013-2019"</f>
        <v>Sentencias Dictadas por Delitos de Abuso Sexual en la Vallenar durante el Periodo 2013-2019</v>
      </c>
      <c r="P68"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Vallenar durante el Periodo 2013-2019 de acuerdo a datos provenientes del Poder Judicial de Chile.</v>
      </c>
      <c r="Q68" s="14" t="s">
        <v>5967</v>
      </c>
      <c r="R68" s="77" t="s">
        <v>5979</v>
      </c>
      <c r="S68" s="15" t="s">
        <v>6756</v>
      </c>
      <c r="T68" s="65" t="s">
        <v>5927</v>
      </c>
      <c r="U68" s="24" t="s">
        <v>397</v>
      </c>
      <c r="V68" s="19" t="str">
        <f>+Ingresos_Historicos[[#This Row],[idcoleccion]]&amp;"-"&amp;Ingresos_Historicos[[#This Row],[id]]</f>
        <v>300-0058</v>
      </c>
      <c r="W68" s="19">
        <f>+VLOOKUP(Ingresos_Historicos[[#This Row],[Filtro URL]],Estructura!$X$4:$Y$366,2,0)</f>
        <v>30200005</v>
      </c>
      <c r="X68" s="19" t="str">
        <f>+VLOOKUP(Ingresos_Historicos[[#This Row],[tema]],Estructura!$A$4:$C$18,3,0)</f>
        <v>T-306</v>
      </c>
      <c r="Y68" s="19" t="str">
        <f>+VLOOKUP(Ingresos_Historicos[[#This Row],[contenido]],Estructura!$E$4:$G$18,3,0)</f>
        <v>C-301</v>
      </c>
      <c r="Z68" s="19" t="str">
        <f>+VLOOKUP(Ingresos_Historicos[[#This Row],[Filtro Integrado]],Estructura!$M$4:$O$367,3,0)</f>
        <v>FI-303</v>
      </c>
      <c r="AA68" s="19" t="str">
        <f>+VLOOKUP(Ingresos_Historicos[[#This Row],[Muestra]],Estructura!$Q$4:$S$194,3,0)</f>
        <v>M-306</v>
      </c>
    </row>
    <row r="69" spans="1:27" ht="40.799999999999997" x14ac:dyDescent="0.3">
      <c r="A69" s="71" t="s">
        <v>455</v>
      </c>
      <c r="B69" s="12">
        <f t="shared" si="12"/>
        <v>300</v>
      </c>
      <c r="C69" s="13" t="str">
        <f t="shared" si="12"/>
        <v>Violencia contra la mujer</v>
      </c>
      <c r="D69" s="13" t="str">
        <f t="shared" si="12"/>
        <v>Mujeres</v>
      </c>
      <c r="E69" s="26">
        <v>6</v>
      </c>
      <c r="F69" s="13" t="s">
        <v>5959</v>
      </c>
      <c r="G69" s="55" t="s">
        <v>5960</v>
      </c>
      <c r="H69" s="29" t="s">
        <v>15</v>
      </c>
      <c r="I69" s="28" t="s">
        <v>372</v>
      </c>
      <c r="J69" s="12" t="str">
        <f t="shared" si="15"/>
        <v>Ninguno</v>
      </c>
      <c r="K69" s="12" t="str">
        <f t="shared" si="14"/>
        <v>Sentencias Dictadas por Delitos de Abuso Sexual</v>
      </c>
      <c r="L69" s="12" t="str">
        <f t="shared" si="13"/>
        <v>Periodo 2013-2019</v>
      </c>
      <c r="M69" s="12" t="str">
        <f t="shared" si="13"/>
        <v>Número de sentencias</v>
      </c>
      <c r="N69" s="33" t="s">
        <v>5964</v>
      </c>
      <c r="O69" s="27" t="str">
        <f>"Sentencias Dictadas por Delitos de Abuso Sexual en la "&amp;[1]!Ingresos_Historicos[[#This Row],[territorio]]&amp;" durante el Periodo 2013-2019"</f>
        <v>Sentencias Dictadas por Delitos de Abuso Sexual en la Coquimbo durante el Periodo 2013-2019</v>
      </c>
      <c r="P69"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Coquimbo durante el Periodo 2013-2019 de acuerdo a datos provenientes del Poder Judicial de Chile.</v>
      </c>
      <c r="Q69" s="14" t="s">
        <v>5967</v>
      </c>
      <c r="R69" s="77" t="s">
        <v>5980</v>
      </c>
      <c r="S69" s="15" t="s">
        <v>6757</v>
      </c>
      <c r="T69" s="65" t="s">
        <v>5928</v>
      </c>
      <c r="U69" s="24" t="s">
        <v>397</v>
      </c>
      <c r="V69" s="19" t="str">
        <f>+Ingresos_Historicos[[#This Row],[idcoleccion]]&amp;"-"&amp;Ingresos_Historicos[[#This Row],[id]]</f>
        <v>300-0059</v>
      </c>
      <c r="W69" s="19">
        <f>+VLOOKUP(Ingresos_Historicos[[#This Row],[Filtro URL]],Estructura!$X$4:$Y$366,2,0)</f>
        <v>30200006</v>
      </c>
      <c r="X69" s="19" t="str">
        <f>+VLOOKUP(Ingresos_Historicos[[#This Row],[tema]],Estructura!$A$4:$C$18,3,0)</f>
        <v>T-306</v>
      </c>
      <c r="Y69" s="19" t="str">
        <f>+VLOOKUP(Ingresos_Historicos[[#This Row],[contenido]],Estructura!$E$4:$G$18,3,0)</f>
        <v>C-301</v>
      </c>
      <c r="Z69" s="19" t="str">
        <f>+VLOOKUP(Ingresos_Historicos[[#This Row],[Filtro Integrado]],Estructura!$M$4:$O$367,3,0)</f>
        <v>FI-303</v>
      </c>
      <c r="AA69" s="19" t="str">
        <f>+VLOOKUP(Ingresos_Historicos[[#This Row],[Muestra]],Estructura!$Q$4:$S$194,3,0)</f>
        <v>M-306</v>
      </c>
    </row>
    <row r="70" spans="1:27" ht="40.799999999999997" x14ac:dyDescent="0.3">
      <c r="A70" s="71" t="s">
        <v>456</v>
      </c>
      <c r="B70" s="12">
        <f t="shared" si="12"/>
        <v>300</v>
      </c>
      <c r="C70" s="13" t="str">
        <f t="shared" si="12"/>
        <v>Violencia contra la mujer</v>
      </c>
      <c r="D70" s="13" t="str">
        <f t="shared" si="12"/>
        <v>Mujeres</v>
      </c>
      <c r="E70" s="26">
        <v>7</v>
      </c>
      <c r="F70" s="13" t="s">
        <v>5959</v>
      </c>
      <c r="G70" s="55" t="s">
        <v>5960</v>
      </c>
      <c r="H70" s="29" t="s">
        <v>15</v>
      </c>
      <c r="I70" s="28" t="s">
        <v>373</v>
      </c>
      <c r="J70" s="12" t="str">
        <f t="shared" si="15"/>
        <v>Ninguno</v>
      </c>
      <c r="K70" s="12" t="str">
        <f t="shared" si="14"/>
        <v>Sentencias Dictadas por Delitos de Abuso Sexual</v>
      </c>
      <c r="L70" s="12" t="str">
        <f t="shared" si="13"/>
        <v>Periodo 2013-2019</v>
      </c>
      <c r="M70" s="12" t="str">
        <f t="shared" si="13"/>
        <v>Número de sentencias</v>
      </c>
      <c r="N70" s="33" t="s">
        <v>5964</v>
      </c>
      <c r="O70" s="27" t="str">
        <f>"Sentencias Dictadas por Delitos de Abuso Sexual en la "&amp;[1]!Ingresos_Historicos[[#This Row],[territorio]]&amp;" durante el Periodo 2013-2019"</f>
        <v>Sentencias Dictadas por Delitos de Abuso Sexual en la Illapel durante el Periodo 2013-2019</v>
      </c>
      <c r="P70"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Illapel durante el Periodo 2013-2019 de acuerdo a datos provenientes del Poder Judicial de Chile.</v>
      </c>
      <c r="Q70" s="14" t="s">
        <v>5967</v>
      </c>
      <c r="R70" s="77" t="s">
        <v>5981</v>
      </c>
      <c r="S70" s="15" t="s">
        <v>6758</v>
      </c>
      <c r="T70" s="65" t="s">
        <v>5929</v>
      </c>
      <c r="U70" s="24" t="s">
        <v>397</v>
      </c>
      <c r="V70" s="19" t="str">
        <f>+Ingresos_Historicos[[#This Row],[idcoleccion]]&amp;"-"&amp;Ingresos_Historicos[[#This Row],[id]]</f>
        <v>300-0060</v>
      </c>
      <c r="W70" s="19">
        <f>+VLOOKUP(Ingresos_Historicos[[#This Row],[Filtro URL]],Estructura!$X$4:$Y$366,2,0)</f>
        <v>30200007</v>
      </c>
      <c r="X70" s="19" t="str">
        <f>+VLOOKUP(Ingresos_Historicos[[#This Row],[tema]],Estructura!$A$4:$C$18,3,0)</f>
        <v>T-306</v>
      </c>
      <c r="Y70" s="19" t="str">
        <f>+VLOOKUP(Ingresos_Historicos[[#This Row],[contenido]],Estructura!$E$4:$G$18,3,0)</f>
        <v>C-301</v>
      </c>
      <c r="Z70" s="19" t="str">
        <f>+VLOOKUP(Ingresos_Historicos[[#This Row],[Filtro Integrado]],Estructura!$M$4:$O$367,3,0)</f>
        <v>FI-303</v>
      </c>
      <c r="AA70" s="19" t="str">
        <f>+VLOOKUP(Ingresos_Historicos[[#This Row],[Muestra]],Estructura!$Q$4:$S$194,3,0)</f>
        <v>M-306</v>
      </c>
    </row>
    <row r="71" spans="1:27" ht="40.799999999999997" x14ac:dyDescent="0.3">
      <c r="A71" s="71" t="s">
        <v>457</v>
      </c>
      <c r="B71" s="12">
        <f t="shared" si="12"/>
        <v>300</v>
      </c>
      <c r="C71" s="13" t="str">
        <f t="shared" si="12"/>
        <v>Violencia contra la mujer</v>
      </c>
      <c r="D71" s="13" t="str">
        <f t="shared" si="12"/>
        <v>Mujeres</v>
      </c>
      <c r="E71" s="26">
        <v>8</v>
      </c>
      <c r="F71" s="13" t="s">
        <v>5959</v>
      </c>
      <c r="G71" s="55" t="s">
        <v>5960</v>
      </c>
      <c r="H71" s="29" t="s">
        <v>15</v>
      </c>
      <c r="I71" s="28" t="s">
        <v>374</v>
      </c>
      <c r="J71" s="12" t="str">
        <f t="shared" si="15"/>
        <v>Ninguno</v>
      </c>
      <c r="K71" s="12" t="str">
        <f t="shared" si="14"/>
        <v>Sentencias Dictadas por Delitos de Abuso Sexual</v>
      </c>
      <c r="L71" s="12" t="str">
        <f t="shared" si="13"/>
        <v>Periodo 2013-2019</v>
      </c>
      <c r="M71" s="12" t="str">
        <f t="shared" si="13"/>
        <v>Número de sentencias</v>
      </c>
      <c r="N71" s="33" t="s">
        <v>5964</v>
      </c>
      <c r="O71" s="27" t="str">
        <f>"Sentencias Dictadas por Delitos de Abuso Sexual en la "&amp;[1]!Ingresos_Historicos[[#This Row],[territorio]]&amp;" durante el Periodo 2013-2019"</f>
        <v>Sentencias Dictadas por Delitos de Abuso Sexual en la La Serena durante el Periodo 2013-2019</v>
      </c>
      <c r="P71"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La Serena durante el Periodo 2013-2019 de acuerdo a datos provenientes del Poder Judicial de Chile.</v>
      </c>
      <c r="Q71" s="14" t="s">
        <v>5967</v>
      </c>
      <c r="R71" s="77" t="s">
        <v>5982</v>
      </c>
      <c r="S71" s="15" t="s">
        <v>6759</v>
      </c>
      <c r="T71" s="65" t="s">
        <v>5930</v>
      </c>
      <c r="U71" s="24" t="s">
        <v>397</v>
      </c>
      <c r="V71" s="19" t="str">
        <f>+Ingresos_Historicos[[#This Row],[idcoleccion]]&amp;"-"&amp;Ingresos_Historicos[[#This Row],[id]]</f>
        <v>300-0061</v>
      </c>
      <c r="W71" s="19">
        <f>+VLOOKUP(Ingresos_Historicos[[#This Row],[Filtro URL]],Estructura!$X$4:$Y$366,2,0)</f>
        <v>30200008</v>
      </c>
      <c r="X71" s="19" t="str">
        <f>+VLOOKUP(Ingresos_Historicos[[#This Row],[tema]],Estructura!$A$4:$C$18,3,0)</f>
        <v>T-306</v>
      </c>
      <c r="Y71" s="19" t="str">
        <f>+VLOOKUP(Ingresos_Historicos[[#This Row],[contenido]],Estructura!$E$4:$G$18,3,0)</f>
        <v>C-301</v>
      </c>
      <c r="Z71" s="19" t="str">
        <f>+VLOOKUP(Ingresos_Historicos[[#This Row],[Filtro Integrado]],Estructura!$M$4:$O$367,3,0)</f>
        <v>FI-303</v>
      </c>
      <c r="AA71" s="19" t="str">
        <f>+VLOOKUP(Ingresos_Historicos[[#This Row],[Muestra]],Estructura!$Q$4:$S$194,3,0)</f>
        <v>M-306</v>
      </c>
    </row>
    <row r="72" spans="1:27" ht="40.799999999999997" x14ac:dyDescent="0.3">
      <c r="A72" s="71" t="s">
        <v>458</v>
      </c>
      <c r="B72" s="12">
        <f t="shared" si="12"/>
        <v>300</v>
      </c>
      <c r="C72" s="13" t="str">
        <f t="shared" si="12"/>
        <v>Violencia contra la mujer</v>
      </c>
      <c r="D72" s="13" t="str">
        <f t="shared" si="12"/>
        <v>Mujeres</v>
      </c>
      <c r="E72" s="26">
        <v>9</v>
      </c>
      <c r="F72" s="13" t="s">
        <v>5959</v>
      </c>
      <c r="G72" s="55" t="s">
        <v>5960</v>
      </c>
      <c r="H72" s="29" t="s">
        <v>15</v>
      </c>
      <c r="I72" s="28" t="s">
        <v>375</v>
      </c>
      <c r="J72" s="12" t="str">
        <f t="shared" si="15"/>
        <v>Ninguno</v>
      </c>
      <c r="K72" s="12" t="str">
        <f t="shared" si="14"/>
        <v>Sentencias Dictadas por Delitos de Abuso Sexual</v>
      </c>
      <c r="L72" s="12" t="str">
        <f t="shared" si="13"/>
        <v>Periodo 2013-2019</v>
      </c>
      <c r="M72" s="12" t="str">
        <f t="shared" si="13"/>
        <v>Número de sentencias</v>
      </c>
      <c r="N72" s="33" t="s">
        <v>5964</v>
      </c>
      <c r="O72" s="27" t="str">
        <f>"Sentencias Dictadas por Delitos de Abuso Sexual en la "&amp;[1]!Ingresos_Historicos[[#This Row],[territorio]]&amp;" durante el Periodo 2013-2019"</f>
        <v>Sentencias Dictadas por Delitos de Abuso Sexual en la Ovalle durante el Periodo 2013-2019</v>
      </c>
      <c r="P72"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Ovalle durante el Periodo 2013-2019 de acuerdo a datos provenientes del Poder Judicial de Chile.</v>
      </c>
      <c r="Q72" s="14" t="s">
        <v>5967</v>
      </c>
      <c r="R72" s="77" t="s">
        <v>5983</v>
      </c>
      <c r="S72" s="15" t="s">
        <v>6760</v>
      </c>
      <c r="T72" s="65" t="s">
        <v>5931</v>
      </c>
      <c r="U72" s="24" t="s">
        <v>397</v>
      </c>
      <c r="V72" s="19" t="str">
        <f>+Ingresos_Historicos[[#This Row],[idcoleccion]]&amp;"-"&amp;Ingresos_Historicos[[#This Row],[id]]</f>
        <v>300-0062</v>
      </c>
      <c r="W72" s="19">
        <f>+VLOOKUP(Ingresos_Historicos[[#This Row],[Filtro URL]],Estructura!$X$4:$Y$366,2,0)</f>
        <v>30200009</v>
      </c>
      <c r="X72" s="19" t="str">
        <f>+VLOOKUP(Ingresos_Historicos[[#This Row],[tema]],Estructura!$A$4:$C$18,3,0)</f>
        <v>T-306</v>
      </c>
      <c r="Y72" s="19" t="str">
        <f>+VLOOKUP(Ingresos_Historicos[[#This Row],[contenido]],Estructura!$E$4:$G$18,3,0)</f>
        <v>C-301</v>
      </c>
      <c r="Z72" s="19" t="str">
        <f>+VLOOKUP(Ingresos_Historicos[[#This Row],[Filtro Integrado]],Estructura!$M$4:$O$367,3,0)</f>
        <v>FI-303</v>
      </c>
      <c r="AA72" s="19" t="str">
        <f>+VLOOKUP(Ingresos_Historicos[[#This Row],[Muestra]],Estructura!$Q$4:$S$194,3,0)</f>
        <v>M-306</v>
      </c>
    </row>
    <row r="73" spans="1:27" ht="40.799999999999997" x14ac:dyDescent="0.3">
      <c r="A73" s="71" t="s">
        <v>459</v>
      </c>
      <c r="B73" s="12">
        <f t="shared" si="12"/>
        <v>300</v>
      </c>
      <c r="C73" s="13" t="str">
        <f t="shared" si="12"/>
        <v>Violencia contra la mujer</v>
      </c>
      <c r="D73" s="13" t="str">
        <f t="shared" si="12"/>
        <v>Mujeres</v>
      </c>
      <c r="E73" s="26">
        <v>10</v>
      </c>
      <c r="F73" s="13" t="s">
        <v>5959</v>
      </c>
      <c r="G73" s="55" t="s">
        <v>5960</v>
      </c>
      <c r="H73" s="29" t="s">
        <v>15</v>
      </c>
      <c r="I73" s="28" t="s">
        <v>376</v>
      </c>
      <c r="J73" s="12" t="str">
        <f t="shared" si="15"/>
        <v>Ninguno</v>
      </c>
      <c r="K73" s="12" t="str">
        <f t="shared" si="14"/>
        <v>Sentencias Dictadas por Delitos de Abuso Sexual</v>
      </c>
      <c r="L73" s="12" t="str">
        <f t="shared" si="13"/>
        <v>Periodo 2013-2019</v>
      </c>
      <c r="M73" s="12" t="str">
        <f t="shared" si="13"/>
        <v>Número de sentencias</v>
      </c>
      <c r="N73" s="33" t="s">
        <v>5964</v>
      </c>
      <c r="O73" s="27" t="str">
        <f>"Sentencias Dictadas por Delitos de Abuso Sexual en la "&amp;[1]!Ingresos_Historicos[[#This Row],[territorio]]&amp;" durante el Periodo 2013-2019"</f>
        <v>Sentencias Dictadas por Delitos de Abuso Sexual en la Vicuña durante el Periodo 2013-2019</v>
      </c>
      <c r="P73"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Vicuña durante el Periodo 2013-2019 de acuerdo a datos provenientes del Poder Judicial de Chile.</v>
      </c>
      <c r="Q73" s="14" t="s">
        <v>5967</v>
      </c>
      <c r="R73" s="77" t="s">
        <v>5984</v>
      </c>
      <c r="S73" s="15" t="s">
        <v>6761</v>
      </c>
      <c r="T73" s="65" t="s">
        <v>5932</v>
      </c>
      <c r="U73" s="24" t="s">
        <v>397</v>
      </c>
      <c r="V73" s="19" t="str">
        <f>+Ingresos_Historicos[[#This Row],[idcoleccion]]&amp;"-"&amp;Ingresos_Historicos[[#This Row],[id]]</f>
        <v>300-0063</v>
      </c>
      <c r="W73" s="19">
        <f>+VLOOKUP(Ingresos_Historicos[[#This Row],[Filtro URL]],Estructura!$X$4:$Y$366,2,0)</f>
        <v>30200010</v>
      </c>
      <c r="X73" s="19" t="str">
        <f>+VLOOKUP(Ingresos_Historicos[[#This Row],[tema]],Estructura!$A$4:$C$18,3,0)</f>
        <v>T-306</v>
      </c>
      <c r="Y73" s="19" t="str">
        <f>+VLOOKUP(Ingresos_Historicos[[#This Row],[contenido]],Estructura!$E$4:$G$18,3,0)</f>
        <v>C-301</v>
      </c>
      <c r="Z73" s="19" t="str">
        <f>+VLOOKUP(Ingresos_Historicos[[#This Row],[Filtro Integrado]],Estructura!$M$4:$O$367,3,0)</f>
        <v>FI-303</v>
      </c>
      <c r="AA73" s="19" t="str">
        <f>+VLOOKUP(Ingresos_Historicos[[#This Row],[Muestra]],Estructura!$Q$4:$S$194,3,0)</f>
        <v>M-306</v>
      </c>
    </row>
    <row r="74" spans="1:27" ht="40.799999999999997" x14ac:dyDescent="0.3">
      <c r="A74" s="71" t="s">
        <v>460</v>
      </c>
      <c r="B74" s="12">
        <f t="shared" si="12"/>
        <v>300</v>
      </c>
      <c r="C74" s="13" t="str">
        <f t="shared" si="12"/>
        <v>Violencia contra la mujer</v>
      </c>
      <c r="D74" s="13" t="str">
        <f t="shared" si="12"/>
        <v>Mujeres</v>
      </c>
      <c r="E74" s="26">
        <v>11</v>
      </c>
      <c r="F74" s="13" t="s">
        <v>5959</v>
      </c>
      <c r="G74" s="55" t="s">
        <v>5960</v>
      </c>
      <c r="H74" s="29" t="s">
        <v>15</v>
      </c>
      <c r="I74" s="28" t="s">
        <v>377</v>
      </c>
      <c r="J74" s="12" t="str">
        <f t="shared" si="15"/>
        <v>Ninguno</v>
      </c>
      <c r="K74" s="12" t="str">
        <f t="shared" si="14"/>
        <v>Sentencias Dictadas por Delitos de Abuso Sexual</v>
      </c>
      <c r="L74" s="12" t="str">
        <f t="shared" si="13"/>
        <v>Periodo 2013-2019</v>
      </c>
      <c r="M74" s="12" t="str">
        <f t="shared" si="13"/>
        <v>Número de sentencias</v>
      </c>
      <c r="N74" s="33" t="s">
        <v>5964</v>
      </c>
      <c r="O74" s="27" t="str">
        <f>"Sentencias Dictadas por Delitos de Abuso Sexual en la "&amp;[1]!Ingresos_Historicos[[#This Row],[territorio]]&amp;" durante el Periodo 2013-2019"</f>
        <v>Sentencias Dictadas por Delitos de Abuso Sexual en la Calera durante el Periodo 2013-2019</v>
      </c>
      <c r="P74"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Calera durante el Periodo 2013-2019 de acuerdo a datos provenientes del Poder Judicial de Chile.</v>
      </c>
      <c r="Q74" s="14" t="s">
        <v>5967</v>
      </c>
      <c r="R74" s="77" t="s">
        <v>5985</v>
      </c>
      <c r="S74" s="15" t="s">
        <v>6762</v>
      </c>
      <c r="T74" s="65" t="s">
        <v>5933</v>
      </c>
      <c r="U74" s="24" t="s">
        <v>397</v>
      </c>
      <c r="V74" s="19" t="str">
        <f>+Ingresos_Historicos[[#This Row],[idcoleccion]]&amp;"-"&amp;Ingresos_Historicos[[#This Row],[id]]</f>
        <v>300-0064</v>
      </c>
      <c r="W74" s="19">
        <f>+VLOOKUP(Ingresos_Historicos[[#This Row],[Filtro URL]],Estructura!$X$4:$Y$366,2,0)</f>
        <v>30200011</v>
      </c>
      <c r="X74" s="19" t="str">
        <f>+VLOOKUP(Ingresos_Historicos[[#This Row],[tema]],Estructura!$A$4:$C$18,3,0)</f>
        <v>T-306</v>
      </c>
      <c r="Y74" s="19" t="str">
        <f>+VLOOKUP(Ingresos_Historicos[[#This Row],[contenido]],Estructura!$E$4:$G$18,3,0)</f>
        <v>C-301</v>
      </c>
      <c r="Z74" s="19" t="str">
        <f>+VLOOKUP(Ingresos_Historicos[[#This Row],[Filtro Integrado]],Estructura!$M$4:$O$367,3,0)</f>
        <v>FI-303</v>
      </c>
      <c r="AA74" s="19" t="str">
        <f>+VLOOKUP(Ingresos_Historicos[[#This Row],[Muestra]],Estructura!$Q$4:$S$194,3,0)</f>
        <v>M-306</v>
      </c>
    </row>
    <row r="75" spans="1:27" ht="40.799999999999997" x14ac:dyDescent="0.3">
      <c r="A75" s="71" t="s">
        <v>461</v>
      </c>
      <c r="B75" s="12">
        <f t="shared" si="12"/>
        <v>300</v>
      </c>
      <c r="C75" s="13" t="str">
        <f t="shared" si="12"/>
        <v>Violencia contra la mujer</v>
      </c>
      <c r="D75" s="13" t="str">
        <f t="shared" si="12"/>
        <v>Mujeres</v>
      </c>
      <c r="E75" s="26">
        <v>12</v>
      </c>
      <c r="F75" s="13" t="s">
        <v>5959</v>
      </c>
      <c r="G75" s="55" t="s">
        <v>5960</v>
      </c>
      <c r="H75" s="29" t="s">
        <v>15</v>
      </c>
      <c r="I75" s="28" t="s">
        <v>378</v>
      </c>
      <c r="J75" s="12" t="str">
        <f t="shared" si="15"/>
        <v>Ninguno</v>
      </c>
      <c r="K75" s="12" t="str">
        <f t="shared" si="14"/>
        <v>Sentencias Dictadas por Delitos de Abuso Sexual</v>
      </c>
      <c r="L75" s="12" t="str">
        <f t="shared" si="13"/>
        <v>Periodo 2013-2019</v>
      </c>
      <c r="M75" s="12" t="str">
        <f t="shared" si="13"/>
        <v>Número de sentencias</v>
      </c>
      <c r="N75" s="33" t="s">
        <v>5964</v>
      </c>
      <c r="O75" s="27" t="str">
        <f>"Sentencias Dictadas por Delitos de Abuso Sexual en la "&amp;[1]!Ingresos_Historicos[[#This Row],[territorio]]&amp;" durante el Periodo 2013-2019"</f>
        <v>Sentencias Dictadas por Delitos de Abuso Sexual en la La Ligua durante el Periodo 2013-2019</v>
      </c>
      <c r="P75"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La Ligua durante el Periodo 2013-2019 de acuerdo a datos provenientes del Poder Judicial de Chile.</v>
      </c>
      <c r="Q75" s="14" t="s">
        <v>5967</v>
      </c>
      <c r="R75" s="77" t="s">
        <v>5986</v>
      </c>
      <c r="S75" s="15" t="s">
        <v>6763</v>
      </c>
      <c r="T75" s="65" t="s">
        <v>5934</v>
      </c>
      <c r="U75" s="24" t="s">
        <v>397</v>
      </c>
      <c r="V75" s="19" t="str">
        <f>+Ingresos_Historicos[[#This Row],[idcoleccion]]&amp;"-"&amp;Ingresos_Historicos[[#This Row],[id]]</f>
        <v>300-0065</v>
      </c>
      <c r="W75" s="19">
        <f>+VLOOKUP(Ingresos_Historicos[[#This Row],[Filtro URL]],Estructura!$X$4:$Y$366,2,0)</f>
        <v>30200012</v>
      </c>
      <c r="X75" s="19" t="str">
        <f>+VLOOKUP(Ingresos_Historicos[[#This Row],[tema]],Estructura!$A$4:$C$18,3,0)</f>
        <v>T-306</v>
      </c>
      <c r="Y75" s="19" t="str">
        <f>+VLOOKUP(Ingresos_Historicos[[#This Row],[contenido]],Estructura!$E$4:$G$18,3,0)</f>
        <v>C-301</v>
      </c>
      <c r="Z75" s="19" t="str">
        <f>+VLOOKUP(Ingresos_Historicos[[#This Row],[Filtro Integrado]],Estructura!$M$4:$O$367,3,0)</f>
        <v>FI-303</v>
      </c>
      <c r="AA75" s="19" t="str">
        <f>+VLOOKUP(Ingresos_Historicos[[#This Row],[Muestra]],Estructura!$Q$4:$S$194,3,0)</f>
        <v>M-306</v>
      </c>
    </row>
    <row r="76" spans="1:27" ht="40.799999999999997" x14ac:dyDescent="0.3">
      <c r="A76" s="71" t="s">
        <v>462</v>
      </c>
      <c r="B76" s="12">
        <f t="shared" si="12"/>
        <v>300</v>
      </c>
      <c r="C76" s="13" t="str">
        <f t="shared" si="12"/>
        <v>Violencia contra la mujer</v>
      </c>
      <c r="D76" s="13" t="str">
        <f t="shared" si="12"/>
        <v>Mujeres</v>
      </c>
      <c r="E76" s="26">
        <v>13</v>
      </c>
      <c r="F76" s="13" t="s">
        <v>5959</v>
      </c>
      <c r="G76" s="55" t="s">
        <v>5960</v>
      </c>
      <c r="H76" s="29" t="s">
        <v>15</v>
      </c>
      <c r="I76" s="28" t="s">
        <v>379</v>
      </c>
      <c r="J76" s="12" t="str">
        <f t="shared" si="15"/>
        <v>Ninguno</v>
      </c>
      <c r="K76" s="12" t="str">
        <f t="shared" si="14"/>
        <v>Sentencias Dictadas por Delitos de Abuso Sexual</v>
      </c>
      <c r="L76" s="12" t="str">
        <f t="shared" si="13"/>
        <v>Periodo 2013-2019</v>
      </c>
      <c r="M76" s="12" t="str">
        <f t="shared" si="13"/>
        <v>Número de sentencias</v>
      </c>
      <c r="N76" s="33" t="s">
        <v>5964</v>
      </c>
      <c r="O76" s="27" t="str">
        <f>"Sentencias Dictadas por Delitos de Abuso Sexual en la "&amp;[1]!Ingresos_Historicos[[#This Row],[territorio]]&amp;" durante el Periodo 2013-2019"</f>
        <v>Sentencias Dictadas por Delitos de Abuso Sexual en la Limache durante el Periodo 2013-2019</v>
      </c>
      <c r="P76"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Limache durante el Periodo 2013-2019 de acuerdo a datos provenientes del Poder Judicial de Chile.</v>
      </c>
      <c r="Q76" s="14" t="s">
        <v>5967</v>
      </c>
      <c r="R76" s="77" t="s">
        <v>5987</v>
      </c>
      <c r="S76" s="15" t="s">
        <v>6764</v>
      </c>
      <c r="T76" s="65" t="s">
        <v>5935</v>
      </c>
      <c r="U76" s="24" t="s">
        <v>397</v>
      </c>
      <c r="V76" s="19" t="str">
        <f>+Ingresos_Historicos[[#This Row],[idcoleccion]]&amp;"-"&amp;Ingresos_Historicos[[#This Row],[id]]</f>
        <v>300-0066</v>
      </c>
      <c r="W76" s="19">
        <f>+VLOOKUP(Ingresos_Historicos[[#This Row],[Filtro URL]],Estructura!$X$4:$Y$366,2,0)</f>
        <v>30200013</v>
      </c>
      <c r="X76" s="19" t="str">
        <f>+VLOOKUP(Ingresos_Historicos[[#This Row],[tema]],Estructura!$A$4:$C$18,3,0)</f>
        <v>T-306</v>
      </c>
      <c r="Y76" s="19" t="str">
        <f>+VLOOKUP(Ingresos_Historicos[[#This Row],[contenido]],Estructura!$E$4:$G$18,3,0)</f>
        <v>C-301</v>
      </c>
      <c r="Z76" s="19" t="str">
        <f>+VLOOKUP(Ingresos_Historicos[[#This Row],[Filtro Integrado]],Estructura!$M$4:$O$367,3,0)</f>
        <v>FI-303</v>
      </c>
      <c r="AA76" s="19" t="str">
        <f>+VLOOKUP(Ingresos_Historicos[[#This Row],[Muestra]],Estructura!$Q$4:$S$194,3,0)</f>
        <v>M-306</v>
      </c>
    </row>
    <row r="77" spans="1:27" ht="40.799999999999997" x14ac:dyDescent="0.3">
      <c r="A77" s="71" t="s">
        <v>463</v>
      </c>
      <c r="B77" s="12">
        <f t="shared" si="12"/>
        <v>300</v>
      </c>
      <c r="C77" s="13" t="str">
        <f t="shared" si="12"/>
        <v>Violencia contra la mujer</v>
      </c>
      <c r="D77" s="13" t="str">
        <f t="shared" si="12"/>
        <v>Mujeres</v>
      </c>
      <c r="E77" s="26">
        <v>14</v>
      </c>
      <c r="F77" s="13" t="s">
        <v>5959</v>
      </c>
      <c r="G77" s="55" t="s">
        <v>5960</v>
      </c>
      <c r="H77" s="29" t="s">
        <v>15</v>
      </c>
      <c r="I77" s="28" t="s">
        <v>380</v>
      </c>
      <c r="J77" s="12" t="str">
        <f t="shared" si="15"/>
        <v>Ninguno</v>
      </c>
      <c r="K77" s="12" t="str">
        <f t="shared" si="14"/>
        <v>Sentencias Dictadas por Delitos de Abuso Sexual</v>
      </c>
      <c r="L77" s="12" t="str">
        <f t="shared" si="13"/>
        <v>Periodo 2013-2019</v>
      </c>
      <c r="M77" s="12" t="str">
        <f t="shared" si="13"/>
        <v>Número de sentencias</v>
      </c>
      <c r="N77" s="33" t="s">
        <v>5964</v>
      </c>
      <c r="O77" s="27" t="str">
        <f>"Sentencias Dictadas por Delitos de Abuso Sexual en la "&amp;[1]!Ingresos_Historicos[[#This Row],[territorio]]&amp;" durante el Periodo 2013-2019"</f>
        <v>Sentencias Dictadas por Delitos de Abuso Sexual en la Los Andes durante el Periodo 2013-2019</v>
      </c>
      <c r="P77"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Los Andes durante el Periodo 2013-2019 de acuerdo a datos provenientes del Poder Judicial de Chile.</v>
      </c>
      <c r="Q77" s="14" t="s">
        <v>5967</v>
      </c>
      <c r="R77" s="77" t="s">
        <v>5988</v>
      </c>
      <c r="S77" s="15" t="s">
        <v>6765</v>
      </c>
      <c r="T77" s="65" t="s">
        <v>5936</v>
      </c>
      <c r="U77" s="24" t="s">
        <v>397</v>
      </c>
      <c r="V77" s="19" t="str">
        <f>+Ingresos_Historicos[[#This Row],[idcoleccion]]&amp;"-"&amp;Ingresos_Historicos[[#This Row],[id]]</f>
        <v>300-0067</v>
      </c>
      <c r="W77" s="19">
        <f>+VLOOKUP(Ingresos_Historicos[[#This Row],[Filtro URL]],Estructura!$X$4:$Y$366,2,0)</f>
        <v>30200014</v>
      </c>
      <c r="X77" s="19" t="str">
        <f>+VLOOKUP(Ingresos_Historicos[[#This Row],[tema]],Estructura!$A$4:$C$18,3,0)</f>
        <v>T-306</v>
      </c>
      <c r="Y77" s="19" t="str">
        <f>+VLOOKUP(Ingresos_Historicos[[#This Row],[contenido]],Estructura!$E$4:$G$18,3,0)</f>
        <v>C-301</v>
      </c>
      <c r="Z77" s="19" t="str">
        <f>+VLOOKUP(Ingresos_Historicos[[#This Row],[Filtro Integrado]],Estructura!$M$4:$O$367,3,0)</f>
        <v>FI-303</v>
      </c>
      <c r="AA77" s="19" t="str">
        <f>+VLOOKUP(Ingresos_Historicos[[#This Row],[Muestra]],Estructura!$Q$4:$S$194,3,0)</f>
        <v>M-306</v>
      </c>
    </row>
    <row r="78" spans="1:27" ht="40.799999999999997" x14ac:dyDescent="0.3">
      <c r="A78" s="71" t="s">
        <v>464</v>
      </c>
      <c r="B78" s="12">
        <f t="shared" si="12"/>
        <v>300</v>
      </c>
      <c r="C78" s="13" t="str">
        <f t="shared" si="12"/>
        <v>Violencia contra la mujer</v>
      </c>
      <c r="D78" s="13" t="str">
        <f t="shared" si="12"/>
        <v>Mujeres</v>
      </c>
      <c r="E78" s="26">
        <v>15</v>
      </c>
      <c r="F78" s="13" t="s">
        <v>5959</v>
      </c>
      <c r="G78" s="55" t="s">
        <v>5960</v>
      </c>
      <c r="H78" s="29" t="s">
        <v>15</v>
      </c>
      <c r="I78" s="28" t="s">
        <v>381</v>
      </c>
      <c r="J78" s="12" t="str">
        <f t="shared" si="15"/>
        <v>Ninguno</v>
      </c>
      <c r="K78" s="12" t="str">
        <f t="shared" si="14"/>
        <v>Sentencias Dictadas por Delitos de Abuso Sexual</v>
      </c>
      <c r="L78" s="12" t="str">
        <f t="shared" si="13"/>
        <v>Periodo 2013-2019</v>
      </c>
      <c r="M78" s="12" t="str">
        <f t="shared" si="13"/>
        <v>Número de sentencias</v>
      </c>
      <c r="N78" s="33" t="s">
        <v>5964</v>
      </c>
      <c r="O78" s="27" t="str">
        <f>"Sentencias Dictadas por Delitos de Abuso Sexual en la "&amp;[1]!Ingresos_Historicos[[#This Row],[territorio]]&amp;" durante el Periodo 2013-2019"</f>
        <v>Sentencias Dictadas por Delitos de Abuso Sexual en la Quillota durante el Periodo 2013-2019</v>
      </c>
      <c r="P78"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Quillota durante el Periodo 2013-2019 de acuerdo a datos provenientes del Poder Judicial de Chile.</v>
      </c>
      <c r="Q78" s="14" t="str">
        <f t="shared" ref="Q78:Q108" si="16">+Q77</f>
        <v>Gráfico de Evolución</v>
      </c>
      <c r="R78" s="77" t="s">
        <v>5989</v>
      </c>
      <c r="S78" s="15" t="s">
        <v>6766</v>
      </c>
      <c r="T78" s="65" t="s">
        <v>5937</v>
      </c>
      <c r="U78" s="24" t="s">
        <v>397</v>
      </c>
      <c r="V78" s="19" t="str">
        <f>+Ingresos_Historicos[[#This Row],[idcoleccion]]&amp;"-"&amp;Ingresos_Historicos[[#This Row],[id]]</f>
        <v>300-0068</v>
      </c>
      <c r="W78" s="19">
        <f>+VLOOKUP(Ingresos_Historicos[[#This Row],[Filtro URL]],Estructura!$X$4:$Y$366,2,0)</f>
        <v>30200015</v>
      </c>
      <c r="X78" s="19" t="str">
        <f>+VLOOKUP(Ingresos_Historicos[[#This Row],[tema]],Estructura!$A$4:$C$18,3,0)</f>
        <v>T-306</v>
      </c>
      <c r="Y78" s="19" t="str">
        <f>+VLOOKUP(Ingresos_Historicos[[#This Row],[contenido]],Estructura!$E$4:$G$18,3,0)</f>
        <v>C-301</v>
      </c>
      <c r="Z78" s="19" t="str">
        <f>+VLOOKUP(Ingresos_Historicos[[#This Row],[Filtro Integrado]],Estructura!$M$4:$O$367,3,0)</f>
        <v>FI-303</v>
      </c>
      <c r="AA78" s="19" t="str">
        <f>+VLOOKUP(Ingresos_Historicos[[#This Row],[Muestra]],Estructura!$Q$4:$S$194,3,0)</f>
        <v>M-306</v>
      </c>
    </row>
    <row r="79" spans="1:27" ht="40.799999999999997" x14ac:dyDescent="0.3">
      <c r="A79" s="71" t="s">
        <v>465</v>
      </c>
      <c r="B79" s="12">
        <f t="shared" ref="B79:D94" si="17">+B78</f>
        <v>300</v>
      </c>
      <c r="C79" s="13" t="str">
        <f t="shared" si="17"/>
        <v>Violencia contra la mujer</v>
      </c>
      <c r="D79" s="13" t="str">
        <f t="shared" si="17"/>
        <v>Mujeres</v>
      </c>
      <c r="E79" s="26">
        <v>16</v>
      </c>
      <c r="F79" s="13" t="s">
        <v>5959</v>
      </c>
      <c r="G79" s="55" t="s">
        <v>5960</v>
      </c>
      <c r="H79" s="29" t="s">
        <v>15</v>
      </c>
      <c r="I79" s="28" t="s">
        <v>382</v>
      </c>
      <c r="J79" s="12" t="str">
        <f t="shared" si="15"/>
        <v>Ninguno</v>
      </c>
      <c r="K79" s="12" t="str">
        <f t="shared" si="14"/>
        <v>Sentencias Dictadas por Delitos de Abuso Sexual</v>
      </c>
      <c r="L79" s="12" t="str">
        <f t="shared" si="14"/>
        <v>Periodo 2013-2019</v>
      </c>
      <c r="M79" s="12" t="str">
        <f t="shared" si="14"/>
        <v>Número de sentencias</v>
      </c>
      <c r="N79" s="33" t="s">
        <v>5964</v>
      </c>
      <c r="O79" s="27" t="str">
        <f>"Sentencias Dictadas por Delitos de Abuso Sexual en la "&amp;[1]!Ingresos_Historicos[[#This Row],[territorio]]&amp;" durante el Periodo 2013-2019"</f>
        <v>Sentencias Dictadas por Delitos de Abuso Sexual en la Quilpue durante el Periodo 2013-2019</v>
      </c>
      <c r="P79" s="42" t="str">
        <f>"Gráfico que muestra la frecuencia mensual de Sentencias Dictadas por Delitos de Abuso Sexual en la "&amp;[1]!Ingresos_Historicos[[#This Row],[territorio]]&amp;" durante el Periodo 2013-2019 de acuerdo a datos provenientes del Poder Judicial de Chile."</f>
        <v>Gráfico que muestra la frecuencia mensual de Sentencias Dictadas por Delitos de Abuso Sexual en la Quilpue durante el Periodo 2013-2019 de acuerdo a datos provenientes del Poder Judicial de Chile.</v>
      </c>
      <c r="Q79" s="14" t="str">
        <f t="shared" si="16"/>
        <v>Gráfico de Evolución</v>
      </c>
      <c r="R79" s="77" t="s">
        <v>5990</v>
      </c>
      <c r="S79" s="15" t="s">
        <v>6456</v>
      </c>
      <c r="T79" s="65" t="s">
        <v>5924</v>
      </c>
      <c r="U79" s="24" t="s">
        <v>397</v>
      </c>
      <c r="V79" s="19" t="str">
        <f>+Ingresos_Historicos[[#This Row],[idcoleccion]]&amp;"-"&amp;Ingresos_Historicos[[#This Row],[id]]</f>
        <v>300-0069</v>
      </c>
      <c r="W79" s="19">
        <f>+VLOOKUP(Ingresos_Historicos[[#This Row],[Filtro URL]],Estructura!$X$4:$Y$366,2,0)</f>
        <v>30200016</v>
      </c>
      <c r="X79" s="19" t="str">
        <f>+VLOOKUP(Ingresos_Historicos[[#This Row],[tema]],Estructura!$A$4:$C$18,3,0)</f>
        <v>T-306</v>
      </c>
      <c r="Y79" s="19" t="str">
        <f>+VLOOKUP(Ingresos_Historicos[[#This Row],[contenido]],Estructura!$E$4:$G$18,3,0)</f>
        <v>C-301</v>
      </c>
      <c r="Z79" s="19" t="str">
        <f>+VLOOKUP(Ingresos_Historicos[[#This Row],[Filtro Integrado]],Estructura!$M$4:$O$367,3,0)</f>
        <v>FI-303</v>
      </c>
      <c r="AA79" s="19" t="str">
        <f>+VLOOKUP(Ingresos_Historicos[[#This Row],[Muestra]],Estructura!$Q$4:$S$194,3,0)</f>
        <v>M-306</v>
      </c>
    </row>
    <row r="80" spans="1:27" ht="40.799999999999997" x14ac:dyDescent="0.3">
      <c r="A80" s="32" t="s">
        <v>466</v>
      </c>
      <c r="B80" s="12">
        <f t="shared" si="17"/>
        <v>300</v>
      </c>
      <c r="C80" s="13" t="str">
        <f t="shared" si="17"/>
        <v>Violencia contra la mujer</v>
      </c>
      <c r="D80" s="13" t="str">
        <f t="shared" si="17"/>
        <v>Mujeres</v>
      </c>
      <c r="E80" s="26">
        <v>1</v>
      </c>
      <c r="F80" s="13" t="str">
        <f t="shared" ref="F80:G96" si="18">+F79</f>
        <v>Sentencias por delito de abuso sexual</v>
      </c>
      <c r="G80" s="55" t="s">
        <v>5960</v>
      </c>
      <c r="H80" s="29" t="s">
        <v>15</v>
      </c>
      <c r="I80" s="28" t="s">
        <v>367</v>
      </c>
      <c r="J80" s="12" t="s">
        <v>398</v>
      </c>
      <c r="K80" s="12" t="str">
        <f t="shared" ref="K80:M95" si="19">+K79</f>
        <v>Sentencias Dictadas por Delitos de Abuso Sexual</v>
      </c>
      <c r="L80" s="12" t="str">
        <f t="shared" si="19"/>
        <v>Periodo 2013-2019</v>
      </c>
      <c r="M80" s="12" t="str">
        <f t="shared" si="19"/>
        <v>Número de sentencias</v>
      </c>
      <c r="N80" s="33" t="s">
        <v>5964</v>
      </c>
      <c r="O80" s="27" t="str">
        <f>"Sentencias Dictadas por Delitos de Abuso Sexual por Juzgado de Garantía en la "&amp;[1]!Ingresos_Historicos[[#This Row],[territorio]]&amp;" durante el Periodo 2013-2019"</f>
        <v>Sentencias Dictadas por Delitos de Abuso Sexual por Juzgado de Garantía en la San Felipe durante el Periodo 2013-2019</v>
      </c>
      <c r="P80"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San Felipe durante el Periodo 2013-2019 de acuerdo a datos provenientes del Poder Judicial de Chile.</v>
      </c>
      <c r="Q80" s="14" t="str">
        <f t="shared" si="16"/>
        <v>Gráfico de Evolución</v>
      </c>
      <c r="R80" s="77" t="s">
        <v>5991</v>
      </c>
      <c r="S80" s="15" t="s">
        <v>6457</v>
      </c>
      <c r="T80" s="65" t="s">
        <v>5907</v>
      </c>
      <c r="U80" s="24" t="s">
        <v>397</v>
      </c>
      <c r="V80" s="19" t="str">
        <f>+Ingresos_Historicos[[#This Row],[idcoleccion]]&amp;"-"&amp;Ingresos_Historicos[[#This Row],[id]]</f>
        <v>300-0070</v>
      </c>
      <c r="W80" s="19">
        <f>+VLOOKUP(Ingresos_Historicos[[#This Row],[Filtro URL]],Estructura!$X$4:$Y$366,2,0)</f>
        <v>30200001</v>
      </c>
      <c r="X80" s="19" t="str">
        <f>+VLOOKUP(Ingresos_Historicos[[#This Row],[tema]],Estructura!$A$4:$C$18,3,0)</f>
        <v>T-306</v>
      </c>
      <c r="Y80" s="19" t="str">
        <f>+VLOOKUP(Ingresos_Historicos[[#This Row],[contenido]],Estructura!$E$4:$G$18,3,0)</f>
        <v>C-301</v>
      </c>
      <c r="Z80" s="19" t="str">
        <f>+VLOOKUP(Ingresos_Historicos[[#This Row],[Filtro Integrado]],Estructura!$M$4:$O$367,3,0)</f>
        <v>FI-303</v>
      </c>
      <c r="AA80" s="19" t="str">
        <f>+VLOOKUP(Ingresos_Historicos[[#This Row],[Muestra]],Estructura!$Q$4:$S$194,3,0)</f>
        <v>M-306</v>
      </c>
    </row>
    <row r="81" spans="1:27" ht="40.799999999999997" x14ac:dyDescent="0.3">
      <c r="A81" s="71" t="s">
        <v>467</v>
      </c>
      <c r="B81" s="12">
        <f t="shared" si="17"/>
        <v>300</v>
      </c>
      <c r="C81" s="13" t="str">
        <f t="shared" si="17"/>
        <v>Violencia contra la mujer</v>
      </c>
      <c r="D81" s="13" t="str">
        <f t="shared" si="17"/>
        <v>Mujeres</v>
      </c>
      <c r="E81" s="26">
        <v>2</v>
      </c>
      <c r="F81" s="13" t="str">
        <f t="shared" si="18"/>
        <v>Sentencias por delito de abuso sexual</v>
      </c>
      <c r="G81" s="55" t="s">
        <v>5960</v>
      </c>
      <c r="H81" s="29" t="s">
        <v>15</v>
      </c>
      <c r="I81" s="28" t="s">
        <v>368</v>
      </c>
      <c r="J81" s="12" t="str">
        <f t="shared" si="15"/>
        <v>Ninguno</v>
      </c>
      <c r="K81" s="12" t="str">
        <f t="shared" si="19"/>
        <v>Sentencias Dictadas por Delitos de Abuso Sexual</v>
      </c>
      <c r="L81" s="12" t="str">
        <f t="shared" si="19"/>
        <v>Periodo 2013-2019</v>
      </c>
      <c r="M81" s="12" t="str">
        <f t="shared" si="19"/>
        <v>Número de sentencias</v>
      </c>
      <c r="N81" s="33" t="s">
        <v>5964</v>
      </c>
      <c r="O81" s="27" t="str">
        <f>"Sentencias Dictadas por Delitos de Abuso Sexual por Juzgado de Garantía en la "&amp;[1]!Ingresos_Historicos[[#This Row],[territorio]]&amp;" durante el Periodo 2013-2019"</f>
        <v>Sentencias Dictadas por Delitos de Abuso Sexual por Juzgado de Garantía en la Valparaiso durante el Periodo 2013-2019</v>
      </c>
      <c r="P81"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Valparaiso durante el Periodo 2013-2019 de acuerdo a datos provenientes del Poder Judicial de Chile.</v>
      </c>
      <c r="Q81" s="14" t="str">
        <f t="shared" si="16"/>
        <v>Gráfico de Evolución</v>
      </c>
      <c r="R81" s="77" t="s">
        <v>5992</v>
      </c>
      <c r="S81" s="15" t="s">
        <v>6458</v>
      </c>
      <c r="T81" s="65" t="s">
        <v>5908</v>
      </c>
      <c r="U81" s="24" t="s">
        <v>397</v>
      </c>
      <c r="V81" s="19" t="str">
        <f>+Ingresos_Historicos[[#This Row],[idcoleccion]]&amp;"-"&amp;Ingresos_Historicos[[#This Row],[id]]</f>
        <v>300-0071</v>
      </c>
      <c r="W81" s="19">
        <f>+VLOOKUP(Ingresos_Historicos[[#This Row],[Filtro URL]],Estructura!$X$4:$Y$366,2,0)</f>
        <v>30200002</v>
      </c>
      <c r="X81" s="19" t="str">
        <f>+VLOOKUP(Ingresos_Historicos[[#This Row],[tema]],Estructura!$A$4:$C$18,3,0)</f>
        <v>T-306</v>
      </c>
      <c r="Y81" s="19" t="str">
        <f>+VLOOKUP(Ingresos_Historicos[[#This Row],[contenido]],Estructura!$E$4:$G$18,3,0)</f>
        <v>C-301</v>
      </c>
      <c r="Z81" s="19" t="str">
        <f>+VLOOKUP(Ingresos_Historicos[[#This Row],[Filtro Integrado]],Estructura!$M$4:$O$367,3,0)</f>
        <v>FI-303</v>
      </c>
      <c r="AA81" s="19" t="str">
        <f>+VLOOKUP(Ingresos_Historicos[[#This Row],[Muestra]],Estructura!$Q$4:$S$194,3,0)</f>
        <v>M-306</v>
      </c>
    </row>
    <row r="82" spans="1:27" ht="51" x14ac:dyDescent="0.3">
      <c r="A82" s="71" t="s">
        <v>468</v>
      </c>
      <c r="B82" s="12">
        <f t="shared" si="17"/>
        <v>300</v>
      </c>
      <c r="C82" s="13" t="str">
        <f t="shared" si="17"/>
        <v>Violencia contra la mujer</v>
      </c>
      <c r="D82" s="13" t="str">
        <f t="shared" si="17"/>
        <v>Mujeres</v>
      </c>
      <c r="E82" s="26">
        <v>3</v>
      </c>
      <c r="F82" s="13" t="str">
        <f t="shared" si="18"/>
        <v>Sentencias por delito de abuso sexual</v>
      </c>
      <c r="G82" s="55" t="s">
        <v>5960</v>
      </c>
      <c r="H82" s="29" t="s">
        <v>15</v>
      </c>
      <c r="I82" s="28" t="s">
        <v>369</v>
      </c>
      <c r="J82" s="12" t="str">
        <f t="shared" si="15"/>
        <v>Ninguno</v>
      </c>
      <c r="K82" s="12" t="str">
        <f t="shared" si="19"/>
        <v>Sentencias Dictadas por Delitos de Abuso Sexual</v>
      </c>
      <c r="L82" s="12" t="str">
        <f t="shared" si="19"/>
        <v>Periodo 2013-2019</v>
      </c>
      <c r="M82" s="12" t="str">
        <f t="shared" si="19"/>
        <v>Número de sentencias</v>
      </c>
      <c r="N82" s="33" t="s">
        <v>5964</v>
      </c>
      <c r="O82" s="27" t="str">
        <f>"Sentencias Dictadas por Delitos de Abuso Sexual por Juzgado de Garantía en la "&amp;[1]!Ingresos_Historicos[[#This Row],[territorio]]&amp;" durante el Periodo 2013-2019"</f>
        <v>Sentencias Dictadas por Delitos de Abuso Sexual por Juzgado de Garantía en la Villa Alemana durante el Periodo 2013-2019</v>
      </c>
      <c r="P82"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Villa Alemana durante el Periodo 2013-2019 de acuerdo a datos provenientes del Poder Judicial de Chile.</v>
      </c>
      <c r="Q82" s="14" t="str">
        <f t="shared" si="16"/>
        <v>Gráfico de Evolución</v>
      </c>
      <c r="R82" s="77" t="s">
        <v>5993</v>
      </c>
      <c r="S82" s="15" t="s">
        <v>6459</v>
      </c>
      <c r="T82" s="65" t="s">
        <v>5909</v>
      </c>
      <c r="U82" s="24" t="s">
        <v>397</v>
      </c>
      <c r="V82" s="19" t="str">
        <f>+Ingresos_Historicos[[#This Row],[idcoleccion]]&amp;"-"&amp;Ingresos_Historicos[[#This Row],[id]]</f>
        <v>300-0072</v>
      </c>
      <c r="W82" s="19">
        <f>+VLOOKUP(Ingresos_Historicos[[#This Row],[Filtro URL]],Estructura!$X$4:$Y$366,2,0)</f>
        <v>30200003</v>
      </c>
      <c r="X82" s="19" t="str">
        <f>+VLOOKUP(Ingresos_Historicos[[#This Row],[tema]],Estructura!$A$4:$C$18,3,0)</f>
        <v>T-306</v>
      </c>
      <c r="Y82" s="19" t="str">
        <f>+VLOOKUP(Ingresos_Historicos[[#This Row],[contenido]],Estructura!$E$4:$G$18,3,0)</f>
        <v>C-301</v>
      </c>
      <c r="Z82" s="19" t="str">
        <f>+VLOOKUP(Ingresos_Historicos[[#This Row],[Filtro Integrado]],Estructura!$M$4:$O$367,3,0)</f>
        <v>FI-303</v>
      </c>
      <c r="AA82" s="19" t="str">
        <f>+VLOOKUP(Ingresos_Historicos[[#This Row],[Muestra]],Estructura!$Q$4:$S$194,3,0)</f>
        <v>M-306</v>
      </c>
    </row>
    <row r="83" spans="1:27" ht="40.799999999999997" x14ac:dyDescent="0.3">
      <c r="A83" s="71" t="s">
        <v>469</v>
      </c>
      <c r="B83" s="12">
        <f t="shared" si="17"/>
        <v>300</v>
      </c>
      <c r="C83" s="13" t="str">
        <f t="shared" si="17"/>
        <v>Violencia contra la mujer</v>
      </c>
      <c r="D83" s="13" t="str">
        <f t="shared" si="17"/>
        <v>Mujeres</v>
      </c>
      <c r="E83" s="26">
        <v>4</v>
      </c>
      <c r="F83" s="13" t="str">
        <f t="shared" si="18"/>
        <v>Sentencias por delito de abuso sexual</v>
      </c>
      <c r="G83" s="55" t="s">
        <v>5960</v>
      </c>
      <c r="H83" s="29" t="s">
        <v>15</v>
      </c>
      <c r="I83" s="28" t="s">
        <v>370</v>
      </c>
      <c r="J83" s="12" t="str">
        <f t="shared" si="15"/>
        <v>Ninguno</v>
      </c>
      <c r="K83" s="12" t="str">
        <f t="shared" si="19"/>
        <v>Sentencias Dictadas por Delitos de Abuso Sexual</v>
      </c>
      <c r="L83" s="12" t="str">
        <f t="shared" si="19"/>
        <v>Periodo 2013-2019</v>
      </c>
      <c r="M83" s="12" t="str">
        <f t="shared" si="19"/>
        <v>Número de sentencias</v>
      </c>
      <c r="N83" s="33" t="s">
        <v>5964</v>
      </c>
      <c r="O83" s="27" t="str">
        <f>"Sentencias Dictadas por Delitos de Abuso Sexual por Juzgado de Garantía en la "&amp;[1]!Ingresos_Historicos[[#This Row],[territorio]]&amp;" durante el Periodo 2013-2019"</f>
        <v>Sentencias Dictadas por Delitos de Abuso Sexual por Juzgado de Garantía en la Viña Del Mar durante el Periodo 2013-2019</v>
      </c>
      <c r="P83"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Viña Del Mar durante el Periodo 2013-2019 de acuerdo a datos provenientes del Poder Judicial de Chile.</v>
      </c>
      <c r="Q83" s="14" t="str">
        <f t="shared" si="16"/>
        <v>Gráfico de Evolución</v>
      </c>
      <c r="R83" s="77" t="s">
        <v>5994</v>
      </c>
      <c r="S83" s="15" t="s">
        <v>6460</v>
      </c>
      <c r="T83" s="65" t="s">
        <v>5910</v>
      </c>
      <c r="U83" s="24" t="s">
        <v>397</v>
      </c>
      <c r="V83" s="19" t="str">
        <f>+Ingresos_Historicos[[#This Row],[idcoleccion]]&amp;"-"&amp;Ingresos_Historicos[[#This Row],[id]]</f>
        <v>300-0073</v>
      </c>
      <c r="W83" s="19">
        <f>+VLOOKUP(Ingresos_Historicos[[#This Row],[Filtro URL]],Estructura!$X$4:$Y$366,2,0)</f>
        <v>30200004</v>
      </c>
      <c r="X83" s="19" t="str">
        <f>+VLOOKUP(Ingresos_Historicos[[#This Row],[tema]],Estructura!$A$4:$C$18,3,0)</f>
        <v>T-306</v>
      </c>
      <c r="Y83" s="19" t="str">
        <f>+VLOOKUP(Ingresos_Historicos[[#This Row],[contenido]],Estructura!$E$4:$G$18,3,0)</f>
        <v>C-301</v>
      </c>
      <c r="Z83" s="19" t="str">
        <f>+VLOOKUP(Ingresos_Historicos[[#This Row],[Filtro Integrado]],Estructura!$M$4:$O$367,3,0)</f>
        <v>FI-303</v>
      </c>
      <c r="AA83" s="19" t="str">
        <f>+VLOOKUP(Ingresos_Historicos[[#This Row],[Muestra]],Estructura!$Q$4:$S$194,3,0)</f>
        <v>M-306</v>
      </c>
    </row>
    <row r="84" spans="1:27" ht="40.799999999999997" x14ac:dyDescent="0.3">
      <c r="A84" s="71" t="s">
        <v>470</v>
      </c>
      <c r="B84" s="12">
        <f t="shared" si="17"/>
        <v>300</v>
      </c>
      <c r="C84" s="13" t="str">
        <f t="shared" si="17"/>
        <v>Violencia contra la mujer</v>
      </c>
      <c r="D84" s="13" t="str">
        <f t="shared" si="17"/>
        <v>Mujeres</v>
      </c>
      <c r="E84" s="26">
        <v>5</v>
      </c>
      <c r="F84" s="13" t="str">
        <f t="shared" si="18"/>
        <v>Sentencias por delito de abuso sexual</v>
      </c>
      <c r="G84" s="55" t="s">
        <v>5960</v>
      </c>
      <c r="H84" s="29" t="s">
        <v>15</v>
      </c>
      <c r="I84" s="28" t="s">
        <v>371</v>
      </c>
      <c r="J84" s="12" t="str">
        <f t="shared" si="15"/>
        <v>Ninguno</v>
      </c>
      <c r="K84" s="12" t="str">
        <f t="shared" si="19"/>
        <v>Sentencias Dictadas por Delitos de Abuso Sexual</v>
      </c>
      <c r="L84" s="12" t="str">
        <f t="shared" si="19"/>
        <v>Periodo 2013-2019</v>
      </c>
      <c r="M84" s="12" t="str">
        <f t="shared" si="19"/>
        <v>Número de sentencias</v>
      </c>
      <c r="N84" s="33" t="s">
        <v>5964</v>
      </c>
      <c r="O84" s="27" t="str">
        <f>"Sentencias Dictadas por Delitos de Abuso Sexual por Juzgado de Garantía en la "&amp;[1]!Ingresos_Historicos[[#This Row],[territorio]]&amp;" durante el Periodo 2013-2019"</f>
        <v>Sentencias Dictadas por Delitos de Abuso Sexual por Juzgado de Garantía en la Graneros durante el Periodo 2013-2019</v>
      </c>
      <c r="P84"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Graneros durante el Periodo 2013-2019 de acuerdo a datos provenientes del Poder Judicial de Chile.</v>
      </c>
      <c r="Q84" s="14" t="str">
        <f t="shared" si="16"/>
        <v>Gráfico de Evolución</v>
      </c>
      <c r="R84" s="77" t="s">
        <v>5995</v>
      </c>
      <c r="S84" s="15" t="s">
        <v>6461</v>
      </c>
      <c r="T84" s="65" t="s">
        <v>5911</v>
      </c>
      <c r="U84" s="24" t="s">
        <v>397</v>
      </c>
      <c r="V84" s="19" t="str">
        <f>+Ingresos_Historicos[[#This Row],[idcoleccion]]&amp;"-"&amp;Ingresos_Historicos[[#This Row],[id]]</f>
        <v>300-0074</v>
      </c>
      <c r="W84" s="19">
        <f>+VLOOKUP(Ingresos_Historicos[[#This Row],[Filtro URL]],Estructura!$X$4:$Y$366,2,0)</f>
        <v>30200005</v>
      </c>
      <c r="X84" s="19" t="str">
        <f>+VLOOKUP(Ingresos_Historicos[[#This Row],[tema]],Estructura!$A$4:$C$18,3,0)</f>
        <v>T-306</v>
      </c>
      <c r="Y84" s="19" t="str">
        <f>+VLOOKUP(Ingresos_Historicos[[#This Row],[contenido]],Estructura!$E$4:$G$18,3,0)</f>
        <v>C-301</v>
      </c>
      <c r="Z84" s="19" t="str">
        <f>+VLOOKUP(Ingresos_Historicos[[#This Row],[Filtro Integrado]],Estructura!$M$4:$O$367,3,0)</f>
        <v>FI-303</v>
      </c>
      <c r="AA84" s="19" t="str">
        <f>+VLOOKUP(Ingresos_Historicos[[#This Row],[Muestra]],Estructura!$Q$4:$S$194,3,0)</f>
        <v>M-306</v>
      </c>
    </row>
    <row r="85" spans="1:27" ht="40.799999999999997" x14ac:dyDescent="0.3">
      <c r="A85" s="71" t="s">
        <v>471</v>
      </c>
      <c r="B85" s="12">
        <f t="shared" si="17"/>
        <v>300</v>
      </c>
      <c r="C85" s="13" t="str">
        <f t="shared" si="17"/>
        <v>Violencia contra la mujer</v>
      </c>
      <c r="D85" s="13" t="str">
        <f t="shared" si="17"/>
        <v>Mujeres</v>
      </c>
      <c r="E85" s="26">
        <v>6</v>
      </c>
      <c r="F85" s="13" t="str">
        <f t="shared" si="18"/>
        <v>Sentencias por delito de abuso sexual</v>
      </c>
      <c r="G85" s="55" t="s">
        <v>5960</v>
      </c>
      <c r="H85" s="29" t="s">
        <v>15</v>
      </c>
      <c r="I85" s="28" t="s">
        <v>372</v>
      </c>
      <c r="J85" s="12" t="str">
        <f t="shared" si="15"/>
        <v>Ninguno</v>
      </c>
      <c r="K85" s="12" t="str">
        <f t="shared" si="19"/>
        <v>Sentencias Dictadas por Delitos de Abuso Sexual</v>
      </c>
      <c r="L85" s="12" t="str">
        <f t="shared" si="19"/>
        <v>Periodo 2013-2019</v>
      </c>
      <c r="M85" s="12" t="str">
        <f t="shared" si="19"/>
        <v>Número de sentencias</v>
      </c>
      <c r="N85" s="33" t="s">
        <v>5964</v>
      </c>
      <c r="O85" s="27" t="str">
        <f>"Sentencias Dictadas por Delitos de Abuso Sexual por Juzgado de Garantía en la "&amp;[1]!Ingresos_Historicos[[#This Row],[territorio]]&amp;" durante el Periodo 2013-2019"</f>
        <v>Sentencias Dictadas por Delitos de Abuso Sexual por Juzgado de Garantía en la Rancagua durante el Periodo 2013-2019</v>
      </c>
      <c r="P85"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Rancagua durante el Periodo 2013-2019 de acuerdo a datos provenientes del Poder Judicial de Chile.</v>
      </c>
      <c r="Q85" s="14" t="str">
        <f t="shared" si="16"/>
        <v>Gráfico de Evolución</v>
      </c>
      <c r="R85" s="77" t="s">
        <v>5996</v>
      </c>
      <c r="S85" s="15" t="s">
        <v>6462</v>
      </c>
      <c r="T85" s="65" t="s">
        <v>5912</v>
      </c>
      <c r="U85" s="24" t="s">
        <v>397</v>
      </c>
      <c r="V85" s="19" t="str">
        <f>+Ingresos_Historicos[[#This Row],[idcoleccion]]&amp;"-"&amp;Ingresos_Historicos[[#This Row],[id]]</f>
        <v>300-0075</v>
      </c>
      <c r="W85" s="19">
        <f>+VLOOKUP(Ingresos_Historicos[[#This Row],[Filtro URL]],Estructura!$X$4:$Y$366,2,0)</f>
        <v>30200006</v>
      </c>
      <c r="X85" s="19" t="str">
        <f>+VLOOKUP(Ingresos_Historicos[[#This Row],[tema]],Estructura!$A$4:$C$18,3,0)</f>
        <v>T-306</v>
      </c>
      <c r="Y85" s="19" t="str">
        <f>+VLOOKUP(Ingresos_Historicos[[#This Row],[contenido]],Estructura!$E$4:$G$18,3,0)</f>
        <v>C-301</v>
      </c>
      <c r="Z85" s="19" t="str">
        <f>+VLOOKUP(Ingresos_Historicos[[#This Row],[Filtro Integrado]],Estructura!$M$4:$O$367,3,0)</f>
        <v>FI-303</v>
      </c>
      <c r="AA85" s="19" t="str">
        <f>+VLOOKUP(Ingresos_Historicos[[#This Row],[Muestra]],Estructura!$Q$4:$S$194,3,0)</f>
        <v>M-306</v>
      </c>
    </row>
    <row r="86" spans="1:27" ht="40.799999999999997" x14ac:dyDescent="0.3">
      <c r="A86" s="71" t="s">
        <v>472</v>
      </c>
      <c r="B86" s="12">
        <f t="shared" si="17"/>
        <v>300</v>
      </c>
      <c r="C86" s="13" t="str">
        <f t="shared" si="17"/>
        <v>Violencia contra la mujer</v>
      </c>
      <c r="D86" s="13" t="str">
        <f t="shared" si="17"/>
        <v>Mujeres</v>
      </c>
      <c r="E86" s="26">
        <v>7</v>
      </c>
      <c r="F86" s="13" t="str">
        <f t="shared" si="18"/>
        <v>Sentencias por delito de abuso sexual</v>
      </c>
      <c r="G86" s="55" t="s">
        <v>5960</v>
      </c>
      <c r="H86" s="29" t="s">
        <v>15</v>
      </c>
      <c r="I86" s="28" t="s">
        <v>373</v>
      </c>
      <c r="J86" s="12" t="str">
        <f t="shared" si="15"/>
        <v>Ninguno</v>
      </c>
      <c r="K86" s="12" t="str">
        <f t="shared" si="19"/>
        <v>Sentencias Dictadas por Delitos de Abuso Sexual</v>
      </c>
      <c r="L86" s="12" t="str">
        <f t="shared" si="19"/>
        <v>Periodo 2013-2019</v>
      </c>
      <c r="M86" s="12" t="str">
        <f t="shared" si="19"/>
        <v>Número de sentencias</v>
      </c>
      <c r="N86" s="33" t="s">
        <v>5964</v>
      </c>
      <c r="O86" s="27" t="str">
        <f>"Sentencias Dictadas por Delitos de Abuso Sexual por Juzgado de Garantía en la "&amp;[1]!Ingresos_Historicos[[#This Row],[territorio]]&amp;" durante el Periodo 2013-2019"</f>
        <v>Sentencias Dictadas por Delitos de Abuso Sexual por Juzgado de Garantía en la Rengo durante el Periodo 2013-2019</v>
      </c>
      <c r="P86"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Rengo durante el Periodo 2013-2019 de acuerdo a datos provenientes del Poder Judicial de Chile.</v>
      </c>
      <c r="Q86" s="14" t="str">
        <f t="shared" si="16"/>
        <v>Gráfico de Evolución</v>
      </c>
      <c r="R86" s="77" t="s">
        <v>5997</v>
      </c>
      <c r="S86" s="15" t="s">
        <v>6463</v>
      </c>
      <c r="T86" s="65" t="s">
        <v>5913</v>
      </c>
      <c r="U86" s="24" t="s">
        <v>397</v>
      </c>
      <c r="V86" s="19" t="str">
        <f>+Ingresos_Historicos[[#This Row],[idcoleccion]]&amp;"-"&amp;Ingresos_Historicos[[#This Row],[id]]</f>
        <v>300-0076</v>
      </c>
      <c r="W86" s="19">
        <f>+VLOOKUP(Ingresos_Historicos[[#This Row],[Filtro URL]],Estructura!$X$4:$Y$366,2,0)</f>
        <v>30200007</v>
      </c>
      <c r="X86" s="19" t="str">
        <f>+VLOOKUP(Ingresos_Historicos[[#This Row],[tema]],Estructura!$A$4:$C$18,3,0)</f>
        <v>T-306</v>
      </c>
      <c r="Y86" s="19" t="str">
        <f>+VLOOKUP(Ingresos_Historicos[[#This Row],[contenido]],Estructura!$E$4:$G$18,3,0)</f>
        <v>C-301</v>
      </c>
      <c r="Z86" s="19" t="str">
        <f>+VLOOKUP(Ingresos_Historicos[[#This Row],[Filtro Integrado]],Estructura!$M$4:$O$367,3,0)</f>
        <v>FI-303</v>
      </c>
      <c r="AA86" s="19" t="str">
        <f>+VLOOKUP(Ingresos_Historicos[[#This Row],[Muestra]],Estructura!$Q$4:$S$194,3,0)</f>
        <v>M-306</v>
      </c>
    </row>
    <row r="87" spans="1:27" ht="40.799999999999997" x14ac:dyDescent="0.3">
      <c r="A87" s="71" t="s">
        <v>473</v>
      </c>
      <c r="B87" s="12">
        <f t="shared" si="17"/>
        <v>300</v>
      </c>
      <c r="C87" s="13" t="str">
        <f t="shared" si="17"/>
        <v>Violencia contra la mujer</v>
      </c>
      <c r="D87" s="13" t="str">
        <f t="shared" si="17"/>
        <v>Mujeres</v>
      </c>
      <c r="E87" s="26">
        <v>8</v>
      </c>
      <c r="F87" s="13" t="str">
        <f t="shared" si="18"/>
        <v>Sentencias por delito de abuso sexual</v>
      </c>
      <c r="G87" s="55" t="s">
        <v>5960</v>
      </c>
      <c r="H87" s="29" t="s">
        <v>15</v>
      </c>
      <c r="I87" s="28" t="s">
        <v>374</v>
      </c>
      <c r="J87" s="12" t="str">
        <f t="shared" si="15"/>
        <v>Ninguno</v>
      </c>
      <c r="K87" s="12" t="str">
        <f t="shared" si="19"/>
        <v>Sentencias Dictadas por Delitos de Abuso Sexual</v>
      </c>
      <c r="L87" s="12" t="str">
        <f t="shared" si="19"/>
        <v>Periodo 2013-2019</v>
      </c>
      <c r="M87" s="12" t="str">
        <f t="shared" si="19"/>
        <v>Número de sentencias</v>
      </c>
      <c r="N87" s="33" t="s">
        <v>5964</v>
      </c>
      <c r="O87" s="27" t="str">
        <f>"Sentencias Dictadas por Delitos de Abuso Sexual por Juzgado de Garantía en la "&amp;[1]!Ingresos_Historicos[[#This Row],[territorio]]&amp;" durante el Periodo 2013-2019"</f>
        <v>Sentencias Dictadas por Delitos de Abuso Sexual por Juzgado de Garantía en la San Fernando durante el Periodo 2013-2019</v>
      </c>
      <c r="P87"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San Fernando durante el Periodo 2013-2019 de acuerdo a datos provenientes del Poder Judicial de Chile.</v>
      </c>
      <c r="Q87" s="14" t="str">
        <f t="shared" si="16"/>
        <v>Gráfico de Evolución</v>
      </c>
      <c r="R87" s="77" t="s">
        <v>5998</v>
      </c>
      <c r="S87" s="15" t="s">
        <v>6464</v>
      </c>
      <c r="T87" s="65" t="s">
        <v>5914</v>
      </c>
      <c r="U87" s="24" t="s">
        <v>397</v>
      </c>
      <c r="V87" s="19" t="str">
        <f>+Ingresos_Historicos[[#This Row],[idcoleccion]]&amp;"-"&amp;Ingresos_Historicos[[#This Row],[id]]</f>
        <v>300-0077</v>
      </c>
      <c r="W87" s="19">
        <f>+VLOOKUP(Ingresos_Historicos[[#This Row],[Filtro URL]],Estructura!$X$4:$Y$366,2,0)</f>
        <v>30200008</v>
      </c>
      <c r="X87" s="19" t="str">
        <f>+VLOOKUP(Ingresos_Historicos[[#This Row],[tema]],Estructura!$A$4:$C$18,3,0)</f>
        <v>T-306</v>
      </c>
      <c r="Y87" s="19" t="str">
        <f>+VLOOKUP(Ingresos_Historicos[[#This Row],[contenido]],Estructura!$E$4:$G$18,3,0)</f>
        <v>C-301</v>
      </c>
      <c r="Z87" s="19" t="str">
        <f>+VLOOKUP(Ingresos_Historicos[[#This Row],[Filtro Integrado]],Estructura!$M$4:$O$367,3,0)</f>
        <v>FI-303</v>
      </c>
      <c r="AA87" s="19" t="str">
        <f>+VLOOKUP(Ingresos_Historicos[[#This Row],[Muestra]],Estructura!$Q$4:$S$194,3,0)</f>
        <v>M-306</v>
      </c>
    </row>
    <row r="88" spans="1:27" ht="40.799999999999997" x14ac:dyDescent="0.3">
      <c r="A88" s="71" t="s">
        <v>474</v>
      </c>
      <c r="B88" s="12">
        <f t="shared" si="17"/>
        <v>300</v>
      </c>
      <c r="C88" s="13" t="str">
        <f t="shared" si="17"/>
        <v>Violencia contra la mujer</v>
      </c>
      <c r="D88" s="13" t="str">
        <f t="shared" si="17"/>
        <v>Mujeres</v>
      </c>
      <c r="E88" s="26">
        <v>9</v>
      </c>
      <c r="F88" s="13" t="str">
        <f t="shared" si="18"/>
        <v>Sentencias por delito de abuso sexual</v>
      </c>
      <c r="G88" s="55" t="s">
        <v>5960</v>
      </c>
      <c r="H88" s="29" t="s">
        <v>15</v>
      </c>
      <c r="I88" s="28" t="s">
        <v>375</v>
      </c>
      <c r="J88" s="12" t="str">
        <f t="shared" si="15"/>
        <v>Ninguno</v>
      </c>
      <c r="K88" s="12" t="str">
        <f t="shared" si="19"/>
        <v>Sentencias Dictadas por Delitos de Abuso Sexual</v>
      </c>
      <c r="L88" s="12" t="str">
        <f t="shared" si="19"/>
        <v>Periodo 2013-2019</v>
      </c>
      <c r="M88" s="12" t="str">
        <f t="shared" si="19"/>
        <v>Número de sentencias</v>
      </c>
      <c r="N88" s="33" t="s">
        <v>5964</v>
      </c>
      <c r="O88" s="27" t="str">
        <f>"Sentencias Dictadas por Delitos de Abuso Sexual por Juzgado de Garantía en la "&amp;[1]!Ingresos_Historicos[[#This Row],[territorio]]&amp;" durante el Periodo 2013-2019"</f>
        <v>Sentencias Dictadas por Delitos de Abuso Sexual por Juzgado de Garantía en la San Vicente durante el Periodo 2013-2019</v>
      </c>
      <c r="P88"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San Vicente durante el Periodo 2013-2019 de acuerdo a datos provenientes del Poder Judicial de Chile.</v>
      </c>
      <c r="Q88" s="14" t="str">
        <f t="shared" si="16"/>
        <v>Gráfico de Evolución</v>
      </c>
      <c r="R88" s="77" t="s">
        <v>5999</v>
      </c>
      <c r="S88" s="15" t="s">
        <v>6465</v>
      </c>
      <c r="T88" s="65" t="s">
        <v>5915</v>
      </c>
      <c r="U88" s="24" t="s">
        <v>397</v>
      </c>
      <c r="V88" s="19" t="str">
        <f>+Ingresos_Historicos[[#This Row],[idcoleccion]]&amp;"-"&amp;Ingresos_Historicos[[#This Row],[id]]</f>
        <v>300-0078</v>
      </c>
      <c r="W88" s="19">
        <f>+VLOOKUP(Ingresos_Historicos[[#This Row],[Filtro URL]],Estructura!$X$4:$Y$366,2,0)</f>
        <v>30200009</v>
      </c>
      <c r="X88" s="19" t="str">
        <f>+VLOOKUP(Ingresos_Historicos[[#This Row],[tema]],Estructura!$A$4:$C$18,3,0)</f>
        <v>T-306</v>
      </c>
      <c r="Y88" s="19" t="str">
        <f>+VLOOKUP(Ingresos_Historicos[[#This Row],[contenido]],Estructura!$E$4:$G$18,3,0)</f>
        <v>C-301</v>
      </c>
      <c r="Z88" s="19" t="str">
        <f>+VLOOKUP(Ingresos_Historicos[[#This Row],[Filtro Integrado]],Estructura!$M$4:$O$367,3,0)</f>
        <v>FI-303</v>
      </c>
      <c r="AA88" s="19" t="str">
        <f>+VLOOKUP(Ingresos_Historicos[[#This Row],[Muestra]],Estructura!$Q$4:$S$194,3,0)</f>
        <v>M-306</v>
      </c>
    </row>
    <row r="89" spans="1:27" ht="40.799999999999997" x14ac:dyDescent="0.3">
      <c r="A89" s="71" t="s">
        <v>475</v>
      </c>
      <c r="B89" s="12">
        <f t="shared" si="17"/>
        <v>300</v>
      </c>
      <c r="C89" s="13" t="str">
        <f t="shared" si="17"/>
        <v>Violencia contra la mujer</v>
      </c>
      <c r="D89" s="13" t="str">
        <f t="shared" si="17"/>
        <v>Mujeres</v>
      </c>
      <c r="E89" s="26">
        <v>10</v>
      </c>
      <c r="F89" s="13" t="str">
        <f t="shared" si="18"/>
        <v>Sentencias por delito de abuso sexual</v>
      </c>
      <c r="G89" s="55" t="s">
        <v>5960</v>
      </c>
      <c r="H89" s="29" t="s">
        <v>15</v>
      </c>
      <c r="I89" s="28" t="s">
        <v>376</v>
      </c>
      <c r="J89" s="12" t="str">
        <f t="shared" si="15"/>
        <v>Ninguno</v>
      </c>
      <c r="K89" s="12" t="str">
        <f t="shared" si="19"/>
        <v>Sentencias Dictadas por Delitos de Abuso Sexual</v>
      </c>
      <c r="L89" s="12" t="str">
        <f t="shared" si="19"/>
        <v>Periodo 2013-2019</v>
      </c>
      <c r="M89" s="12" t="str">
        <f t="shared" si="19"/>
        <v>Número de sentencias</v>
      </c>
      <c r="N89" s="33" t="s">
        <v>5964</v>
      </c>
      <c r="O89" s="27" t="str">
        <f>"Sentencias Dictadas por Delitos de Abuso Sexual por Juzgado de Garantía en la "&amp;[1]!Ingresos_Historicos[[#This Row],[territorio]]&amp;" durante el Periodo 2013-2019"</f>
        <v>Sentencias Dictadas por Delitos de Abuso Sexual por Juzgado de Garantía en la Santa Cruz durante el Periodo 2013-2019</v>
      </c>
      <c r="P89"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Santa Cruz durante el Periodo 2013-2019 de acuerdo a datos provenientes del Poder Judicial de Chile.</v>
      </c>
      <c r="Q89" s="14" t="str">
        <f t="shared" si="16"/>
        <v>Gráfico de Evolución</v>
      </c>
      <c r="R89" s="77" t="s">
        <v>6000</v>
      </c>
      <c r="S89" s="15" t="s">
        <v>6466</v>
      </c>
      <c r="T89" s="65" t="s">
        <v>5916</v>
      </c>
      <c r="U89" s="24" t="s">
        <v>397</v>
      </c>
      <c r="V89" s="19" t="str">
        <f>+Ingresos_Historicos[[#This Row],[idcoleccion]]&amp;"-"&amp;Ingresos_Historicos[[#This Row],[id]]</f>
        <v>300-0079</v>
      </c>
      <c r="W89" s="19">
        <f>+VLOOKUP(Ingresos_Historicos[[#This Row],[Filtro URL]],Estructura!$X$4:$Y$366,2,0)</f>
        <v>30200010</v>
      </c>
      <c r="X89" s="19" t="str">
        <f>+VLOOKUP(Ingresos_Historicos[[#This Row],[tema]],Estructura!$A$4:$C$18,3,0)</f>
        <v>T-306</v>
      </c>
      <c r="Y89" s="19" t="str">
        <f>+VLOOKUP(Ingresos_Historicos[[#This Row],[contenido]],Estructura!$E$4:$G$18,3,0)</f>
        <v>C-301</v>
      </c>
      <c r="Z89" s="19" t="str">
        <f>+VLOOKUP(Ingresos_Historicos[[#This Row],[Filtro Integrado]],Estructura!$M$4:$O$367,3,0)</f>
        <v>FI-303</v>
      </c>
      <c r="AA89" s="19" t="str">
        <f>+VLOOKUP(Ingresos_Historicos[[#This Row],[Muestra]],Estructura!$Q$4:$S$194,3,0)</f>
        <v>M-306</v>
      </c>
    </row>
    <row r="90" spans="1:27" ht="40.799999999999997" x14ac:dyDescent="0.3">
      <c r="A90" s="71" t="s">
        <v>476</v>
      </c>
      <c r="B90" s="12">
        <f t="shared" si="17"/>
        <v>300</v>
      </c>
      <c r="C90" s="13" t="str">
        <f t="shared" si="17"/>
        <v>Violencia contra la mujer</v>
      </c>
      <c r="D90" s="13" t="str">
        <f t="shared" si="17"/>
        <v>Mujeres</v>
      </c>
      <c r="E90" s="26">
        <v>11</v>
      </c>
      <c r="F90" s="13" t="str">
        <f t="shared" si="18"/>
        <v>Sentencias por delito de abuso sexual</v>
      </c>
      <c r="G90" s="55" t="s">
        <v>5960</v>
      </c>
      <c r="H90" s="29" t="s">
        <v>15</v>
      </c>
      <c r="I90" s="28" t="s">
        <v>377</v>
      </c>
      <c r="J90" s="12" t="str">
        <f t="shared" si="15"/>
        <v>Ninguno</v>
      </c>
      <c r="K90" s="12" t="str">
        <f t="shared" si="19"/>
        <v>Sentencias Dictadas por Delitos de Abuso Sexual</v>
      </c>
      <c r="L90" s="12" t="str">
        <f t="shared" si="19"/>
        <v>Periodo 2013-2019</v>
      </c>
      <c r="M90" s="12" t="str">
        <f t="shared" si="19"/>
        <v>Número de sentencias</v>
      </c>
      <c r="N90" s="33" t="s">
        <v>5964</v>
      </c>
      <c r="O90" s="27" t="str">
        <f>"Sentencias Dictadas por Delitos de Abuso Sexual por Juzgado de Garantía en la "&amp;[1]!Ingresos_Historicos[[#This Row],[territorio]]&amp;" durante el Periodo 2013-2019"</f>
        <v>Sentencias Dictadas por Delitos de Abuso Sexual por Juzgado de Garantía en la Cauquenes durante el Periodo 2013-2019</v>
      </c>
      <c r="P90"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Cauquenes durante el Periodo 2013-2019 de acuerdo a datos provenientes del Poder Judicial de Chile.</v>
      </c>
      <c r="Q90" s="14" t="str">
        <f t="shared" si="16"/>
        <v>Gráfico de Evolución</v>
      </c>
      <c r="R90" s="77" t="s">
        <v>6001</v>
      </c>
      <c r="S90" s="15" t="s">
        <v>6467</v>
      </c>
      <c r="T90" s="65" t="s">
        <v>5917</v>
      </c>
      <c r="U90" s="24" t="s">
        <v>397</v>
      </c>
      <c r="V90" s="19" t="str">
        <f>+Ingresos_Historicos[[#This Row],[idcoleccion]]&amp;"-"&amp;Ingresos_Historicos[[#This Row],[id]]</f>
        <v>300-0080</v>
      </c>
      <c r="W90" s="19">
        <f>+VLOOKUP(Ingresos_Historicos[[#This Row],[Filtro URL]],Estructura!$X$4:$Y$366,2,0)</f>
        <v>30200011</v>
      </c>
      <c r="X90" s="19" t="str">
        <f>+VLOOKUP(Ingresos_Historicos[[#This Row],[tema]],Estructura!$A$4:$C$18,3,0)</f>
        <v>T-306</v>
      </c>
      <c r="Y90" s="19" t="str">
        <f>+VLOOKUP(Ingresos_Historicos[[#This Row],[contenido]],Estructura!$E$4:$G$18,3,0)</f>
        <v>C-301</v>
      </c>
      <c r="Z90" s="19" t="str">
        <f>+VLOOKUP(Ingresos_Historicos[[#This Row],[Filtro Integrado]],Estructura!$M$4:$O$367,3,0)</f>
        <v>FI-303</v>
      </c>
      <c r="AA90" s="19" t="str">
        <f>+VLOOKUP(Ingresos_Historicos[[#This Row],[Muestra]],Estructura!$Q$4:$S$194,3,0)</f>
        <v>M-306</v>
      </c>
    </row>
    <row r="91" spans="1:27" ht="40.799999999999997" x14ac:dyDescent="0.3">
      <c r="A91" s="71" t="s">
        <v>477</v>
      </c>
      <c r="B91" s="12">
        <f t="shared" si="17"/>
        <v>300</v>
      </c>
      <c r="C91" s="13" t="str">
        <f t="shared" si="17"/>
        <v>Violencia contra la mujer</v>
      </c>
      <c r="D91" s="13" t="str">
        <f t="shared" si="17"/>
        <v>Mujeres</v>
      </c>
      <c r="E91" s="26">
        <v>12</v>
      </c>
      <c r="F91" s="13" t="str">
        <f t="shared" si="18"/>
        <v>Sentencias por delito de abuso sexual</v>
      </c>
      <c r="G91" s="55" t="s">
        <v>5960</v>
      </c>
      <c r="H91" s="29" t="s">
        <v>15</v>
      </c>
      <c r="I91" s="28" t="s">
        <v>378</v>
      </c>
      <c r="J91" s="12" t="str">
        <f t="shared" si="15"/>
        <v>Ninguno</v>
      </c>
      <c r="K91" s="12" t="str">
        <f t="shared" si="19"/>
        <v>Sentencias Dictadas por Delitos de Abuso Sexual</v>
      </c>
      <c r="L91" s="12" t="str">
        <f t="shared" si="19"/>
        <v>Periodo 2013-2019</v>
      </c>
      <c r="M91" s="12" t="str">
        <f t="shared" si="19"/>
        <v>Número de sentencias</v>
      </c>
      <c r="N91" s="33" t="s">
        <v>5964</v>
      </c>
      <c r="O91" s="27" t="str">
        <f>"Sentencias Dictadas por Delitos de Abuso Sexual por Juzgado de Garantía en la "&amp;[1]!Ingresos_Historicos[[#This Row],[territorio]]&amp;" durante el Periodo 2013-2019"</f>
        <v>Sentencias Dictadas por Delitos de Abuso Sexual por Juzgado de Garantía en la Constitucion durante el Periodo 2013-2019</v>
      </c>
      <c r="P91"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Constitucion durante el Periodo 2013-2019 de acuerdo a datos provenientes del Poder Judicial de Chile.</v>
      </c>
      <c r="Q91" s="14" t="str">
        <f t="shared" si="16"/>
        <v>Gráfico de Evolución</v>
      </c>
      <c r="R91" s="77" t="s">
        <v>6002</v>
      </c>
      <c r="S91" s="15" t="s">
        <v>6468</v>
      </c>
      <c r="T91" s="65" t="s">
        <v>5918</v>
      </c>
      <c r="U91" s="24" t="s">
        <v>397</v>
      </c>
      <c r="V91" s="19" t="str">
        <f>+Ingresos_Historicos[[#This Row],[idcoleccion]]&amp;"-"&amp;Ingresos_Historicos[[#This Row],[id]]</f>
        <v>300-0081</v>
      </c>
      <c r="W91" s="19">
        <f>+VLOOKUP(Ingresos_Historicos[[#This Row],[Filtro URL]],Estructura!$X$4:$Y$366,2,0)</f>
        <v>30200012</v>
      </c>
      <c r="X91" s="19" t="str">
        <f>+VLOOKUP(Ingresos_Historicos[[#This Row],[tema]],Estructura!$A$4:$C$18,3,0)</f>
        <v>T-306</v>
      </c>
      <c r="Y91" s="19" t="str">
        <f>+VLOOKUP(Ingresos_Historicos[[#This Row],[contenido]],Estructura!$E$4:$G$18,3,0)</f>
        <v>C-301</v>
      </c>
      <c r="Z91" s="19" t="str">
        <f>+VLOOKUP(Ingresos_Historicos[[#This Row],[Filtro Integrado]],Estructura!$M$4:$O$367,3,0)</f>
        <v>FI-303</v>
      </c>
      <c r="AA91" s="19" t="str">
        <f>+VLOOKUP(Ingresos_Historicos[[#This Row],[Muestra]],Estructura!$Q$4:$S$194,3,0)</f>
        <v>M-306</v>
      </c>
    </row>
    <row r="92" spans="1:27" ht="40.799999999999997" x14ac:dyDescent="0.3">
      <c r="A92" s="71" t="s">
        <v>478</v>
      </c>
      <c r="B92" s="12">
        <f t="shared" si="17"/>
        <v>300</v>
      </c>
      <c r="C92" s="13" t="str">
        <f t="shared" si="17"/>
        <v>Violencia contra la mujer</v>
      </c>
      <c r="D92" s="13" t="str">
        <f t="shared" si="17"/>
        <v>Mujeres</v>
      </c>
      <c r="E92" s="26">
        <v>13</v>
      </c>
      <c r="F92" s="13" t="str">
        <f t="shared" si="18"/>
        <v>Sentencias por delito de abuso sexual</v>
      </c>
      <c r="G92" s="55" t="s">
        <v>5960</v>
      </c>
      <c r="H92" s="29" t="s">
        <v>15</v>
      </c>
      <c r="I92" s="28" t="s">
        <v>379</v>
      </c>
      <c r="J92" s="12" t="str">
        <f t="shared" si="15"/>
        <v>Ninguno</v>
      </c>
      <c r="K92" s="12" t="str">
        <f t="shared" si="19"/>
        <v>Sentencias Dictadas por Delitos de Abuso Sexual</v>
      </c>
      <c r="L92" s="12" t="str">
        <f t="shared" si="19"/>
        <v>Periodo 2013-2019</v>
      </c>
      <c r="M92" s="12" t="str">
        <f t="shared" si="19"/>
        <v>Número de sentencias</v>
      </c>
      <c r="N92" s="33" t="s">
        <v>5964</v>
      </c>
      <c r="O92" s="27" t="str">
        <f>"Sentencias Dictadas por Delitos de Abuso Sexual por Juzgado de Garantía en la "&amp;[1]!Ingresos_Historicos[[#This Row],[territorio]]&amp;" durante el Periodo 2013-2019"</f>
        <v>Sentencias Dictadas por Delitos de Abuso Sexual por Juzgado de Garantía en la Curico durante el Periodo 2013-2019</v>
      </c>
      <c r="P92"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Curico durante el Periodo 2013-2019 de acuerdo a datos provenientes del Poder Judicial de Chile.</v>
      </c>
      <c r="Q92" s="14" t="str">
        <f t="shared" si="16"/>
        <v>Gráfico de Evolución</v>
      </c>
      <c r="R92" s="77" t="s">
        <v>6003</v>
      </c>
      <c r="S92" s="15" t="s">
        <v>6469</v>
      </c>
      <c r="T92" s="65" t="s">
        <v>5919</v>
      </c>
      <c r="U92" s="24" t="s">
        <v>397</v>
      </c>
      <c r="V92" s="19" t="str">
        <f>+Ingresos_Historicos[[#This Row],[idcoleccion]]&amp;"-"&amp;Ingresos_Historicos[[#This Row],[id]]</f>
        <v>300-0082</v>
      </c>
      <c r="W92" s="19">
        <f>+VLOOKUP(Ingresos_Historicos[[#This Row],[Filtro URL]],Estructura!$X$4:$Y$366,2,0)</f>
        <v>30200013</v>
      </c>
      <c r="X92" s="19" t="str">
        <f>+VLOOKUP(Ingresos_Historicos[[#This Row],[tema]],Estructura!$A$4:$C$18,3,0)</f>
        <v>T-306</v>
      </c>
      <c r="Y92" s="19" t="str">
        <f>+VLOOKUP(Ingresos_Historicos[[#This Row],[contenido]],Estructura!$E$4:$G$18,3,0)</f>
        <v>C-301</v>
      </c>
      <c r="Z92" s="19" t="str">
        <f>+VLOOKUP(Ingresos_Historicos[[#This Row],[Filtro Integrado]],Estructura!$M$4:$O$367,3,0)</f>
        <v>FI-303</v>
      </c>
      <c r="AA92" s="19" t="str">
        <f>+VLOOKUP(Ingresos_Historicos[[#This Row],[Muestra]],Estructura!$Q$4:$S$194,3,0)</f>
        <v>M-306</v>
      </c>
    </row>
    <row r="93" spans="1:27" ht="40.799999999999997" x14ac:dyDescent="0.3">
      <c r="A93" s="71" t="s">
        <v>479</v>
      </c>
      <c r="B93" s="12">
        <f t="shared" si="17"/>
        <v>300</v>
      </c>
      <c r="C93" s="13" t="str">
        <f t="shared" si="17"/>
        <v>Violencia contra la mujer</v>
      </c>
      <c r="D93" s="13" t="str">
        <f t="shared" si="17"/>
        <v>Mujeres</v>
      </c>
      <c r="E93" s="26">
        <v>14</v>
      </c>
      <c r="F93" s="13" t="str">
        <f t="shared" si="18"/>
        <v>Sentencias por delito de abuso sexual</v>
      </c>
      <c r="G93" s="55" t="s">
        <v>5960</v>
      </c>
      <c r="H93" s="29" t="s">
        <v>15</v>
      </c>
      <c r="I93" s="28" t="s">
        <v>380</v>
      </c>
      <c r="J93" s="12" t="str">
        <f t="shared" si="15"/>
        <v>Ninguno</v>
      </c>
      <c r="K93" s="12" t="str">
        <f t="shared" si="19"/>
        <v>Sentencias Dictadas por Delitos de Abuso Sexual</v>
      </c>
      <c r="L93" s="12" t="str">
        <f t="shared" si="19"/>
        <v>Periodo 2013-2019</v>
      </c>
      <c r="M93" s="12" t="str">
        <f t="shared" si="19"/>
        <v>Número de sentencias</v>
      </c>
      <c r="N93" s="33" t="s">
        <v>5964</v>
      </c>
      <c r="O93" s="27" t="str">
        <f>"Sentencias Dictadas por Delitos de Abuso Sexual por Juzgado de Garantía en la "&amp;[1]!Ingresos_Historicos[[#This Row],[territorio]]&amp;" durante el Periodo 2013-2019"</f>
        <v>Sentencias Dictadas por Delitos de Abuso Sexual por Juzgado de Garantía en la Linares durante el Periodo 2013-2019</v>
      </c>
      <c r="P93"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Linares durante el Periodo 2013-2019 de acuerdo a datos provenientes del Poder Judicial de Chile.</v>
      </c>
      <c r="Q93" s="14" t="str">
        <f t="shared" si="16"/>
        <v>Gráfico de Evolución</v>
      </c>
      <c r="R93" s="77" t="s">
        <v>6004</v>
      </c>
      <c r="S93" s="15" t="s">
        <v>6470</v>
      </c>
      <c r="T93" s="65" t="s">
        <v>5920</v>
      </c>
      <c r="U93" s="24" t="s">
        <v>397</v>
      </c>
      <c r="V93" s="19" t="str">
        <f>+Ingresos_Historicos[[#This Row],[idcoleccion]]&amp;"-"&amp;Ingresos_Historicos[[#This Row],[id]]</f>
        <v>300-0083</v>
      </c>
      <c r="W93" s="19">
        <f>+VLOOKUP(Ingresos_Historicos[[#This Row],[Filtro URL]],Estructura!$X$4:$Y$366,2,0)</f>
        <v>30200014</v>
      </c>
      <c r="X93" s="19" t="str">
        <f>+VLOOKUP(Ingresos_Historicos[[#This Row],[tema]],Estructura!$A$4:$C$18,3,0)</f>
        <v>T-306</v>
      </c>
      <c r="Y93" s="19" t="str">
        <f>+VLOOKUP(Ingresos_Historicos[[#This Row],[contenido]],Estructura!$E$4:$G$18,3,0)</f>
        <v>C-301</v>
      </c>
      <c r="Z93" s="19" t="str">
        <f>+VLOOKUP(Ingresos_Historicos[[#This Row],[Filtro Integrado]],Estructura!$M$4:$O$367,3,0)</f>
        <v>FI-303</v>
      </c>
      <c r="AA93" s="19" t="str">
        <f>+VLOOKUP(Ingresos_Historicos[[#This Row],[Muestra]],Estructura!$Q$4:$S$194,3,0)</f>
        <v>M-306</v>
      </c>
    </row>
    <row r="94" spans="1:27" ht="40.799999999999997" x14ac:dyDescent="0.3">
      <c r="A94" s="71" t="s">
        <v>480</v>
      </c>
      <c r="B94" s="12">
        <f t="shared" si="17"/>
        <v>300</v>
      </c>
      <c r="C94" s="13" t="str">
        <f t="shared" si="17"/>
        <v>Violencia contra la mujer</v>
      </c>
      <c r="D94" s="13" t="str">
        <f t="shared" si="17"/>
        <v>Mujeres</v>
      </c>
      <c r="E94" s="26">
        <v>15</v>
      </c>
      <c r="F94" s="13" t="str">
        <f t="shared" si="18"/>
        <v>Sentencias por delito de abuso sexual</v>
      </c>
      <c r="G94" s="55" t="s">
        <v>5960</v>
      </c>
      <c r="H94" s="29" t="s">
        <v>15</v>
      </c>
      <c r="I94" s="28" t="s">
        <v>381</v>
      </c>
      <c r="J94" s="12" t="str">
        <f t="shared" si="15"/>
        <v>Ninguno</v>
      </c>
      <c r="K94" s="12" t="str">
        <f t="shared" si="19"/>
        <v>Sentencias Dictadas por Delitos de Abuso Sexual</v>
      </c>
      <c r="L94" s="12" t="str">
        <f t="shared" si="19"/>
        <v>Periodo 2013-2019</v>
      </c>
      <c r="M94" s="12" t="str">
        <f t="shared" si="19"/>
        <v>Número de sentencias</v>
      </c>
      <c r="N94" s="33" t="s">
        <v>5964</v>
      </c>
      <c r="O94" s="27" t="str">
        <f>"Sentencias Dictadas por Delitos de Abuso Sexual por Juzgado de Garantía en la "&amp;[1]!Ingresos_Historicos[[#This Row],[territorio]]&amp;" durante el Periodo 2013-2019"</f>
        <v>Sentencias Dictadas por Delitos de Abuso Sexual por Juzgado de Garantía en la Molina durante el Periodo 2013-2019</v>
      </c>
      <c r="P94"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Molina durante el Periodo 2013-2019 de acuerdo a datos provenientes del Poder Judicial de Chile.</v>
      </c>
      <c r="Q94" s="14" t="str">
        <f t="shared" si="16"/>
        <v>Gráfico de Evolución</v>
      </c>
      <c r="R94" s="77" t="s">
        <v>6005</v>
      </c>
      <c r="S94" s="15" t="s">
        <v>6471</v>
      </c>
      <c r="T94" s="65" t="s">
        <v>5921</v>
      </c>
      <c r="U94" s="24" t="s">
        <v>397</v>
      </c>
      <c r="V94" s="19" t="str">
        <f>+Ingresos_Historicos[[#This Row],[idcoleccion]]&amp;"-"&amp;Ingresos_Historicos[[#This Row],[id]]</f>
        <v>300-0084</v>
      </c>
      <c r="W94" s="19">
        <f>+VLOOKUP(Ingresos_Historicos[[#This Row],[Filtro URL]],Estructura!$X$4:$Y$366,2,0)</f>
        <v>30200015</v>
      </c>
      <c r="X94" s="19" t="str">
        <f>+VLOOKUP(Ingresos_Historicos[[#This Row],[tema]],Estructura!$A$4:$C$18,3,0)</f>
        <v>T-306</v>
      </c>
      <c r="Y94" s="19" t="str">
        <f>+VLOOKUP(Ingresos_Historicos[[#This Row],[contenido]],Estructura!$E$4:$G$18,3,0)</f>
        <v>C-301</v>
      </c>
      <c r="Z94" s="19" t="str">
        <f>+VLOOKUP(Ingresos_Historicos[[#This Row],[Filtro Integrado]],Estructura!$M$4:$O$367,3,0)</f>
        <v>FI-303</v>
      </c>
      <c r="AA94" s="19" t="str">
        <f>+VLOOKUP(Ingresos_Historicos[[#This Row],[Muestra]],Estructura!$Q$4:$S$194,3,0)</f>
        <v>M-306</v>
      </c>
    </row>
    <row r="95" spans="1:27" ht="40.799999999999997" x14ac:dyDescent="0.3">
      <c r="A95" s="71" t="s">
        <v>481</v>
      </c>
      <c r="B95" s="12">
        <f t="shared" ref="B95:D110" si="20">+B94</f>
        <v>300</v>
      </c>
      <c r="C95" s="13" t="str">
        <f t="shared" si="20"/>
        <v>Violencia contra la mujer</v>
      </c>
      <c r="D95" s="13" t="str">
        <f t="shared" si="20"/>
        <v>Mujeres</v>
      </c>
      <c r="E95" s="26">
        <v>16</v>
      </c>
      <c r="F95" s="13" t="str">
        <f t="shared" si="18"/>
        <v>Sentencias por delito de abuso sexual</v>
      </c>
      <c r="G95" s="55" t="s">
        <v>5960</v>
      </c>
      <c r="H95" s="29" t="s">
        <v>15</v>
      </c>
      <c r="I95" s="28" t="s">
        <v>382</v>
      </c>
      <c r="J95" s="12" t="str">
        <f t="shared" si="15"/>
        <v>Ninguno</v>
      </c>
      <c r="K95" s="12" t="str">
        <f t="shared" si="19"/>
        <v>Sentencias Dictadas por Delitos de Abuso Sexual</v>
      </c>
      <c r="L95" s="12" t="str">
        <f t="shared" si="19"/>
        <v>Periodo 2013-2019</v>
      </c>
      <c r="M95" s="12" t="str">
        <f t="shared" si="19"/>
        <v>Número de sentencias</v>
      </c>
      <c r="N95" s="33" t="s">
        <v>5964</v>
      </c>
      <c r="O95" s="27" t="str">
        <f>"Sentencias Dictadas por Delitos de Abuso Sexual por Juzgado de Garantía en la "&amp;[1]!Ingresos_Historicos[[#This Row],[territorio]]&amp;" durante el Periodo 2013-2019"</f>
        <v>Sentencias Dictadas por Delitos de Abuso Sexual por Juzgado de Garantía en la Parral durante el Periodo 2013-2019</v>
      </c>
      <c r="P95" s="42" t="str">
        <f>"El gráfico muestra la evolución anual de la frecuencia de Sentencias Dictadas por Delitos de Abuso Sexual por Juzgado de Garantía en la "&amp;[1]!Ingresos_Historicos[[#This Row],[territorio]]&amp;" durante el Periodo 2013-2019 de acuerdo a datos provenientes del Poder Judicial de Chile."</f>
        <v>El gráfico muestra la evolución anual de la frecuencia de Sentencias Dictadas por Delitos de Abuso Sexual por Juzgado de Garantía en la Parral durante el Periodo 2013-2019 de acuerdo a datos provenientes del Poder Judicial de Chile.</v>
      </c>
      <c r="Q95" s="14" t="str">
        <f t="shared" si="16"/>
        <v>Gráfico de Evolución</v>
      </c>
      <c r="R95" s="77" t="s">
        <v>6006</v>
      </c>
      <c r="S95" s="15" t="s">
        <v>6472</v>
      </c>
      <c r="T95" s="65" t="s">
        <v>5958</v>
      </c>
      <c r="U95" s="24" t="s">
        <v>397</v>
      </c>
      <c r="V95" s="19" t="str">
        <f>+Ingresos_Historicos[[#This Row],[idcoleccion]]&amp;"-"&amp;Ingresos_Historicos[[#This Row],[id]]</f>
        <v>300-0085</v>
      </c>
      <c r="W95" s="19">
        <f>+VLOOKUP(Ingresos_Historicos[[#This Row],[Filtro URL]],Estructura!$X$4:$Y$366,2,0)</f>
        <v>30200016</v>
      </c>
      <c r="X95" s="19" t="str">
        <f>+VLOOKUP(Ingresos_Historicos[[#This Row],[tema]],Estructura!$A$4:$C$18,3,0)</f>
        <v>T-306</v>
      </c>
      <c r="Y95" s="19" t="str">
        <f>+VLOOKUP(Ingresos_Historicos[[#This Row],[contenido]],Estructura!$E$4:$G$18,3,0)</f>
        <v>C-301</v>
      </c>
      <c r="Z95" s="19" t="str">
        <f>+VLOOKUP(Ingresos_Historicos[[#This Row],[Filtro Integrado]],Estructura!$M$4:$O$367,3,0)</f>
        <v>FI-303</v>
      </c>
      <c r="AA95" s="19" t="str">
        <f>+VLOOKUP(Ingresos_Historicos[[#This Row],[Muestra]],Estructura!$Q$4:$S$194,3,0)</f>
        <v>M-306</v>
      </c>
    </row>
    <row r="96" spans="1:27" ht="40.799999999999997" x14ac:dyDescent="0.3">
      <c r="A96" s="32" t="s">
        <v>482</v>
      </c>
      <c r="B96" s="12">
        <f t="shared" si="20"/>
        <v>300</v>
      </c>
      <c r="C96" s="13" t="str">
        <f t="shared" si="20"/>
        <v>Violencia contra la mujer</v>
      </c>
      <c r="D96" s="13" t="str">
        <f t="shared" si="20"/>
        <v>Mujeres</v>
      </c>
      <c r="E96" s="26">
        <v>1</v>
      </c>
      <c r="F96" s="13" t="str">
        <f t="shared" si="18"/>
        <v>Sentencias por delito de abuso sexual</v>
      </c>
      <c r="G96" s="55" t="str">
        <f t="shared" si="18"/>
        <v>Abuso Sexual</v>
      </c>
      <c r="H96" s="29" t="s">
        <v>15</v>
      </c>
      <c r="I96" s="28" t="s">
        <v>367</v>
      </c>
      <c r="J96" s="12" t="s">
        <v>398</v>
      </c>
      <c r="K96" s="12" t="str">
        <f t="shared" ref="K96:M111" si="21">+K95</f>
        <v>Sentencias Dictadas por Delitos de Abuso Sexual</v>
      </c>
      <c r="L96" s="12" t="str">
        <f t="shared" si="21"/>
        <v>Periodo 2013-2019</v>
      </c>
      <c r="M96" s="12" t="str">
        <f t="shared" si="21"/>
        <v>Número de sentencias</v>
      </c>
      <c r="N96" s="33" t="s">
        <v>5964</v>
      </c>
      <c r="O96" s="27" t="str">
        <f>"Sentencias Dictadas por Delitos de Abuso Sexual por Delito en la "&amp;[1]!Ingresos_Historicos[[#This Row],[territorio]]&amp;" durante el Periodo 2013-2019"</f>
        <v>Sentencias Dictadas por Delitos de Abuso Sexual por Delito en la San Javier durante el Periodo 2013-2019</v>
      </c>
      <c r="P96"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San Javier durante el Periodo 2013-2019 de acuerdo a datos provenientes del Poder Judicial de Chile.</v>
      </c>
      <c r="Q96" s="14" t="str">
        <f t="shared" si="16"/>
        <v>Gráfico de Evolución</v>
      </c>
      <c r="R96" s="77" t="s">
        <v>5975</v>
      </c>
      <c r="S96" s="15" t="s">
        <v>6473</v>
      </c>
      <c r="T96" s="65" t="s">
        <v>5922</v>
      </c>
      <c r="U96" s="24" t="s">
        <v>397</v>
      </c>
      <c r="V96" s="19" t="str">
        <f>+Ingresos_Historicos[[#This Row],[idcoleccion]]&amp;"-"&amp;Ingresos_Historicos[[#This Row],[id]]</f>
        <v>300-0086</v>
      </c>
      <c r="W96" s="19">
        <f>+VLOOKUP(Ingresos_Historicos[[#This Row],[Filtro URL]],Estructura!$X$4:$Y$366,2,0)</f>
        <v>30200001</v>
      </c>
      <c r="X96" s="19" t="str">
        <f>+VLOOKUP(Ingresos_Historicos[[#This Row],[tema]],Estructura!$A$4:$C$18,3,0)</f>
        <v>T-306</v>
      </c>
      <c r="Y96" s="19" t="str">
        <f>+VLOOKUP(Ingresos_Historicos[[#This Row],[contenido]],Estructura!$E$4:$G$18,3,0)</f>
        <v>C-301</v>
      </c>
      <c r="Z96" s="19" t="str">
        <f>+VLOOKUP(Ingresos_Historicos[[#This Row],[Filtro Integrado]],Estructura!$M$4:$O$367,3,0)</f>
        <v>FI-303</v>
      </c>
      <c r="AA96" s="19" t="str">
        <f>+VLOOKUP(Ingresos_Historicos[[#This Row],[Muestra]],Estructura!$Q$4:$S$194,3,0)</f>
        <v>M-306</v>
      </c>
    </row>
    <row r="97" spans="1:27" ht="40.799999999999997" x14ac:dyDescent="0.3">
      <c r="A97" s="71" t="s">
        <v>483</v>
      </c>
      <c r="B97" s="12">
        <f t="shared" si="20"/>
        <v>300</v>
      </c>
      <c r="C97" s="13" t="str">
        <f t="shared" si="20"/>
        <v>Violencia contra la mujer</v>
      </c>
      <c r="D97" s="13" t="str">
        <f t="shared" si="20"/>
        <v>Mujeres</v>
      </c>
      <c r="E97" s="26">
        <v>2</v>
      </c>
      <c r="F97" s="13" t="str">
        <f t="shared" ref="F97:G112" si="22">+F96</f>
        <v>Sentencias por delito de abuso sexual</v>
      </c>
      <c r="G97" s="55" t="str">
        <f t="shared" si="22"/>
        <v>Abuso Sexual</v>
      </c>
      <c r="H97" s="29" t="s">
        <v>15</v>
      </c>
      <c r="I97" s="28" t="s">
        <v>368</v>
      </c>
      <c r="J97" s="12" t="s">
        <v>398</v>
      </c>
      <c r="K97" s="12" t="str">
        <f t="shared" si="21"/>
        <v>Sentencias Dictadas por Delitos de Abuso Sexual</v>
      </c>
      <c r="L97" s="12" t="str">
        <f t="shared" si="21"/>
        <v>Periodo 2013-2019</v>
      </c>
      <c r="M97" s="12" t="str">
        <f t="shared" si="21"/>
        <v>Número de sentencias</v>
      </c>
      <c r="N97" s="33" t="s">
        <v>5964</v>
      </c>
      <c r="O97" s="27" t="str">
        <f>"Sentencias Dictadas por Delitos de Abuso Sexual por Delito en la "&amp;[1]!Ingresos_Historicos[[#This Row],[territorio]]&amp;" durante el Periodo 2013-2019"</f>
        <v>Sentencias Dictadas por Delitos de Abuso Sexual por Delito en la Talca durante el Periodo 2013-2019</v>
      </c>
      <c r="P97"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Talca durante el Periodo 2013-2019 de acuerdo a datos provenientes del Poder Judicial de Chile.</v>
      </c>
      <c r="Q97" s="14" t="str">
        <f t="shared" si="16"/>
        <v>Gráfico de Evolución</v>
      </c>
      <c r="R97" s="77" t="s">
        <v>5976</v>
      </c>
      <c r="S97" s="15" t="s">
        <v>6474</v>
      </c>
      <c r="T97" s="65" t="s">
        <v>5923</v>
      </c>
      <c r="U97" s="24" t="s">
        <v>397</v>
      </c>
      <c r="V97" s="19" t="str">
        <f>+Ingresos_Historicos[[#This Row],[idcoleccion]]&amp;"-"&amp;Ingresos_Historicos[[#This Row],[id]]</f>
        <v>300-0087</v>
      </c>
      <c r="W97" s="19">
        <f>+VLOOKUP(Ingresos_Historicos[[#This Row],[Filtro URL]],Estructura!$X$4:$Y$366,2,0)</f>
        <v>30200002</v>
      </c>
      <c r="X97" s="19" t="str">
        <f>+VLOOKUP(Ingresos_Historicos[[#This Row],[tema]],Estructura!$A$4:$C$18,3,0)</f>
        <v>T-306</v>
      </c>
      <c r="Y97" s="19" t="str">
        <f>+VLOOKUP(Ingresos_Historicos[[#This Row],[contenido]],Estructura!$E$4:$G$18,3,0)</f>
        <v>C-301</v>
      </c>
      <c r="Z97" s="19" t="str">
        <f>+VLOOKUP(Ingresos_Historicos[[#This Row],[Filtro Integrado]],Estructura!$M$4:$O$367,3,0)</f>
        <v>FI-303</v>
      </c>
      <c r="AA97" s="19" t="str">
        <f>+VLOOKUP(Ingresos_Historicos[[#This Row],[Muestra]],Estructura!$Q$4:$S$194,3,0)</f>
        <v>M-306</v>
      </c>
    </row>
    <row r="98" spans="1:27" ht="40.799999999999997" x14ac:dyDescent="0.3">
      <c r="A98" s="71" t="s">
        <v>484</v>
      </c>
      <c r="B98" s="12">
        <f t="shared" si="20"/>
        <v>300</v>
      </c>
      <c r="C98" s="13" t="str">
        <f t="shared" si="20"/>
        <v>Violencia contra la mujer</v>
      </c>
      <c r="D98" s="13" t="str">
        <f t="shared" si="20"/>
        <v>Mujeres</v>
      </c>
      <c r="E98" s="26">
        <v>3</v>
      </c>
      <c r="F98" s="13" t="str">
        <f t="shared" si="22"/>
        <v>Sentencias por delito de abuso sexual</v>
      </c>
      <c r="G98" s="55" t="str">
        <f t="shared" si="22"/>
        <v>Abuso Sexual</v>
      </c>
      <c r="H98" s="29" t="s">
        <v>15</v>
      </c>
      <c r="I98" s="28" t="s">
        <v>369</v>
      </c>
      <c r="J98" s="12" t="s">
        <v>398</v>
      </c>
      <c r="K98" s="12" t="str">
        <f t="shared" si="21"/>
        <v>Sentencias Dictadas por Delitos de Abuso Sexual</v>
      </c>
      <c r="L98" s="12" t="str">
        <f t="shared" si="21"/>
        <v>Periodo 2013-2019</v>
      </c>
      <c r="M98" s="12" t="str">
        <f t="shared" si="21"/>
        <v>Número de sentencias</v>
      </c>
      <c r="N98" s="33" t="s">
        <v>5964</v>
      </c>
      <c r="O98" s="27" t="str">
        <f>"Sentencias Dictadas por Delitos de Abuso Sexual por Delito en la "&amp;[1]!Ingresos_Historicos[[#This Row],[territorio]]&amp;" durante el Periodo 2013-2019"</f>
        <v>Sentencias Dictadas por Delitos de Abuso Sexual por Delito en la Arauco durante el Periodo 2013-2019</v>
      </c>
      <c r="P98"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Arauco durante el Periodo 2013-2019 de acuerdo a datos provenientes del Poder Judicial de Chile.</v>
      </c>
      <c r="Q98" s="14" t="str">
        <f t="shared" si="16"/>
        <v>Gráfico de Evolución</v>
      </c>
      <c r="R98" s="77" t="s">
        <v>5977</v>
      </c>
      <c r="S98" s="15" t="s">
        <v>6475</v>
      </c>
      <c r="T98" s="65" t="s">
        <v>5925</v>
      </c>
      <c r="U98" s="24" t="s">
        <v>397</v>
      </c>
      <c r="V98" s="19" t="str">
        <f>+Ingresos_Historicos[[#This Row],[idcoleccion]]&amp;"-"&amp;Ingresos_Historicos[[#This Row],[id]]</f>
        <v>300-0088</v>
      </c>
      <c r="W98" s="19">
        <f>+VLOOKUP(Ingresos_Historicos[[#This Row],[Filtro URL]],Estructura!$X$4:$Y$366,2,0)</f>
        <v>30200003</v>
      </c>
      <c r="X98" s="19" t="str">
        <f>+VLOOKUP(Ingresos_Historicos[[#This Row],[tema]],Estructura!$A$4:$C$18,3,0)</f>
        <v>T-306</v>
      </c>
      <c r="Y98" s="19" t="str">
        <f>+VLOOKUP(Ingresos_Historicos[[#This Row],[contenido]],Estructura!$E$4:$G$18,3,0)</f>
        <v>C-301</v>
      </c>
      <c r="Z98" s="19" t="str">
        <f>+VLOOKUP(Ingresos_Historicos[[#This Row],[Filtro Integrado]],Estructura!$M$4:$O$367,3,0)</f>
        <v>FI-303</v>
      </c>
      <c r="AA98" s="19" t="str">
        <f>+VLOOKUP(Ingresos_Historicos[[#This Row],[Muestra]],Estructura!$Q$4:$S$194,3,0)</f>
        <v>M-306</v>
      </c>
    </row>
    <row r="99" spans="1:27" ht="40.799999999999997" x14ac:dyDescent="0.3">
      <c r="A99" s="71" t="s">
        <v>485</v>
      </c>
      <c r="B99" s="12">
        <f t="shared" si="20"/>
        <v>300</v>
      </c>
      <c r="C99" s="13" t="str">
        <f t="shared" si="20"/>
        <v>Violencia contra la mujer</v>
      </c>
      <c r="D99" s="13" t="str">
        <f t="shared" si="20"/>
        <v>Mujeres</v>
      </c>
      <c r="E99" s="26">
        <v>4</v>
      </c>
      <c r="F99" s="13" t="str">
        <f t="shared" si="22"/>
        <v>Sentencias por delito de abuso sexual</v>
      </c>
      <c r="G99" s="55" t="str">
        <f t="shared" si="22"/>
        <v>Abuso Sexual</v>
      </c>
      <c r="H99" s="29" t="s">
        <v>15</v>
      </c>
      <c r="I99" s="28" t="s">
        <v>370</v>
      </c>
      <c r="J99" s="12" t="s">
        <v>398</v>
      </c>
      <c r="K99" s="12" t="str">
        <f t="shared" si="21"/>
        <v>Sentencias Dictadas por Delitos de Abuso Sexual</v>
      </c>
      <c r="L99" s="12" t="str">
        <f t="shared" si="21"/>
        <v>Periodo 2013-2019</v>
      </c>
      <c r="M99" s="12" t="str">
        <f t="shared" si="21"/>
        <v>Número de sentencias</v>
      </c>
      <c r="N99" s="33" t="s">
        <v>5964</v>
      </c>
      <c r="O99" s="27" t="str">
        <f>"Sentencias Dictadas por Delitos de Abuso Sexual por Delito en la "&amp;[1]!Ingresos_Historicos[[#This Row],[territorio]]&amp;" durante el Periodo 2013-2019"</f>
        <v>Sentencias Dictadas por Delitos de Abuso Sexual por Delito en la Cañete durante el Periodo 2013-2019</v>
      </c>
      <c r="P99"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Cañete durante el Periodo 2013-2019 de acuerdo a datos provenientes del Poder Judicial de Chile.</v>
      </c>
      <c r="Q99" s="14" t="str">
        <f t="shared" si="16"/>
        <v>Gráfico de Evolución</v>
      </c>
      <c r="R99" s="77" t="s">
        <v>5978</v>
      </c>
      <c r="S99" s="15" t="s">
        <v>6476</v>
      </c>
      <c r="T99" s="65" t="s">
        <v>5926</v>
      </c>
      <c r="U99" s="24" t="s">
        <v>397</v>
      </c>
      <c r="V99" s="19" t="str">
        <f>+Ingresos_Historicos[[#This Row],[idcoleccion]]&amp;"-"&amp;Ingresos_Historicos[[#This Row],[id]]</f>
        <v>300-0089</v>
      </c>
      <c r="W99" s="19">
        <f>+VLOOKUP(Ingresos_Historicos[[#This Row],[Filtro URL]],Estructura!$X$4:$Y$366,2,0)</f>
        <v>30200004</v>
      </c>
      <c r="X99" s="19" t="str">
        <f>+VLOOKUP(Ingresos_Historicos[[#This Row],[tema]],Estructura!$A$4:$C$18,3,0)</f>
        <v>T-306</v>
      </c>
      <c r="Y99" s="19" t="str">
        <f>+VLOOKUP(Ingresos_Historicos[[#This Row],[contenido]],Estructura!$E$4:$G$18,3,0)</f>
        <v>C-301</v>
      </c>
      <c r="Z99" s="19" t="str">
        <f>+VLOOKUP(Ingresos_Historicos[[#This Row],[Filtro Integrado]],Estructura!$M$4:$O$367,3,0)</f>
        <v>FI-303</v>
      </c>
      <c r="AA99" s="19" t="str">
        <f>+VLOOKUP(Ingresos_Historicos[[#This Row],[Muestra]],Estructura!$Q$4:$S$194,3,0)</f>
        <v>M-306</v>
      </c>
    </row>
    <row r="100" spans="1:27" ht="40.799999999999997" x14ac:dyDescent="0.3">
      <c r="A100" s="71" t="s">
        <v>486</v>
      </c>
      <c r="B100" s="12">
        <f t="shared" si="20"/>
        <v>300</v>
      </c>
      <c r="C100" s="13" t="str">
        <f t="shared" si="20"/>
        <v>Violencia contra la mujer</v>
      </c>
      <c r="D100" s="13" t="str">
        <f t="shared" si="20"/>
        <v>Mujeres</v>
      </c>
      <c r="E100" s="26">
        <v>5</v>
      </c>
      <c r="F100" s="13" t="str">
        <f t="shared" si="22"/>
        <v>Sentencias por delito de abuso sexual</v>
      </c>
      <c r="G100" s="55" t="str">
        <f t="shared" si="22"/>
        <v>Abuso Sexual</v>
      </c>
      <c r="H100" s="29" t="s">
        <v>15</v>
      </c>
      <c r="I100" s="28" t="s">
        <v>371</v>
      </c>
      <c r="J100" s="12" t="s">
        <v>398</v>
      </c>
      <c r="K100" s="12" t="str">
        <f t="shared" si="21"/>
        <v>Sentencias Dictadas por Delitos de Abuso Sexual</v>
      </c>
      <c r="L100" s="12" t="str">
        <f t="shared" si="21"/>
        <v>Periodo 2013-2019</v>
      </c>
      <c r="M100" s="12" t="str">
        <f t="shared" si="21"/>
        <v>Número de sentencias</v>
      </c>
      <c r="N100" s="33" t="s">
        <v>5964</v>
      </c>
      <c r="O100" s="27" t="str">
        <f>"Sentencias Dictadas por Delitos de Abuso Sexual por Delito en la "&amp;[1]!Ingresos_Historicos[[#This Row],[territorio]]&amp;" durante el Periodo 2013-2019"</f>
        <v>Sentencias Dictadas por Delitos de Abuso Sexual por Delito en la Chiguayante durante el Periodo 2013-2019</v>
      </c>
      <c r="P100"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Chiguayante durante el Periodo 2013-2019 de acuerdo a datos provenientes del Poder Judicial de Chile.</v>
      </c>
      <c r="Q100" s="14" t="str">
        <f t="shared" si="16"/>
        <v>Gráfico de Evolución</v>
      </c>
      <c r="R100" s="77" t="s">
        <v>5979</v>
      </c>
      <c r="S100" s="15" t="s">
        <v>6477</v>
      </c>
      <c r="T100" s="65" t="s">
        <v>5927</v>
      </c>
      <c r="U100" s="24" t="s">
        <v>397</v>
      </c>
      <c r="V100" s="19" t="str">
        <f>+Ingresos_Historicos[[#This Row],[idcoleccion]]&amp;"-"&amp;Ingresos_Historicos[[#This Row],[id]]</f>
        <v>300-0090</v>
      </c>
      <c r="W100" s="19">
        <f>+VLOOKUP(Ingresos_Historicos[[#This Row],[Filtro URL]],Estructura!$X$4:$Y$366,2,0)</f>
        <v>30200005</v>
      </c>
      <c r="X100" s="19" t="str">
        <f>+VLOOKUP(Ingresos_Historicos[[#This Row],[tema]],Estructura!$A$4:$C$18,3,0)</f>
        <v>T-306</v>
      </c>
      <c r="Y100" s="19" t="str">
        <f>+VLOOKUP(Ingresos_Historicos[[#This Row],[contenido]],Estructura!$E$4:$G$18,3,0)</f>
        <v>C-301</v>
      </c>
      <c r="Z100" s="19" t="str">
        <f>+VLOOKUP(Ingresos_Historicos[[#This Row],[Filtro Integrado]],Estructura!$M$4:$O$367,3,0)</f>
        <v>FI-303</v>
      </c>
      <c r="AA100" s="19" t="str">
        <f>+VLOOKUP(Ingresos_Historicos[[#This Row],[Muestra]],Estructura!$Q$4:$S$194,3,0)</f>
        <v>M-306</v>
      </c>
    </row>
    <row r="101" spans="1:27" ht="40.799999999999997" x14ac:dyDescent="0.3">
      <c r="A101" s="71" t="s">
        <v>487</v>
      </c>
      <c r="B101" s="12">
        <f t="shared" si="20"/>
        <v>300</v>
      </c>
      <c r="C101" s="13" t="str">
        <f t="shared" si="20"/>
        <v>Violencia contra la mujer</v>
      </c>
      <c r="D101" s="13" t="str">
        <f t="shared" si="20"/>
        <v>Mujeres</v>
      </c>
      <c r="E101" s="26">
        <v>6</v>
      </c>
      <c r="F101" s="13" t="str">
        <f t="shared" si="22"/>
        <v>Sentencias por delito de abuso sexual</v>
      </c>
      <c r="G101" s="55" t="str">
        <f t="shared" si="22"/>
        <v>Abuso Sexual</v>
      </c>
      <c r="H101" s="29" t="s">
        <v>15</v>
      </c>
      <c r="I101" s="28" t="s">
        <v>372</v>
      </c>
      <c r="J101" s="12" t="s">
        <v>398</v>
      </c>
      <c r="K101" s="12" t="str">
        <f t="shared" si="21"/>
        <v>Sentencias Dictadas por Delitos de Abuso Sexual</v>
      </c>
      <c r="L101" s="12" t="str">
        <f t="shared" si="21"/>
        <v>Periodo 2013-2019</v>
      </c>
      <c r="M101" s="12" t="str">
        <f t="shared" si="21"/>
        <v>Número de sentencias</v>
      </c>
      <c r="N101" s="33" t="s">
        <v>5964</v>
      </c>
      <c r="O101" s="27" t="str">
        <f>"Sentencias Dictadas por Delitos de Abuso Sexual por Delito en la "&amp;[1]!Ingresos_Historicos[[#This Row],[territorio]]&amp;" durante el Periodo 2013-2019"</f>
        <v>Sentencias Dictadas por Delitos de Abuso Sexual por Delito en la Concepcion durante el Periodo 2013-2019</v>
      </c>
      <c r="P101"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Concepcion durante el Periodo 2013-2019 de acuerdo a datos provenientes del Poder Judicial de Chile.</v>
      </c>
      <c r="Q101" s="14" t="str">
        <f t="shared" si="16"/>
        <v>Gráfico de Evolución</v>
      </c>
      <c r="R101" s="77" t="s">
        <v>5980</v>
      </c>
      <c r="S101" s="15" t="s">
        <v>6478</v>
      </c>
      <c r="T101" s="65" t="s">
        <v>5928</v>
      </c>
      <c r="U101" s="24" t="s">
        <v>397</v>
      </c>
      <c r="V101" s="19" t="str">
        <f>+Ingresos_Historicos[[#This Row],[idcoleccion]]&amp;"-"&amp;Ingresos_Historicos[[#This Row],[id]]</f>
        <v>300-0091</v>
      </c>
      <c r="W101" s="19">
        <f>+VLOOKUP(Ingresos_Historicos[[#This Row],[Filtro URL]],Estructura!$X$4:$Y$366,2,0)</f>
        <v>30200006</v>
      </c>
      <c r="X101" s="19" t="str">
        <f>+VLOOKUP(Ingresos_Historicos[[#This Row],[tema]],Estructura!$A$4:$C$18,3,0)</f>
        <v>T-306</v>
      </c>
      <c r="Y101" s="19" t="str">
        <f>+VLOOKUP(Ingresos_Historicos[[#This Row],[contenido]],Estructura!$E$4:$G$18,3,0)</f>
        <v>C-301</v>
      </c>
      <c r="Z101" s="19" t="str">
        <f>+VLOOKUP(Ingresos_Historicos[[#This Row],[Filtro Integrado]],Estructura!$M$4:$O$367,3,0)</f>
        <v>FI-303</v>
      </c>
      <c r="AA101" s="19" t="str">
        <f>+VLOOKUP(Ingresos_Historicos[[#This Row],[Muestra]],Estructura!$Q$4:$S$194,3,0)</f>
        <v>M-306</v>
      </c>
    </row>
    <row r="102" spans="1:27" ht="40.799999999999997" x14ac:dyDescent="0.3">
      <c r="A102" s="71" t="s">
        <v>488</v>
      </c>
      <c r="B102" s="12">
        <f t="shared" si="20"/>
        <v>300</v>
      </c>
      <c r="C102" s="13" t="str">
        <f t="shared" si="20"/>
        <v>Violencia contra la mujer</v>
      </c>
      <c r="D102" s="13" t="str">
        <f t="shared" si="20"/>
        <v>Mujeres</v>
      </c>
      <c r="E102" s="26">
        <v>7</v>
      </c>
      <c r="F102" s="13" t="str">
        <f t="shared" si="22"/>
        <v>Sentencias por delito de abuso sexual</v>
      </c>
      <c r="G102" s="55" t="str">
        <f t="shared" si="22"/>
        <v>Abuso Sexual</v>
      </c>
      <c r="H102" s="29" t="s">
        <v>15</v>
      </c>
      <c r="I102" s="28" t="s">
        <v>373</v>
      </c>
      <c r="J102" s="12" t="s">
        <v>398</v>
      </c>
      <c r="K102" s="12" t="str">
        <f t="shared" si="21"/>
        <v>Sentencias Dictadas por Delitos de Abuso Sexual</v>
      </c>
      <c r="L102" s="12" t="str">
        <f t="shared" si="21"/>
        <v>Periodo 2013-2019</v>
      </c>
      <c r="M102" s="12" t="str">
        <f t="shared" si="21"/>
        <v>Número de sentencias</v>
      </c>
      <c r="N102" s="33" t="s">
        <v>5964</v>
      </c>
      <c r="O102" s="27" t="str">
        <f>"Sentencias Dictadas por Delitos de Abuso Sexual por Delito en la "&amp;[1]!Ingresos_Historicos[[#This Row],[territorio]]&amp;" durante el Periodo 2013-2019"</f>
        <v>Sentencias Dictadas por Delitos de Abuso Sexual por Delito en la Coronel durante el Periodo 2013-2019</v>
      </c>
      <c r="P102"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Coronel durante el Periodo 2013-2019 de acuerdo a datos provenientes del Poder Judicial de Chile.</v>
      </c>
      <c r="Q102" s="14" t="str">
        <f t="shared" si="16"/>
        <v>Gráfico de Evolución</v>
      </c>
      <c r="R102" s="77" t="s">
        <v>5981</v>
      </c>
      <c r="S102" s="15" t="s">
        <v>6479</v>
      </c>
      <c r="T102" s="65" t="s">
        <v>5929</v>
      </c>
      <c r="U102" s="24" t="s">
        <v>397</v>
      </c>
      <c r="V102" s="19" t="str">
        <f>+Ingresos_Historicos[[#This Row],[idcoleccion]]&amp;"-"&amp;Ingresos_Historicos[[#This Row],[id]]</f>
        <v>300-0092</v>
      </c>
      <c r="W102" s="19">
        <f>+VLOOKUP(Ingresos_Historicos[[#This Row],[Filtro URL]],Estructura!$X$4:$Y$366,2,0)</f>
        <v>30200007</v>
      </c>
      <c r="X102" s="19" t="str">
        <f>+VLOOKUP(Ingresos_Historicos[[#This Row],[tema]],Estructura!$A$4:$C$18,3,0)</f>
        <v>T-306</v>
      </c>
      <c r="Y102" s="19" t="str">
        <f>+VLOOKUP(Ingresos_Historicos[[#This Row],[contenido]],Estructura!$E$4:$G$18,3,0)</f>
        <v>C-301</v>
      </c>
      <c r="Z102" s="19" t="str">
        <f>+VLOOKUP(Ingresos_Historicos[[#This Row],[Filtro Integrado]],Estructura!$M$4:$O$367,3,0)</f>
        <v>FI-303</v>
      </c>
      <c r="AA102" s="19" t="str">
        <f>+VLOOKUP(Ingresos_Historicos[[#This Row],[Muestra]],Estructura!$Q$4:$S$194,3,0)</f>
        <v>M-306</v>
      </c>
    </row>
    <row r="103" spans="1:27" ht="40.799999999999997" x14ac:dyDescent="0.3">
      <c r="A103" s="71" t="s">
        <v>489</v>
      </c>
      <c r="B103" s="12">
        <f t="shared" si="20"/>
        <v>300</v>
      </c>
      <c r="C103" s="13" t="str">
        <f t="shared" si="20"/>
        <v>Violencia contra la mujer</v>
      </c>
      <c r="D103" s="13" t="str">
        <f t="shared" si="20"/>
        <v>Mujeres</v>
      </c>
      <c r="E103" s="26">
        <v>8</v>
      </c>
      <c r="F103" s="13" t="str">
        <f t="shared" si="22"/>
        <v>Sentencias por delito de abuso sexual</v>
      </c>
      <c r="G103" s="55" t="str">
        <f t="shared" si="22"/>
        <v>Abuso Sexual</v>
      </c>
      <c r="H103" s="29" t="s">
        <v>15</v>
      </c>
      <c r="I103" s="28" t="s">
        <v>374</v>
      </c>
      <c r="J103" s="12" t="s">
        <v>398</v>
      </c>
      <c r="K103" s="12" t="str">
        <f t="shared" si="21"/>
        <v>Sentencias Dictadas por Delitos de Abuso Sexual</v>
      </c>
      <c r="L103" s="12" t="str">
        <f t="shared" si="21"/>
        <v>Periodo 2013-2019</v>
      </c>
      <c r="M103" s="12" t="str">
        <f t="shared" si="21"/>
        <v>Número de sentencias</v>
      </c>
      <c r="N103" s="33" t="s">
        <v>5964</v>
      </c>
      <c r="O103" s="27" t="str">
        <f>"Sentencias Dictadas por Delitos de Abuso Sexual por Delito en la "&amp;[1]!Ingresos_Historicos[[#This Row],[territorio]]&amp;" durante el Periodo 2013-2019"</f>
        <v>Sentencias Dictadas por Delitos de Abuso Sexual por Delito en la Los Angeles durante el Periodo 2013-2019</v>
      </c>
      <c r="P103"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Los Angeles durante el Periodo 2013-2019 de acuerdo a datos provenientes del Poder Judicial de Chile.</v>
      </c>
      <c r="Q103" s="14" t="str">
        <f t="shared" si="16"/>
        <v>Gráfico de Evolución</v>
      </c>
      <c r="R103" s="77" t="s">
        <v>5982</v>
      </c>
      <c r="S103" s="15" t="s">
        <v>6480</v>
      </c>
      <c r="T103" s="65" t="s">
        <v>5930</v>
      </c>
      <c r="U103" s="24" t="s">
        <v>397</v>
      </c>
      <c r="V103" s="19" t="str">
        <f>+Ingresos_Historicos[[#This Row],[idcoleccion]]&amp;"-"&amp;Ingresos_Historicos[[#This Row],[id]]</f>
        <v>300-0093</v>
      </c>
      <c r="W103" s="19">
        <f>+VLOOKUP(Ingresos_Historicos[[#This Row],[Filtro URL]],Estructura!$X$4:$Y$366,2,0)</f>
        <v>30200008</v>
      </c>
      <c r="X103" s="19" t="str">
        <f>+VLOOKUP(Ingresos_Historicos[[#This Row],[tema]],Estructura!$A$4:$C$18,3,0)</f>
        <v>T-306</v>
      </c>
      <c r="Y103" s="19" t="str">
        <f>+VLOOKUP(Ingresos_Historicos[[#This Row],[contenido]],Estructura!$E$4:$G$18,3,0)</f>
        <v>C-301</v>
      </c>
      <c r="Z103" s="19" t="str">
        <f>+VLOOKUP(Ingresos_Historicos[[#This Row],[Filtro Integrado]],Estructura!$M$4:$O$367,3,0)</f>
        <v>FI-303</v>
      </c>
      <c r="AA103" s="19" t="str">
        <f>+VLOOKUP(Ingresos_Historicos[[#This Row],[Muestra]],Estructura!$Q$4:$S$194,3,0)</f>
        <v>M-306</v>
      </c>
    </row>
    <row r="104" spans="1:27" ht="40.799999999999997" x14ac:dyDescent="0.3">
      <c r="A104" s="71" t="s">
        <v>490</v>
      </c>
      <c r="B104" s="12">
        <f t="shared" si="20"/>
        <v>300</v>
      </c>
      <c r="C104" s="13" t="str">
        <f t="shared" si="20"/>
        <v>Violencia contra la mujer</v>
      </c>
      <c r="D104" s="13" t="str">
        <f t="shared" si="20"/>
        <v>Mujeres</v>
      </c>
      <c r="E104" s="26">
        <v>9</v>
      </c>
      <c r="F104" s="13" t="str">
        <f t="shared" si="22"/>
        <v>Sentencias por delito de abuso sexual</v>
      </c>
      <c r="G104" s="55" t="str">
        <f t="shared" si="22"/>
        <v>Abuso Sexual</v>
      </c>
      <c r="H104" s="29" t="s">
        <v>15</v>
      </c>
      <c r="I104" s="28" t="s">
        <v>375</v>
      </c>
      <c r="J104" s="12" t="s">
        <v>398</v>
      </c>
      <c r="K104" s="12" t="str">
        <f t="shared" si="21"/>
        <v>Sentencias Dictadas por Delitos de Abuso Sexual</v>
      </c>
      <c r="L104" s="12" t="str">
        <f t="shared" si="21"/>
        <v>Periodo 2013-2019</v>
      </c>
      <c r="M104" s="12" t="str">
        <f t="shared" si="21"/>
        <v>Número de sentencias</v>
      </c>
      <c r="N104" s="33" t="s">
        <v>5964</v>
      </c>
      <c r="O104" s="27" t="str">
        <f>"Sentencias Dictadas por Delitos de Abuso Sexual por Delito en la "&amp;[1]!Ingresos_Historicos[[#This Row],[territorio]]&amp;" durante el Periodo 2013-2019"</f>
        <v>Sentencias Dictadas por Delitos de Abuso Sexual por Delito en la Talcahuano durante el Periodo 2013-2019</v>
      </c>
      <c r="P104"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Talcahuano durante el Periodo 2013-2019 de acuerdo a datos provenientes del Poder Judicial de Chile.</v>
      </c>
      <c r="Q104" s="14" t="str">
        <f t="shared" si="16"/>
        <v>Gráfico de Evolución</v>
      </c>
      <c r="R104" s="77" t="s">
        <v>5983</v>
      </c>
      <c r="S104" s="15" t="s">
        <v>6481</v>
      </c>
      <c r="T104" s="65" t="s">
        <v>5931</v>
      </c>
      <c r="U104" s="24" t="s">
        <v>397</v>
      </c>
      <c r="V104" s="19" t="str">
        <f>+Ingresos_Historicos[[#This Row],[idcoleccion]]&amp;"-"&amp;Ingresos_Historicos[[#This Row],[id]]</f>
        <v>300-0094</v>
      </c>
      <c r="W104" s="19">
        <f>+VLOOKUP(Ingresos_Historicos[[#This Row],[Filtro URL]],Estructura!$X$4:$Y$366,2,0)</f>
        <v>30200009</v>
      </c>
      <c r="X104" s="19" t="str">
        <f>+VLOOKUP(Ingresos_Historicos[[#This Row],[tema]],Estructura!$A$4:$C$18,3,0)</f>
        <v>T-306</v>
      </c>
      <c r="Y104" s="19" t="str">
        <f>+VLOOKUP(Ingresos_Historicos[[#This Row],[contenido]],Estructura!$E$4:$G$18,3,0)</f>
        <v>C-301</v>
      </c>
      <c r="Z104" s="19" t="str">
        <f>+VLOOKUP(Ingresos_Historicos[[#This Row],[Filtro Integrado]],Estructura!$M$4:$O$367,3,0)</f>
        <v>FI-303</v>
      </c>
      <c r="AA104" s="19" t="str">
        <f>+VLOOKUP(Ingresos_Historicos[[#This Row],[Muestra]],Estructura!$Q$4:$S$194,3,0)</f>
        <v>M-306</v>
      </c>
    </row>
    <row r="105" spans="1:27" ht="40.799999999999997" x14ac:dyDescent="0.3">
      <c r="A105" s="71" t="s">
        <v>491</v>
      </c>
      <c r="B105" s="12">
        <f t="shared" si="20"/>
        <v>300</v>
      </c>
      <c r="C105" s="13" t="str">
        <f t="shared" si="20"/>
        <v>Violencia contra la mujer</v>
      </c>
      <c r="D105" s="13" t="str">
        <f t="shared" si="20"/>
        <v>Mujeres</v>
      </c>
      <c r="E105" s="26">
        <v>10</v>
      </c>
      <c r="F105" s="13" t="str">
        <f t="shared" si="22"/>
        <v>Sentencias por delito de abuso sexual</v>
      </c>
      <c r="G105" s="55" t="str">
        <f t="shared" si="22"/>
        <v>Abuso Sexual</v>
      </c>
      <c r="H105" s="29" t="s">
        <v>15</v>
      </c>
      <c r="I105" s="28" t="s">
        <v>376</v>
      </c>
      <c r="J105" s="12" t="s">
        <v>398</v>
      </c>
      <c r="K105" s="12" t="str">
        <f t="shared" si="21"/>
        <v>Sentencias Dictadas por Delitos de Abuso Sexual</v>
      </c>
      <c r="L105" s="12" t="str">
        <f t="shared" si="21"/>
        <v>Periodo 2013-2019</v>
      </c>
      <c r="M105" s="12" t="str">
        <f t="shared" si="21"/>
        <v>Número de sentencias</v>
      </c>
      <c r="N105" s="33" t="s">
        <v>5964</v>
      </c>
      <c r="O105" s="27" t="str">
        <f>"Sentencias Dictadas por Delitos de Abuso Sexual por Delito en la "&amp;[1]!Ingresos_Historicos[[#This Row],[territorio]]&amp;" durante el Periodo 2013-2019"</f>
        <v>Sentencias Dictadas por Delitos de Abuso Sexual por Delito en la Tome durante el Periodo 2013-2019</v>
      </c>
      <c r="P105"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Tome durante el Periodo 2013-2019 de acuerdo a datos provenientes del Poder Judicial de Chile.</v>
      </c>
      <c r="Q105" s="14" t="str">
        <f t="shared" si="16"/>
        <v>Gráfico de Evolución</v>
      </c>
      <c r="R105" s="77" t="s">
        <v>5984</v>
      </c>
      <c r="S105" s="15" t="s">
        <v>6482</v>
      </c>
      <c r="T105" s="65" t="s">
        <v>5932</v>
      </c>
      <c r="U105" s="24" t="s">
        <v>397</v>
      </c>
      <c r="V105" s="19" t="str">
        <f>+Ingresos_Historicos[[#This Row],[idcoleccion]]&amp;"-"&amp;Ingresos_Historicos[[#This Row],[id]]</f>
        <v>300-0095</v>
      </c>
      <c r="W105" s="19">
        <f>+VLOOKUP(Ingresos_Historicos[[#This Row],[Filtro URL]],Estructura!$X$4:$Y$366,2,0)</f>
        <v>30200010</v>
      </c>
      <c r="X105" s="19" t="str">
        <f>+VLOOKUP(Ingresos_Historicos[[#This Row],[tema]],Estructura!$A$4:$C$18,3,0)</f>
        <v>T-306</v>
      </c>
      <c r="Y105" s="19" t="str">
        <f>+VLOOKUP(Ingresos_Historicos[[#This Row],[contenido]],Estructura!$E$4:$G$18,3,0)</f>
        <v>C-301</v>
      </c>
      <c r="Z105" s="19" t="str">
        <f>+VLOOKUP(Ingresos_Historicos[[#This Row],[Filtro Integrado]],Estructura!$M$4:$O$367,3,0)</f>
        <v>FI-303</v>
      </c>
      <c r="AA105" s="19" t="str">
        <f>+VLOOKUP(Ingresos_Historicos[[#This Row],[Muestra]],Estructura!$Q$4:$S$194,3,0)</f>
        <v>M-306</v>
      </c>
    </row>
    <row r="106" spans="1:27" ht="40.799999999999997" x14ac:dyDescent="0.3">
      <c r="A106" s="71" t="s">
        <v>492</v>
      </c>
      <c r="B106" s="12">
        <f t="shared" si="20"/>
        <v>300</v>
      </c>
      <c r="C106" s="13" t="str">
        <f t="shared" si="20"/>
        <v>Violencia contra la mujer</v>
      </c>
      <c r="D106" s="13" t="str">
        <f t="shared" si="20"/>
        <v>Mujeres</v>
      </c>
      <c r="E106" s="26">
        <v>11</v>
      </c>
      <c r="F106" s="13" t="str">
        <f t="shared" si="22"/>
        <v>Sentencias por delito de abuso sexual</v>
      </c>
      <c r="G106" s="55" t="str">
        <f t="shared" si="22"/>
        <v>Abuso Sexual</v>
      </c>
      <c r="H106" s="29" t="s">
        <v>15</v>
      </c>
      <c r="I106" s="28" t="s">
        <v>377</v>
      </c>
      <c r="J106" s="12" t="s">
        <v>398</v>
      </c>
      <c r="K106" s="12" t="str">
        <f t="shared" si="21"/>
        <v>Sentencias Dictadas por Delitos de Abuso Sexual</v>
      </c>
      <c r="L106" s="12" t="str">
        <f t="shared" si="21"/>
        <v>Periodo 2013-2019</v>
      </c>
      <c r="M106" s="12" t="str">
        <f t="shared" si="21"/>
        <v>Número de sentencias</v>
      </c>
      <c r="N106" s="33" t="s">
        <v>5964</v>
      </c>
      <c r="O106" s="27" t="str">
        <f>"Sentencias Dictadas por Delitos de Abuso Sexual por Delito en la "&amp;[1]!Ingresos_Historicos[[#This Row],[territorio]]&amp;" durante el Periodo 2013-2019"</f>
        <v>Sentencias Dictadas por Delitos de Abuso Sexual por Delito en la Angol durante el Periodo 2013-2019</v>
      </c>
      <c r="P106"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Angol durante el Periodo 2013-2019 de acuerdo a datos provenientes del Poder Judicial de Chile.</v>
      </c>
      <c r="Q106" s="14" t="str">
        <f t="shared" si="16"/>
        <v>Gráfico de Evolución</v>
      </c>
      <c r="R106" s="77" t="s">
        <v>5985</v>
      </c>
      <c r="S106" s="15" t="s">
        <v>6483</v>
      </c>
      <c r="T106" s="65" t="s">
        <v>5933</v>
      </c>
      <c r="U106" s="24" t="s">
        <v>397</v>
      </c>
      <c r="V106" s="19" t="str">
        <f>+Ingresos_Historicos[[#This Row],[idcoleccion]]&amp;"-"&amp;Ingresos_Historicos[[#This Row],[id]]</f>
        <v>300-0096</v>
      </c>
      <c r="W106" s="19">
        <f>+VLOOKUP(Ingresos_Historicos[[#This Row],[Filtro URL]],Estructura!$X$4:$Y$366,2,0)</f>
        <v>30200011</v>
      </c>
      <c r="X106" s="19" t="str">
        <f>+VLOOKUP(Ingresos_Historicos[[#This Row],[tema]],Estructura!$A$4:$C$18,3,0)</f>
        <v>T-306</v>
      </c>
      <c r="Y106" s="19" t="str">
        <f>+VLOOKUP(Ingresos_Historicos[[#This Row],[contenido]],Estructura!$E$4:$G$18,3,0)</f>
        <v>C-301</v>
      </c>
      <c r="Z106" s="19" t="str">
        <f>+VLOOKUP(Ingresos_Historicos[[#This Row],[Filtro Integrado]],Estructura!$M$4:$O$367,3,0)</f>
        <v>FI-303</v>
      </c>
      <c r="AA106" s="19" t="str">
        <f>+VLOOKUP(Ingresos_Historicos[[#This Row],[Muestra]],Estructura!$Q$4:$S$194,3,0)</f>
        <v>M-306</v>
      </c>
    </row>
    <row r="107" spans="1:27" ht="40.799999999999997" x14ac:dyDescent="0.3">
      <c r="A107" s="71" t="s">
        <v>493</v>
      </c>
      <c r="B107" s="12">
        <f t="shared" si="20"/>
        <v>300</v>
      </c>
      <c r="C107" s="13" t="str">
        <f t="shared" si="20"/>
        <v>Violencia contra la mujer</v>
      </c>
      <c r="D107" s="13" t="str">
        <f t="shared" si="20"/>
        <v>Mujeres</v>
      </c>
      <c r="E107" s="26">
        <v>12</v>
      </c>
      <c r="F107" s="13" t="str">
        <f t="shared" si="22"/>
        <v>Sentencias por delito de abuso sexual</v>
      </c>
      <c r="G107" s="55" t="str">
        <f t="shared" si="22"/>
        <v>Abuso Sexual</v>
      </c>
      <c r="H107" s="29" t="s">
        <v>15</v>
      </c>
      <c r="I107" s="28" t="s">
        <v>378</v>
      </c>
      <c r="J107" s="12" t="s">
        <v>398</v>
      </c>
      <c r="K107" s="12" t="str">
        <f t="shared" si="21"/>
        <v>Sentencias Dictadas por Delitos de Abuso Sexual</v>
      </c>
      <c r="L107" s="12" t="str">
        <f t="shared" si="21"/>
        <v>Periodo 2013-2019</v>
      </c>
      <c r="M107" s="12" t="str">
        <f t="shared" si="21"/>
        <v>Número de sentencias</v>
      </c>
      <c r="N107" s="33" t="s">
        <v>5964</v>
      </c>
      <c r="O107" s="27" t="str">
        <f>"Sentencias Dictadas por Delitos de Abuso Sexual por Delito en la "&amp;[1]!Ingresos_Historicos[[#This Row],[territorio]]&amp;" durante el Periodo 2013-2019"</f>
        <v>Sentencias Dictadas por Delitos de Abuso Sexual por Delito en la Lautaro durante el Periodo 2013-2019</v>
      </c>
      <c r="P107"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Lautaro durante el Periodo 2013-2019 de acuerdo a datos provenientes del Poder Judicial de Chile.</v>
      </c>
      <c r="Q107" s="14" t="str">
        <f t="shared" si="16"/>
        <v>Gráfico de Evolución</v>
      </c>
      <c r="R107" s="77" t="s">
        <v>5986</v>
      </c>
      <c r="S107" s="15" t="s">
        <v>6484</v>
      </c>
      <c r="T107" s="65" t="s">
        <v>5934</v>
      </c>
      <c r="U107" s="24" t="s">
        <v>397</v>
      </c>
      <c r="V107" s="19" t="str">
        <f>+Ingresos_Historicos[[#This Row],[idcoleccion]]&amp;"-"&amp;Ingresos_Historicos[[#This Row],[id]]</f>
        <v>300-0097</v>
      </c>
      <c r="W107" s="19">
        <f>+VLOOKUP(Ingresos_Historicos[[#This Row],[Filtro URL]],Estructura!$X$4:$Y$366,2,0)</f>
        <v>30200012</v>
      </c>
      <c r="X107" s="19" t="str">
        <f>+VLOOKUP(Ingresos_Historicos[[#This Row],[tema]],Estructura!$A$4:$C$18,3,0)</f>
        <v>T-306</v>
      </c>
      <c r="Y107" s="19" t="str">
        <f>+VLOOKUP(Ingresos_Historicos[[#This Row],[contenido]],Estructura!$E$4:$G$18,3,0)</f>
        <v>C-301</v>
      </c>
      <c r="Z107" s="19" t="str">
        <f>+VLOOKUP(Ingresos_Historicos[[#This Row],[Filtro Integrado]],Estructura!$M$4:$O$367,3,0)</f>
        <v>FI-303</v>
      </c>
      <c r="AA107" s="19" t="str">
        <f>+VLOOKUP(Ingresos_Historicos[[#This Row],[Muestra]],Estructura!$Q$4:$S$194,3,0)</f>
        <v>M-306</v>
      </c>
    </row>
    <row r="108" spans="1:27" ht="40.799999999999997" x14ac:dyDescent="0.3">
      <c r="A108" s="71" t="s">
        <v>494</v>
      </c>
      <c r="B108" s="12">
        <f t="shared" si="20"/>
        <v>300</v>
      </c>
      <c r="C108" s="13" t="str">
        <f t="shared" si="20"/>
        <v>Violencia contra la mujer</v>
      </c>
      <c r="D108" s="13" t="str">
        <f t="shared" si="20"/>
        <v>Mujeres</v>
      </c>
      <c r="E108" s="26">
        <v>13</v>
      </c>
      <c r="F108" s="13" t="str">
        <f t="shared" si="22"/>
        <v>Sentencias por delito de abuso sexual</v>
      </c>
      <c r="G108" s="55" t="str">
        <f t="shared" si="22"/>
        <v>Abuso Sexual</v>
      </c>
      <c r="H108" s="29" t="s">
        <v>15</v>
      </c>
      <c r="I108" s="28" t="s">
        <v>379</v>
      </c>
      <c r="J108" s="12" t="s">
        <v>398</v>
      </c>
      <c r="K108" s="12" t="str">
        <f t="shared" si="21"/>
        <v>Sentencias Dictadas por Delitos de Abuso Sexual</v>
      </c>
      <c r="L108" s="12" t="str">
        <f t="shared" si="21"/>
        <v>Periodo 2013-2019</v>
      </c>
      <c r="M108" s="12" t="str">
        <f t="shared" si="21"/>
        <v>Número de sentencias</v>
      </c>
      <c r="N108" s="33" t="s">
        <v>5964</v>
      </c>
      <c r="O108" s="27" t="str">
        <f>"Sentencias Dictadas por Delitos de Abuso Sexual por Delito en la "&amp;[1]!Ingresos_Historicos[[#This Row],[territorio]]&amp;" durante el Periodo 2013-2019"</f>
        <v>Sentencias Dictadas por Delitos de Abuso Sexual por Delito en la Loncoche durante el Periodo 2013-2019</v>
      </c>
      <c r="P108"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Loncoche durante el Periodo 2013-2019 de acuerdo a datos provenientes del Poder Judicial de Chile.</v>
      </c>
      <c r="Q108" s="14" t="str">
        <f t="shared" si="16"/>
        <v>Gráfico de Evolución</v>
      </c>
      <c r="R108" s="77" t="s">
        <v>5987</v>
      </c>
      <c r="S108" s="15" t="s">
        <v>6485</v>
      </c>
      <c r="T108" s="65" t="s">
        <v>5935</v>
      </c>
      <c r="U108" s="24" t="s">
        <v>397</v>
      </c>
      <c r="V108" s="19" t="str">
        <f>+Ingresos_Historicos[[#This Row],[idcoleccion]]&amp;"-"&amp;Ingresos_Historicos[[#This Row],[id]]</f>
        <v>300-0098</v>
      </c>
      <c r="W108" s="19">
        <f>+VLOOKUP(Ingresos_Historicos[[#This Row],[Filtro URL]],Estructura!$X$4:$Y$366,2,0)</f>
        <v>30200013</v>
      </c>
      <c r="X108" s="19" t="str">
        <f>+VLOOKUP(Ingresos_Historicos[[#This Row],[tema]],Estructura!$A$4:$C$18,3,0)</f>
        <v>T-306</v>
      </c>
      <c r="Y108" s="19" t="str">
        <f>+VLOOKUP(Ingresos_Historicos[[#This Row],[contenido]],Estructura!$E$4:$G$18,3,0)</f>
        <v>C-301</v>
      </c>
      <c r="Z108" s="19" t="str">
        <f>+VLOOKUP(Ingresos_Historicos[[#This Row],[Filtro Integrado]],Estructura!$M$4:$O$367,3,0)</f>
        <v>FI-303</v>
      </c>
      <c r="AA108" s="19" t="str">
        <f>+VLOOKUP(Ingresos_Historicos[[#This Row],[Muestra]],Estructura!$Q$4:$S$194,3,0)</f>
        <v>M-306</v>
      </c>
    </row>
    <row r="109" spans="1:27" ht="40.799999999999997" x14ac:dyDescent="0.3">
      <c r="A109" s="71" t="s">
        <v>495</v>
      </c>
      <c r="B109" s="12">
        <f t="shared" si="20"/>
        <v>300</v>
      </c>
      <c r="C109" s="13" t="str">
        <f t="shared" si="20"/>
        <v>Violencia contra la mujer</v>
      </c>
      <c r="D109" s="13" t="str">
        <f t="shared" si="20"/>
        <v>Mujeres</v>
      </c>
      <c r="E109" s="26">
        <v>14</v>
      </c>
      <c r="F109" s="13" t="str">
        <f t="shared" si="22"/>
        <v>Sentencias por delito de abuso sexual</v>
      </c>
      <c r="G109" s="55" t="str">
        <f t="shared" si="22"/>
        <v>Abuso Sexual</v>
      </c>
      <c r="H109" s="29" t="s">
        <v>15</v>
      </c>
      <c r="I109" s="28" t="s">
        <v>380</v>
      </c>
      <c r="J109" s="12" t="s">
        <v>398</v>
      </c>
      <c r="K109" s="12" t="str">
        <f t="shared" si="21"/>
        <v>Sentencias Dictadas por Delitos de Abuso Sexual</v>
      </c>
      <c r="L109" s="12" t="str">
        <f t="shared" si="21"/>
        <v>Periodo 2013-2019</v>
      </c>
      <c r="M109" s="12" t="str">
        <f t="shared" si="21"/>
        <v>Número de sentencias</v>
      </c>
      <c r="N109" s="33" t="s">
        <v>5964</v>
      </c>
      <c r="O109" s="27" t="str">
        <f>"Sentencias Dictadas por Delitos de Abuso Sexual por Delito en la "&amp;[1]!Ingresos_Historicos[[#This Row],[territorio]]&amp;" durante el Periodo 2013-2019"</f>
        <v>Sentencias Dictadas por Delitos de Abuso Sexual por Delito en la Nueva Imperial durante el Periodo 2013-2019</v>
      </c>
      <c r="P109"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Nueva Imperial durante el Periodo 2013-2019 de acuerdo a datos provenientes del Poder Judicial de Chile.</v>
      </c>
      <c r="Q109" s="14" t="str">
        <f>+Q108</f>
        <v>Gráfico de Evolución</v>
      </c>
      <c r="R109" s="77" t="s">
        <v>5988</v>
      </c>
      <c r="S109" s="15" t="s">
        <v>6486</v>
      </c>
      <c r="T109" s="65" t="s">
        <v>5936</v>
      </c>
      <c r="U109" s="24" t="s">
        <v>397</v>
      </c>
      <c r="V109" s="19" t="str">
        <f>+Ingresos_Historicos[[#This Row],[idcoleccion]]&amp;"-"&amp;Ingresos_Historicos[[#This Row],[id]]</f>
        <v>300-0099</v>
      </c>
      <c r="W109" s="19">
        <f>+VLOOKUP(Ingresos_Historicos[[#This Row],[Filtro URL]],Estructura!$X$4:$Y$366,2,0)</f>
        <v>30200014</v>
      </c>
      <c r="X109" s="19" t="str">
        <f>+VLOOKUP(Ingresos_Historicos[[#This Row],[tema]],Estructura!$A$4:$C$18,3,0)</f>
        <v>T-306</v>
      </c>
      <c r="Y109" s="19" t="str">
        <f>+VLOOKUP(Ingresos_Historicos[[#This Row],[contenido]],Estructura!$E$4:$G$18,3,0)</f>
        <v>C-301</v>
      </c>
      <c r="Z109" s="19" t="str">
        <f>+VLOOKUP(Ingresos_Historicos[[#This Row],[Filtro Integrado]],Estructura!$M$4:$O$367,3,0)</f>
        <v>FI-303</v>
      </c>
      <c r="AA109" s="19" t="str">
        <f>+VLOOKUP(Ingresos_Historicos[[#This Row],[Muestra]],Estructura!$Q$4:$S$194,3,0)</f>
        <v>M-306</v>
      </c>
    </row>
    <row r="110" spans="1:27" ht="40.799999999999997" x14ac:dyDescent="0.3">
      <c r="A110" s="71" t="s">
        <v>496</v>
      </c>
      <c r="B110" s="12">
        <f t="shared" si="20"/>
        <v>300</v>
      </c>
      <c r="C110" s="13" t="str">
        <f t="shared" si="20"/>
        <v>Violencia contra la mujer</v>
      </c>
      <c r="D110" s="13" t="str">
        <f t="shared" si="20"/>
        <v>Mujeres</v>
      </c>
      <c r="E110" s="26">
        <v>15</v>
      </c>
      <c r="F110" s="13" t="str">
        <f t="shared" si="22"/>
        <v>Sentencias por delito de abuso sexual</v>
      </c>
      <c r="G110" s="55" t="str">
        <f t="shared" si="22"/>
        <v>Abuso Sexual</v>
      </c>
      <c r="H110" s="29" t="s">
        <v>15</v>
      </c>
      <c r="I110" s="28" t="s">
        <v>381</v>
      </c>
      <c r="J110" s="12" t="s">
        <v>398</v>
      </c>
      <c r="K110" s="12" t="str">
        <f t="shared" si="21"/>
        <v>Sentencias Dictadas por Delitos de Abuso Sexual</v>
      </c>
      <c r="L110" s="12" t="str">
        <f t="shared" si="21"/>
        <v>Periodo 2013-2019</v>
      </c>
      <c r="M110" s="12" t="str">
        <f t="shared" si="21"/>
        <v>Número de sentencias</v>
      </c>
      <c r="N110" s="33" t="s">
        <v>5964</v>
      </c>
      <c r="O110" s="27" t="str">
        <f>"Sentencias Dictadas por Delitos de Abuso Sexual por Delito en la "&amp;[1]!Ingresos_Historicos[[#This Row],[territorio]]&amp;" durante el Periodo 2013-2019"</f>
        <v>Sentencias Dictadas por Delitos de Abuso Sexual por Delito en la Pitrufquen durante el Periodo 2013-2019</v>
      </c>
      <c r="P110"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Pitrufquen durante el Periodo 2013-2019 de acuerdo a datos provenientes del Poder Judicial de Chile.</v>
      </c>
      <c r="Q110" s="14" t="str">
        <f>+Q109</f>
        <v>Gráfico de Evolución</v>
      </c>
      <c r="R110" s="77" t="s">
        <v>5989</v>
      </c>
      <c r="S110" s="15" t="s">
        <v>6487</v>
      </c>
      <c r="T110" s="65" t="s">
        <v>5937</v>
      </c>
      <c r="U110" s="24" t="s">
        <v>397</v>
      </c>
      <c r="V110" s="19" t="str">
        <f>+Ingresos_Historicos[[#This Row],[idcoleccion]]&amp;"-"&amp;Ingresos_Historicos[[#This Row],[id]]</f>
        <v>300-0100</v>
      </c>
      <c r="W110" s="19">
        <f>+VLOOKUP(Ingresos_Historicos[[#This Row],[Filtro URL]],Estructura!$X$4:$Y$366,2,0)</f>
        <v>30200015</v>
      </c>
      <c r="X110" s="19" t="str">
        <f>+VLOOKUP(Ingresos_Historicos[[#This Row],[tema]],Estructura!$A$4:$C$18,3,0)</f>
        <v>T-306</v>
      </c>
      <c r="Y110" s="19" t="str">
        <f>+VLOOKUP(Ingresos_Historicos[[#This Row],[contenido]],Estructura!$E$4:$G$18,3,0)</f>
        <v>C-301</v>
      </c>
      <c r="Z110" s="19" t="str">
        <f>+VLOOKUP(Ingresos_Historicos[[#This Row],[Filtro Integrado]],Estructura!$M$4:$O$367,3,0)</f>
        <v>FI-303</v>
      </c>
      <c r="AA110" s="19" t="str">
        <f>+VLOOKUP(Ingresos_Historicos[[#This Row],[Muestra]],Estructura!$Q$4:$S$194,3,0)</f>
        <v>M-306</v>
      </c>
    </row>
    <row r="111" spans="1:27" ht="40.799999999999997" x14ac:dyDescent="0.3">
      <c r="A111" s="71" t="s">
        <v>497</v>
      </c>
      <c r="B111" s="12">
        <f t="shared" ref="B111:D126" si="23">+B110</f>
        <v>300</v>
      </c>
      <c r="C111" s="13" t="str">
        <f t="shared" si="23"/>
        <v>Violencia contra la mujer</v>
      </c>
      <c r="D111" s="13" t="str">
        <f t="shared" si="23"/>
        <v>Mujeres</v>
      </c>
      <c r="E111" s="26">
        <v>16</v>
      </c>
      <c r="F111" s="13" t="str">
        <f t="shared" si="22"/>
        <v>Sentencias por delito de abuso sexual</v>
      </c>
      <c r="G111" s="55" t="str">
        <f t="shared" si="22"/>
        <v>Abuso Sexual</v>
      </c>
      <c r="H111" s="29" t="s">
        <v>15</v>
      </c>
      <c r="I111" s="28" t="s">
        <v>382</v>
      </c>
      <c r="J111" s="12" t="s">
        <v>398</v>
      </c>
      <c r="K111" s="12" t="str">
        <f t="shared" si="21"/>
        <v>Sentencias Dictadas por Delitos de Abuso Sexual</v>
      </c>
      <c r="L111" s="12" t="str">
        <f t="shared" si="21"/>
        <v>Periodo 2013-2019</v>
      </c>
      <c r="M111" s="12" t="str">
        <f t="shared" si="21"/>
        <v>Número de sentencias</v>
      </c>
      <c r="N111" s="33" t="s">
        <v>5964</v>
      </c>
      <c r="O111" s="27" t="str">
        <f>"Sentencias Dictadas por Delitos de Abuso Sexual por Delito en la "&amp;[1]!Ingresos_Historicos[[#This Row],[territorio]]&amp;" durante el Periodo 2013-2019"</f>
        <v>Sentencias Dictadas por Delitos de Abuso Sexual por Delito en la Temuco durante el Periodo 2013-2019</v>
      </c>
      <c r="P111" s="42" t="str">
        <f>"El gráfico muestra la evolución anual de la frecuencia de Sentencias Dictadas por Delitos de Abuso Sexual por Delito en la "&amp;[1]!Ingresos_Historicos[[#This Row],[territorio]]&amp;" durante el Periodo 2013-2019 de acuerdo a datos provenientes del Poder Judicial de Chile."</f>
        <v>El gráfico muestra la evolución anual de la frecuencia de Sentencias Dictadas por Delitos de Abuso Sexual por Delito en la Temuco durante el Periodo 2013-2019 de acuerdo a datos provenientes del Poder Judicial de Chile.</v>
      </c>
      <c r="Q111" s="14" t="str">
        <f>+Q110</f>
        <v>Gráfico de Evolución</v>
      </c>
      <c r="R111" s="77" t="s">
        <v>5990</v>
      </c>
      <c r="S111" s="15" t="s">
        <v>6488</v>
      </c>
      <c r="T111" s="65" t="s">
        <v>5924</v>
      </c>
      <c r="U111" s="24" t="s">
        <v>397</v>
      </c>
      <c r="V111" s="19" t="str">
        <f>+Ingresos_Historicos[[#This Row],[idcoleccion]]&amp;"-"&amp;Ingresos_Historicos[[#This Row],[id]]</f>
        <v>300-0101</v>
      </c>
      <c r="W111" s="19">
        <f>+VLOOKUP(Ingresos_Historicos[[#This Row],[Filtro URL]],Estructura!$X$4:$Y$366,2,0)</f>
        <v>30200016</v>
      </c>
      <c r="X111" s="19" t="str">
        <f>+VLOOKUP(Ingresos_Historicos[[#This Row],[tema]],Estructura!$A$4:$C$18,3,0)</f>
        <v>T-306</v>
      </c>
      <c r="Y111" s="19" t="str">
        <f>+VLOOKUP(Ingresos_Historicos[[#This Row],[contenido]],Estructura!$E$4:$G$18,3,0)</f>
        <v>C-301</v>
      </c>
      <c r="Z111" s="19" t="str">
        <f>+VLOOKUP(Ingresos_Historicos[[#This Row],[Filtro Integrado]],Estructura!$M$4:$O$367,3,0)</f>
        <v>FI-303</v>
      </c>
      <c r="AA111" s="19" t="str">
        <f>+VLOOKUP(Ingresos_Historicos[[#This Row],[Muestra]],Estructura!$Q$4:$S$194,3,0)</f>
        <v>M-306</v>
      </c>
    </row>
    <row r="112" spans="1:27" ht="40.799999999999997" x14ac:dyDescent="0.3">
      <c r="A112" s="32" t="s">
        <v>498</v>
      </c>
      <c r="B112" s="12">
        <f t="shared" si="23"/>
        <v>300</v>
      </c>
      <c r="C112" s="13" t="str">
        <f t="shared" si="23"/>
        <v>Violencia contra la mujer</v>
      </c>
      <c r="D112" s="13" t="str">
        <f t="shared" si="23"/>
        <v>Mujeres</v>
      </c>
      <c r="E112" s="39">
        <v>1</v>
      </c>
      <c r="F112" s="13" t="str">
        <f t="shared" si="22"/>
        <v>Sentencias por delito de abuso sexual</v>
      </c>
      <c r="G112" s="55" t="str">
        <f t="shared" si="22"/>
        <v>Abuso Sexual</v>
      </c>
      <c r="H112" s="38" t="s">
        <v>17</v>
      </c>
      <c r="I112" s="37" t="s">
        <v>29</v>
      </c>
      <c r="J112" s="12" t="s">
        <v>398</v>
      </c>
      <c r="K112" s="12" t="str">
        <f t="shared" ref="K112:M127" si="24">+K111</f>
        <v>Sentencias Dictadas por Delitos de Abuso Sexual</v>
      </c>
      <c r="L112" s="12" t="str">
        <f t="shared" si="24"/>
        <v>Periodo 2013-2019</v>
      </c>
      <c r="M112" s="12" t="str">
        <f t="shared" si="24"/>
        <v>Número de sentencias</v>
      </c>
      <c r="N112" s="33" t="s">
        <v>5964</v>
      </c>
      <c r="O112" s="27" t="str">
        <f>"Sentencias Dictadas por Delitos de Abuso Sexual en el  Juzgado de Garantía de "&amp;[1]!Ingresos_Historicos[[#This Row],[territorio]]&amp;" para el Periodo 2013-2019"</f>
        <v>Sentencias Dictadas por Delitos de Abuso Sexual en el  Juzgado de Garantía de Victoria para el Periodo 2013-2019</v>
      </c>
      <c r="P11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Victoria para el Periodo 2013-2019 de acuerdo a datos provenientes del Poder Judicial de Chile.</v>
      </c>
      <c r="Q112" s="14" t="str">
        <f t="shared" ref="Q112:Q175" si="25">+Q111</f>
        <v>Gráfico de Evolución</v>
      </c>
      <c r="R112" s="77" t="s">
        <v>6007</v>
      </c>
      <c r="S112" s="15" t="s">
        <v>6489</v>
      </c>
      <c r="T112" s="65" t="s">
        <v>5907</v>
      </c>
      <c r="U112" s="24" t="s">
        <v>397</v>
      </c>
      <c r="V112" s="19" t="str">
        <f>+Ingresos_Historicos[[#This Row],[idcoleccion]]&amp;"-"&amp;Ingresos_Historicos[[#This Row],[id]]</f>
        <v>300-0102</v>
      </c>
      <c r="W112" s="19">
        <f>+VLOOKUP(Ingresos_Historicos[[#This Row],[Filtro URL]],Estructura!$X$4:$Y$366,2,0)</f>
        <v>30200001</v>
      </c>
      <c r="X112" s="19" t="str">
        <f>+VLOOKUP(Ingresos_Historicos[[#This Row],[tema]],Estructura!$A$4:$C$18,3,0)</f>
        <v>T-306</v>
      </c>
      <c r="Y112" s="19" t="str">
        <f>+VLOOKUP(Ingresos_Historicos[[#This Row],[contenido]],Estructura!$E$4:$G$18,3,0)</f>
        <v>C-301</v>
      </c>
      <c r="Z112" s="19" t="str">
        <f>+VLOOKUP(Ingresos_Historicos[[#This Row],[Filtro Integrado]],Estructura!$M$4:$O$367,3,0)</f>
        <v>FI-303</v>
      </c>
      <c r="AA112" s="19" t="str">
        <f>+VLOOKUP(Ingresos_Historicos[[#This Row],[Muestra]],Estructura!$Q$4:$S$194,3,0)</f>
        <v>M-306</v>
      </c>
    </row>
    <row r="113" spans="1:27" ht="40.799999999999997" x14ac:dyDescent="0.3">
      <c r="A113" s="71" t="s">
        <v>499</v>
      </c>
      <c r="B113" s="12">
        <f t="shared" si="23"/>
        <v>300</v>
      </c>
      <c r="C113" s="13" t="str">
        <f t="shared" si="23"/>
        <v>Violencia contra la mujer</v>
      </c>
      <c r="D113" s="13" t="str">
        <f t="shared" si="23"/>
        <v>Mujeres</v>
      </c>
      <c r="E113" s="39">
        <v>2</v>
      </c>
      <c r="F113" s="13" t="str">
        <f t="shared" ref="F113:G128" si="26">+F112</f>
        <v>Sentencias por delito de abuso sexual</v>
      </c>
      <c r="G113" s="55" t="str">
        <f t="shared" si="26"/>
        <v>Abuso Sexual</v>
      </c>
      <c r="H113" s="38" t="s">
        <v>17</v>
      </c>
      <c r="I113" s="37" t="s">
        <v>16</v>
      </c>
      <c r="J113" s="12" t="s">
        <v>398</v>
      </c>
      <c r="K113" s="12" t="str">
        <f t="shared" si="24"/>
        <v>Sentencias Dictadas por Delitos de Abuso Sexual</v>
      </c>
      <c r="L113" s="12" t="str">
        <f t="shared" si="24"/>
        <v>Periodo 2013-2019</v>
      </c>
      <c r="M113" s="12" t="str">
        <f t="shared" si="24"/>
        <v>Número de sentencias</v>
      </c>
      <c r="N113" s="33" t="s">
        <v>5964</v>
      </c>
      <c r="O113" s="27" t="str">
        <f>"Sentencias Dictadas por Delitos de Abuso Sexual en el  Juzgado de Garantía de "&amp;[1]!Ingresos_Historicos[[#This Row],[territorio]]&amp;" para el Periodo 2013-2019"</f>
        <v>Sentencias Dictadas por Delitos de Abuso Sexual en el  Juzgado de Garantía de Villarrica para el Periodo 2013-2019</v>
      </c>
      <c r="P11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Villarrica para el Periodo 2013-2019 de acuerdo a datos provenientes del Poder Judicial de Chile.</v>
      </c>
      <c r="Q113" s="14" t="str">
        <f t="shared" si="25"/>
        <v>Gráfico de Evolución</v>
      </c>
      <c r="R113" s="77" t="s">
        <v>5992</v>
      </c>
      <c r="S113" s="15" t="s">
        <v>6490</v>
      </c>
      <c r="T113" s="65" t="s">
        <v>5908</v>
      </c>
      <c r="U113" s="24" t="s">
        <v>397</v>
      </c>
      <c r="V113" s="19" t="str">
        <f>+Ingresos_Historicos[[#This Row],[idcoleccion]]&amp;"-"&amp;Ingresos_Historicos[[#This Row],[id]]</f>
        <v>300-0103</v>
      </c>
      <c r="W113" s="19">
        <f>+VLOOKUP(Ingresos_Historicos[[#This Row],[Filtro URL]],Estructura!$X$4:$Y$366,2,0)</f>
        <v>30200002</v>
      </c>
      <c r="X113" s="19" t="str">
        <f>+VLOOKUP(Ingresos_Historicos[[#This Row],[tema]],Estructura!$A$4:$C$18,3,0)</f>
        <v>T-306</v>
      </c>
      <c r="Y113" s="19" t="str">
        <f>+VLOOKUP(Ingresos_Historicos[[#This Row],[contenido]],Estructura!$E$4:$G$18,3,0)</f>
        <v>C-301</v>
      </c>
      <c r="Z113" s="19" t="str">
        <f>+VLOOKUP(Ingresos_Historicos[[#This Row],[Filtro Integrado]],Estructura!$M$4:$O$367,3,0)</f>
        <v>FI-303</v>
      </c>
      <c r="AA113" s="19" t="str">
        <f>+VLOOKUP(Ingresos_Historicos[[#This Row],[Muestra]],Estructura!$Q$4:$S$194,3,0)</f>
        <v>M-306</v>
      </c>
    </row>
    <row r="114" spans="1:27" ht="40.799999999999997" x14ac:dyDescent="0.3">
      <c r="A114" s="71" t="s">
        <v>500</v>
      </c>
      <c r="B114" s="12">
        <f t="shared" si="23"/>
        <v>300</v>
      </c>
      <c r="C114" s="13" t="str">
        <f t="shared" si="23"/>
        <v>Violencia contra la mujer</v>
      </c>
      <c r="D114" s="13" t="str">
        <f t="shared" si="23"/>
        <v>Mujeres</v>
      </c>
      <c r="E114" s="39">
        <v>3</v>
      </c>
      <c r="F114" s="13" t="str">
        <f t="shared" si="26"/>
        <v>Sentencias por delito de abuso sexual</v>
      </c>
      <c r="G114" s="55" t="str">
        <f t="shared" si="26"/>
        <v>Abuso Sexual</v>
      </c>
      <c r="H114" s="38" t="s">
        <v>17</v>
      </c>
      <c r="I114" s="37" t="s">
        <v>39</v>
      </c>
      <c r="J114" s="12" t="s">
        <v>398</v>
      </c>
      <c r="K114" s="12" t="str">
        <f t="shared" si="24"/>
        <v>Sentencias Dictadas por Delitos de Abuso Sexual</v>
      </c>
      <c r="L114" s="12" t="str">
        <f t="shared" si="24"/>
        <v>Periodo 2013-2019</v>
      </c>
      <c r="M114" s="12" t="str">
        <f t="shared" si="24"/>
        <v>Número de sentencias</v>
      </c>
      <c r="N114" s="33" t="s">
        <v>5964</v>
      </c>
      <c r="O114" s="27" t="str">
        <f>"Sentencias Dictadas por Delitos de Abuso Sexual en el  Juzgado de Garantía de "&amp;[1]!Ingresos_Historicos[[#This Row],[territorio]]&amp;" para el Periodo 2013-2019"</f>
        <v>Sentencias Dictadas por Delitos de Abuso Sexual en el  Juzgado de Garantía de Ancud para el Periodo 2013-2019</v>
      </c>
      <c r="P114"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Ancud para el Periodo 2013-2019 de acuerdo a datos provenientes del Poder Judicial de Chile.</v>
      </c>
      <c r="Q114" s="14" t="str">
        <f t="shared" si="25"/>
        <v>Gráfico de Evolución</v>
      </c>
      <c r="R114" s="77" t="s">
        <v>6008</v>
      </c>
      <c r="S114" s="15" t="s">
        <v>6491</v>
      </c>
      <c r="T114" s="65" t="s">
        <v>5908</v>
      </c>
      <c r="U114" s="24" t="s">
        <v>397</v>
      </c>
      <c r="V114" s="19" t="str">
        <f>+Ingresos_Historicos[[#This Row],[idcoleccion]]&amp;"-"&amp;Ingresos_Historicos[[#This Row],[id]]</f>
        <v>300-0104</v>
      </c>
      <c r="W114" s="19">
        <f>+VLOOKUP(Ingresos_Historicos[[#This Row],[Filtro URL]],Estructura!$X$4:$Y$366,2,0)</f>
        <v>30200003</v>
      </c>
      <c r="X114" s="19" t="str">
        <f>+VLOOKUP(Ingresos_Historicos[[#This Row],[tema]],Estructura!$A$4:$C$18,3,0)</f>
        <v>T-306</v>
      </c>
      <c r="Y114" s="19" t="str">
        <f>+VLOOKUP(Ingresos_Historicos[[#This Row],[contenido]],Estructura!$E$4:$G$18,3,0)</f>
        <v>C-301</v>
      </c>
      <c r="Z114" s="19" t="str">
        <f>+VLOOKUP(Ingresos_Historicos[[#This Row],[Filtro Integrado]],Estructura!$M$4:$O$367,3,0)</f>
        <v>FI-303</v>
      </c>
      <c r="AA114" s="19" t="str">
        <f>+VLOOKUP(Ingresos_Historicos[[#This Row],[Muestra]],Estructura!$Q$4:$S$194,3,0)</f>
        <v>M-306</v>
      </c>
    </row>
    <row r="115" spans="1:27" ht="40.799999999999997" x14ac:dyDescent="0.3">
      <c r="A115" s="71" t="s">
        <v>501</v>
      </c>
      <c r="B115" s="12">
        <f t="shared" si="23"/>
        <v>300</v>
      </c>
      <c r="C115" s="13" t="str">
        <f t="shared" si="23"/>
        <v>Violencia contra la mujer</v>
      </c>
      <c r="D115" s="13" t="str">
        <f t="shared" si="23"/>
        <v>Mujeres</v>
      </c>
      <c r="E115" s="39">
        <v>4</v>
      </c>
      <c r="F115" s="13" t="str">
        <f t="shared" si="26"/>
        <v>Sentencias por delito de abuso sexual</v>
      </c>
      <c r="G115" s="55" t="str">
        <f t="shared" si="26"/>
        <v>Abuso Sexual</v>
      </c>
      <c r="H115" s="38" t="s">
        <v>17</v>
      </c>
      <c r="I115" s="37" t="s">
        <v>42</v>
      </c>
      <c r="J115" s="12" t="s">
        <v>398</v>
      </c>
      <c r="K115" s="12" t="str">
        <f t="shared" si="24"/>
        <v>Sentencias Dictadas por Delitos de Abuso Sexual</v>
      </c>
      <c r="L115" s="12" t="str">
        <f t="shared" si="24"/>
        <v>Periodo 2013-2019</v>
      </c>
      <c r="M115" s="12" t="str">
        <f t="shared" si="24"/>
        <v>Número de sentencias</v>
      </c>
      <c r="N115" s="33" t="s">
        <v>5964</v>
      </c>
      <c r="O115" s="27" t="str">
        <f>"Sentencias Dictadas por Delitos de Abuso Sexual en el  Juzgado de Garantía de "&amp;[1]!Ingresos_Historicos[[#This Row],[territorio]]&amp;" para el Periodo 2013-2019"</f>
        <v>Sentencias Dictadas por Delitos de Abuso Sexual en el  Juzgado de Garantía de Castro para el Periodo 2013-2019</v>
      </c>
      <c r="P115"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Castro para el Periodo 2013-2019 de acuerdo a datos provenientes del Poder Judicial de Chile.</v>
      </c>
      <c r="Q115" s="14" t="str">
        <f t="shared" si="25"/>
        <v>Gráfico de Evolución</v>
      </c>
      <c r="R115" s="77" t="s">
        <v>6009</v>
      </c>
      <c r="S115" s="15" t="s">
        <v>6492</v>
      </c>
      <c r="T115" s="65" t="s">
        <v>5908</v>
      </c>
      <c r="U115" s="24" t="s">
        <v>397</v>
      </c>
      <c r="V115" s="19" t="str">
        <f>+Ingresos_Historicos[[#This Row],[idcoleccion]]&amp;"-"&amp;Ingresos_Historicos[[#This Row],[id]]</f>
        <v>300-0105</v>
      </c>
      <c r="W115" s="19">
        <f>+VLOOKUP(Ingresos_Historicos[[#This Row],[Filtro URL]],Estructura!$X$4:$Y$366,2,0)</f>
        <v>30200004</v>
      </c>
      <c r="X115" s="19" t="str">
        <f>+VLOOKUP(Ingresos_Historicos[[#This Row],[tema]],Estructura!$A$4:$C$18,3,0)</f>
        <v>T-306</v>
      </c>
      <c r="Y115" s="19" t="str">
        <f>+VLOOKUP(Ingresos_Historicos[[#This Row],[contenido]],Estructura!$E$4:$G$18,3,0)</f>
        <v>C-301</v>
      </c>
      <c r="Z115" s="19" t="str">
        <f>+VLOOKUP(Ingresos_Historicos[[#This Row],[Filtro Integrado]],Estructura!$M$4:$O$367,3,0)</f>
        <v>FI-303</v>
      </c>
      <c r="AA115" s="19" t="str">
        <f>+VLOOKUP(Ingresos_Historicos[[#This Row],[Muestra]],Estructura!$Q$4:$S$194,3,0)</f>
        <v>M-306</v>
      </c>
    </row>
    <row r="116" spans="1:27" ht="40.799999999999997" x14ac:dyDescent="0.3">
      <c r="A116" s="71" t="s">
        <v>502</v>
      </c>
      <c r="B116" s="12">
        <f t="shared" si="23"/>
        <v>300</v>
      </c>
      <c r="C116" s="13" t="str">
        <f t="shared" si="23"/>
        <v>Violencia contra la mujer</v>
      </c>
      <c r="D116" s="13" t="str">
        <f t="shared" si="23"/>
        <v>Mujeres</v>
      </c>
      <c r="E116" s="39">
        <v>5</v>
      </c>
      <c r="F116" s="13" t="str">
        <f t="shared" si="26"/>
        <v>Sentencias por delito de abuso sexual</v>
      </c>
      <c r="G116" s="55" t="str">
        <f t="shared" si="26"/>
        <v>Abuso Sexual</v>
      </c>
      <c r="H116" s="38" t="s">
        <v>17</v>
      </c>
      <c r="I116" s="37" t="s">
        <v>6010</v>
      </c>
      <c r="J116" s="12" t="s">
        <v>398</v>
      </c>
      <c r="K116" s="12" t="str">
        <f t="shared" si="24"/>
        <v>Sentencias Dictadas por Delitos de Abuso Sexual</v>
      </c>
      <c r="L116" s="12" t="str">
        <f t="shared" si="24"/>
        <v>Periodo 2013-2019</v>
      </c>
      <c r="M116" s="12" t="str">
        <f t="shared" si="24"/>
        <v>Número de sentencias</v>
      </c>
      <c r="N116" s="33" t="s">
        <v>5964</v>
      </c>
      <c r="O116" s="27" t="str">
        <f>"Sentencias Dictadas por Delitos de Abuso Sexual en el  Juzgado de Garantía de "&amp;[1]!Ingresos_Historicos[[#This Row],[territorio]]&amp;" para el Periodo 2013-2019"</f>
        <v>Sentencias Dictadas por Delitos de Abuso Sexual en el  Juzgado de Garantía de Osorno para el Periodo 2013-2019</v>
      </c>
      <c r="P116"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Osorno para el Periodo 2013-2019 de acuerdo a datos provenientes del Poder Judicial de Chile.</v>
      </c>
      <c r="Q116" s="14" t="str">
        <f t="shared" si="25"/>
        <v>Gráfico de Evolución</v>
      </c>
      <c r="R116" s="77" t="s">
        <v>6011</v>
      </c>
      <c r="S116" s="15" t="s">
        <v>6493</v>
      </c>
      <c r="T116" s="65" t="s">
        <v>5909</v>
      </c>
      <c r="U116" s="24" t="s">
        <v>397</v>
      </c>
      <c r="V116" s="19" t="str">
        <f>+Ingresos_Historicos[[#This Row],[idcoleccion]]&amp;"-"&amp;Ingresos_Historicos[[#This Row],[id]]</f>
        <v>300-0106</v>
      </c>
      <c r="W116" s="19">
        <f>+VLOOKUP(Ingresos_Historicos[[#This Row],[Filtro URL]],Estructura!$X$4:$Y$366,2,0)</f>
        <v>30200005</v>
      </c>
      <c r="X116" s="19" t="str">
        <f>+VLOOKUP(Ingresos_Historicos[[#This Row],[tema]],Estructura!$A$4:$C$18,3,0)</f>
        <v>T-306</v>
      </c>
      <c r="Y116" s="19" t="str">
        <f>+VLOOKUP(Ingresos_Historicos[[#This Row],[contenido]],Estructura!$E$4:$G$18,3,0)</f>
        <v>C-301</v>
      </c>
      <c r="Z116" s="19" t="str">
        <f>+VLOOKUP(Ingresos_Historicos[[#This Row],[Filtro Integrado]],Estructura!$M$4:$O$367,3,0)</f>
        <v>FI-303</v>
      </c>
      <c r="AA116" s="19" t="str">
        <f>+VLOOKUP(Ingresos_Historicos[[#This Row],[Muestra]],Estructura!$Q$4:$S$194,3,0)</f>
        <v>M-306</v>
      </c>
    </row>
    <row r="117" spans="1:27" ht="51" x14ac:dyDescent="0.3">
      <c r="A117" s="71" t="s">
        <v>503</v>
      </c>
      <c r="B117" s="12">
        <f t="shared" si="23"/>
        <v>300</v>
      </c>
      <c r="C117" s="13" t="str">
        <f t="shared" si="23"/>
        <v>Violencia contra la mujer</v>
      </c>
      <c r="D117" s="13" t="str">
        <f t="shared" si="23"/>
        <v>Mujeres</v>
      </c>
      <c r="E117" s="39">
        <v>6</v>
      </c>
      <c r="F117" s="13" t="str">
        <f t="shared" si="26"/>
        <v>Sentencias por delito de abuso sexual</v>
      </c>
      <c r="G117" s="55" t="str">
        <f t="shared" si="26"/>
        <v>Abuso Sexual</v>
      </c>
      <c r="H117" s="38" t="s">
        <v>17</v>
      </c>
      <c r="I117" s="37" t="s">
        <v>48</v>
      </c>
      <c r="J117" s="12" t="s">
        <v>398</v>
      </c>
      <c r="K117" s="12" t="str">
        <f t="shared" si="24"/>
        <v>Sentencias Dictadas por Delitos de Abuso Sexual</v>
      </c>
      <c r="L117" s="12" t="str">
        <f t="shared" si="24"/>
        <v>Periodo 2013-2019</v>
      </c>
      <c r="M117" s="12" t="str">
        <f t="shared" si="24"/>
        <v>Número de sentencias</v>
      </c>
      <c r="N117" s="33" t="s">
        <v>5964</v>
      </c>
      <c r="O117" s="27" t="str">
        <f>"Sentencias Dictadas por Delitos de Abuso Sexual en el  Juzgado de Garantía de "&amp;[1]!Ingresos_Historicos[[#This Row],[territorio]]&amp;" para el Periodo 2013-2019"</f>
        <v>Sentencias Dictadas por Delitos de Abuso Sexual en el  Juzgado de Garantía de Puerto Montt para el Periodo 2013-2019</v>
      </c>
      <c r="P11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Puerto Montt para el Periodo 2013-2019 de acuerdo a datos provenientes del Poder Judicial de Chile.</v>
      </c>
      <c r="Q117" s="14" t="str">
        <f t="shared" si="25"/>
        <v>Gráfico de Evolución</v>
      </c>
      <c r="R117" s="77" t="s">
        <v>6012</v>
      </c>
      <c r="S117" s="15" t="s">
        <v>6494</v>
      </c>
      <c r="T117" s="65" t="s">
        <v>5909</v>
      </c>
      <c r="U117" s="24" t="s">
        <v>397</v>
      </c>
      <c r="V117" s="19" t="str">
        <f>+Ingresos_Historicos[[#This Row],[idcoleccion]]&amp;"-"&amp;Ingresos_Historicos[[#This Row],[id]]</f>
        <v>300-0107</v>
      </c>
      <c r="W117" s="19">
        <f>+VLOOKUP(Ingresos_Historicos[[#This Row],[Filtro URL]],Estructura!$X$4:$Y$366,2,0)</f>
        <v>30200006</v>
      </c>
      <c r="X117" s="19" t="str">
        <f>+VLOOKUP(Ingresos_Historicos[[#This Row],[tema]],Estructura!$A$4:$C$18,3,0)</f>
        <v>T-306</v>
      </c>
      <c r="Y117" s="19" t="str">
        <f>+VLOOKUP(Ingresos_Historicos[[#This Row],[contenido]],Estructura!$E$4:$G$18,3,0)</f>
        <v>C-301</v>
      </c>
      <c r="Z117" s="19" t="str">
        <f>+VLOOKUP(Ingresos_Historicos[[#This Row],[Filtro Integrado]],Estructura!$M$4:$O$367,3,0)</f>
        <v>FI-303</v>
      </c>
      <c r="AA117" s="19" t="str">
        <f>+VLOOKUP(Ingresos_Historicos[[#This Row],[Muestra]],Estructura!$Q$4:$S$194,3,0)</f>
        <v>M-306</v>
      </c>
    </row>
    <row r="118" spans="1:27" ht="51" x14ac:dyDescent="0.3">
      <c r="A118" s="71" t="s">
        <v>504</v>
      </c>
      <c r="B118" s="12">
        <f t="shared" si="23"/>
        <v>300</v>
      </c>
      <c r="C118" s="13" t="str">
        <f t="shared" si="23"/>
        <v>Violencia contra la mujer</v>
      </c>
      <c r="D118" s="13" t="str">
        <f t="shared" si="23"/>
        <v>Mujeres</v>
      </c>
      <c r="E118" s="39">
        <v>7</v>
      </c>
      <c r="F118" s="13" t="str">
        <f t="shared" si="26"/>
        <v>Sentencias por delito de abuso sexual</v>
      </c>
      <c r="G118" s="55" t="str">
        <f t="shared" si="26"/>
        <v>Abuso Sexual</v>
      </c>
      <c r="H118" s="38" t="s">
        <v>17</v>
      </c>
      <c r="I118" s="37" t="s">
        <v>49</v>
      </c>
      <c r="J118" s="12" t="s">
        <v>398</v>
      </c>
      <c r="K118" s="12" t="str">
        <f t="shared" si="24"/>
        <v>Sentencias Dictadas por Delitos de Abuso Sexual</v>
      </c>
      <c r="L118" s="12" t="str">
        <f t="shared" si="24"/>
        <v>Periodo 2013-2019</v>
      </c>
      <c r="M118" s="12" t="str">
        <f t="shared" si="24"/>
        <v>Número de sentencias</v>
      </c>
      <c r="N118" s="33" t="s">
        <v>5964</v>
      </c>
      <c r="O118" s="27" t="str">
        <f>"Sentencias Dictadas por Delitos de Abuso Sexual en el  Juzgado de Garantía de "&amp;[1]!Ingresos_Historicos[[#This Row],[territorio]]&amp;" para el Periodo 2013-2019"</f>
        <v>Sentencias Dictadas por Delitos de Abuso Sexual en el  Juzgado de Garantía de Puerto Varas para el Periodo 2013-2019</v>
      </c>
      <c r="P11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Puerto Varas para el Periodo 2013-2019 de acuerdo a datos provenientes del Poder Judicial de Chile.</v>
      </c>
      <c r="Q118" s="14" t="str">
        <f t="shared" si="25"/>
        <v>Gráfico de Evolución</v>
      </c>
      <c r="R118" s="77" t="s">
        <v>6013</v>
      </c>
      <c r="S118" s="15" t="s">
        <v>6495</v>
      </c>
      <c r="T118" s="65" t="s">
        <v>5909</v>
      </c>
      <c r="U118" s="24" t="s">
        <v>397</v>
      </c>
      <c r="V118" s="19" t="str">
        <f>+Ingresos_Historicos[[#This Row],[idcoleccion]]&amp;"-"&amp;Ingresos_Historicos[[#This Row],[id]]</f>
        <v>300-0108</v>
      </c>
      <c r="W118" s="19">
        <f>+VLOOKUP(Ingresos_Historicos[[#This Row],[Filtro URL]],Estructura!$X$4:$Y$366,2,0)</f>
        <v>30200007</v>
      </c>
      <c r="X118" s="19" t="str">
        <f>+VLOOKUP(Ingresos_Historicos[[#This Row],[tema]],Estructura!$A$4:$C$18,3,0)</f>
        <v>T-306</v>
      </c>
      <c r="Y118" s="19" t="str">
        <f>+VLOOKUP(Ingresos_Historicos[[#This Row],[contenido]],Estructura!$E$4:$G$18,3,0)</f>
        <v>C-301</v>
      </c>
      <c r="Z118" s="19" t="str">
        <f>+VLOOKUP(Ingresos_Historicos[[#This Row],[Filtro Integrado]],Estructura!$M$4:$O$367,3,0)</f>
        <v>FI-303</v>
      </c>
      <c r="AA118" s="19" t="str">
        <f>+VLOOKUP(Ingresos_Historicos[[#This Row],[Muestra]],Estructura!$Q$4:$S$194,3,0)</f>
        <v>M-306</v>
      </c>
    </row>
    <row r="119" spans="1:27" ht="40.799999999999997" x14ac:dyDescent="0.3">
      <c r="A119" s="71" t="s">
        <v>505</v>
      </c>
      <c r="B119" s="12">
        <f t="shared" si="23"/>
        <v>300</v>
      </c>
      <c r="C119" s="13" t="str">
        <f t="shared" si="23"/>
        <v>Violencia contra la mujer</v>
      </c>
      <c r="D119" s="13" t="str">
        <f t="shared" si="23"/>
        <v>Mujeres</v>
      </c>
      <c r="E119" s="39">
        <v>8</v>
      </c>
      <c r="F119" s="13" t="str">
        <f t="shared" si="26"/>
        <v>Sentencias por delito de abuso sexual</v>
      </c>
      <c r="G119" s="55" t="str">
        <f t="shared" si="26"/>
        <v>Abuso Sexual</v>
      </c>
      <c r="H119" s="38" t="s">
        <v>17</v>
      </c>
      <c r="I119" s="37" t="s">
        <v>25</v>
      </c>
      <c r="J119" s="12" t="s">
        <v>398</v>
      </c>
      <c r="K119" s="12" t="str">
        <f t="shared" si="24"/>
        <v>Sentencias Dictadas por Delitos de Abuso Sexual</v>
      </c>
      <c r="L119" s="12" t="str">
        <f t="shared" si="24"/>
        <v>Periodo 2013-2019</v>
      </c>
      <c r="M119" s="12" t="str">
        <f t="shared" si="24"/>
        <v>Número de sentencias</v>
      </c>
      <c r="N119" s="33" t="s">
        <v>5964</v>
      </c>
      <c r="O119" s="27" t="str">
        <f>"Sentencias Dictadas por Delitos de Abuso Sexual en el  Juzgado de Garantía de "&amp;[1]!Ingresos_Historicos[[#This Row],[territorio]]&amp;" para el Periodo 2013-2019"</f>
        <v>Sentencias Dictadas por Delitos de Abuso Sexual en el  Juzgado de Garantía de Rio Negro para el Periodo 2013-2019</v>
      </c>
      <c r="P11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Rio Negro para el Periodo 2013-2019 de acuerdo a datos provenientes del Poder Judicial de Chile.</v>
      </c>
      <c r="Q119" s="14" t="str">
        <f t="shared" si="25"/>
        <v>Gráfico de Evolución</v>
      </c>
      <c r="R119" s="77" t="s">
        <v>6014</v>
      </c>
      <c r="S119" s="15" t="s">
        <v>6496</v>
      </c>
      <c r="T119" s="65" t="s">
        <v>5910</v>
      </c>
      <c r="U119" s="24" t="s">
        <v>397</v>
      </c>
      <c r="V119" s="19" t="str">
        <f>+Ingresos_Historicos[[#This Row],[idcoleccion]]&amp;"-"&amp;Ingresos_Historicos[[#This Row],[id]]</f>
        <v>300-0109</v>
      </c>
      <c r="W119" s="19">
        <f>+VLOOKUP(Ingresos_Historicos[[#This Row],[Filtro URL]],Estructura!$X$4:$Y$366,2,0)</f>
        <v>30200008</v>
      </c>
      <c r="X119" s="19" t="str">
        <f>+VLOOKUP(Ingresos_Historicos[[#This Row],[tema]],Estructura!$A$4:$C$18,3,0)</f>
        <v>T-306</v>
      </c>
      <c r="Y119" s="19" t="str">
        <f>+VLOOKUP(Ingresos_Historicos[[#This Row],[contenido]],Estructura!$E$4:$G$18,3,0)</f>
        <v>C-301</v>
      </c>
      <c r="Z119" s="19" t="str">
        <f>+VLOOKUP(Ingresos_Historicos[[#This Row],[Filtro Integrado]],Estructura!$M$4:$O$367,3,0)</f>
        <v>FI-303</v>
      </c>
      <c r="AA119" s="19" t="str">
        <f>+VLOOKUP(Ingresos_Historicos[[#This Row],[Muestra]],Estructura!$Q$4:$S$194,3,0)</f>
        <v>M-306</v>
      </c>
    </row>
    <row r="120" spans="1:27" ht="40.799999999999997" x14ac:dyDescent="0.3">
      <c r="A120" s="71" t="s">
        <v>506</v>
      </c>
      <c r="B120" s="12">
        <f t="shared" si="23"/>
        <v>300</v>
      </c>
      <c r="C120" s="13" t="str">
        <f t="shared" si="23"/>
        <v>Violencia contra la mujer</v>
      </c>
      <c r="D120" s="13" t="str">
        <f t="shared" si="23"/>
        <v>Mujeres</v>
      </c>
      <c r="E120" s="39">
        <v>9</v>
      </c>
      <c r="F120" s="13" t="str">
        <f t="shared" si="26"/>
        <v>Sentencias por delito de abuso sexual</v>
      </c>
      <c r="G120" s="55" t="str">
        <f t="shared" si="26"/>
        <v>Abuso Sexual</v>
      </c>
      <c r="H120" s="38" t="s">
        <v>17</v>
      </c>
      <c r="I120" s="37" t="s">
        <v>58</v>
      </c>
      <c r="J120" s="12" t="s">
        <v>398</v>
      </c>
      <c r="K120" s="12" t="str">
        <f t="shared" si="24"/>
        <v>Sentencias Dictadas por Delitos de Abuso Sexual</v>
      </c>
      <c r="L120" s="12" t="str">
        <f t="shared" si="24"/>
        <v>Periodo 2013-2019</v>
      </c>
      <c r="M120" s="12" t="str">
        <f t="shared" si="24"/>
        <v>Número de sentencias</v>
      </c>
      <c r="N120" s="33" t="s">
        <v>5964</v>
      </c>
      <c r="O120" s="27" t="str">
        <f>"Sentencias Dictadas por Delitos de Abuso Sexual en el  Juzgado de Garantía de "&amp;[1]!Ingresos_Historicos[[#This Row],[territorio]]&amp;" para el Periodo 2013-2019"</f>
        <v>Sentencias Dictadas por Delitos de Abuso Sexual en el  Juzgado de Garantía de Coyhaique para el Periodo 2013-2019</v>
      </c>
      <c r="P12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Coyhaique para el Periodo 2013-2019 de acuerdo a datos provenientes del Poder Judicial de Chile.</v>
      </c>
      <c r="Q120" s="14" t="str">
        <f t="shared" si="25"/>
        <v>Gráfico de Evolución</v>
      </c>
      <c r="R120" s="77" t="s">
        <v>6015</v>
      </c>
      <c r="S120" s="15" t="s">
        <v>6497</v>
      </c>
      <c r="T120" s="65" t="s">
        <v>5910</v>
      </c>
      <c r="U120" s="24" t="s">
        <v>397</v>
      </c>
      <c r="V120" s="19" t="str">
        <f>+Ingresos_Historicos[[#This Row],[idcoleccion]]&amp;"-"&amp;Ingresos_Historicos[[#This Row],[id]]</f>
        <v>300-0110</v>
      </c>
      <c r="W120" s="19">
        <f>+VLOOKUP(Ingresos_Historicos[[#This Row],[Filtro URL]],Estructura!$X$4:$Y$366,2,0)</f>
        <v>30200009</v>
      </c>
      <c r="X120" s="19" t="str">
        <f>+VLOOKUP(Ingresos_Historicos[[#This Row],[tema]],Estructura!$A$4:$C$18,3,0)</f>
        <v>T-306</v>
      </c>
      <c r="Y120" s="19" t="str">
        <f>+VLOOKUP(Ingresos_Historicos[[#This Row],[contenido]],Estructura!$E$4:$G$18,3,0)</f>
        <v>C-301</v>
      </c>
      <c r="Z120" s="19" t="str">
        <f>+VLOOKUP(Ingresos_Historicos[[#This Row],[Filtro Integrado]],Estructura!$M$4:$O$367,3,0)</f>
        <v>FI-303</v>
      </c>
      <c r="AA120" s="19" t="str">
        <f>+VLOOKUP(Ingresos_Historicos[[#This Row],[Muestra]],Estructura!$Q$4:$S$194,3,0)</f>
        <v>M-306</v>
      </c>
    </row>
    <row r="121" spans="1:27" ht="51" x14ac:dyDescent="0.3">
      <c r="A121" s="71" t="s">
        <v>507</v>
      </c>
      <c r="B121" s="12">
        <f t="shared" si="23"/>
        <v>300</v>
      </c>
      <c r="C121" s="13" t="str">
        <f t="shared" si="23"/>
        <v>Violencia contra la mujer</v>
      </c>
      <c r="D121" s="13" t="str">
        <f t="shared" si="23"/>
        <v>Mujeres</v>
      </c>
      <c r="E121" s="39">
        <v>10</v>
      </c>
      <c r="F121" s="13" t="str">
        <f t="shared" si="26"/>
        <v>Sentencias por delito de abuso sexual</v>
      </c>
      <c r="G121" s="55" t="str">
        <f t="shared" si="26"/>
        <v>Abuso Sexual</v>
      </c>
      <c r="H121" s="38" t="s">
        <v>17</v>
      </c>
      <c r="I121" s="37" t="s">
        <v>53</v>
      </c>
      <c r="J121" s="12" t="s">
        <v>398</v>
      </c>
      <c r="K121" s="12" t="str">
        <f t="shared" si="24"/>
        <v>Sentencias Dictadas por Delitos de Abuso Sexual</v>
      </c>
      <c r="L121" s="12" t="str">
        <f t="shared" si="24"/>
        <v>Periodo 2013-2019</v>
      </c>
      <c r="M121" s="12" t="str">
        <f t="shared" si="24"/>
        <v>Número de sentencias</v>
      </c>
      <c r="N121" s="33" t="s">
        <v>5964</v>
      </c>
      <c r="O121" s="27" t="str">
        <f>"Sentencias Dictadas por Delitos de Abuso Sexual en el  Juzgado de Garantía de "&amp;[1]!Ingresos_Historicos[[#This Row],[territorio]]&amp;" para el Periodo 2013-2019"</f>
        <v>Sentencias Dictadas por Delitos de Abuso Sexual en el  Juzgado de Garantía de Punta Arenas para el Periodo 2013-2019</v>
      </c>
      <c r="P12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Punta Arenas para el Periodo 2013-2019 de acuerdo a datos provenientes del Poder Judicial de Chile.</v>
      </c>
      <c r="Q121" s="14" t="str">
        <f t="shared" si="25"/>
        <v>Gráfico de Evolución</v>
      </c>
      <c r="R121" s="77" t="s">
        <v>6016</v>
      </c>
      <c r="S121" s="15" t="s">
        <v>6498</v>
      </c>
      <c r="T121" s="65" t="s">
        <v>5910</v>
      </c>
      <c r="U121" s="24" t="s">
        <v>397</v>
      </c>
      <c r="V121" s="19" t="str">
        <f>+Ingresos_Historicos[[#This Row],[idcoleccion]]&amp;"-"&amp;Ingresos_Historicos[[#This Row],[id]]</f>
        <v>300-0111</v>
      </c>
      <c r="W121" s="19">
        <f>+VLOOKUP(Ingresos_Historicos[[#This Row],[Filtro URL]],Estructura!$X$4:$Y$366,2,0)</f>
        <v>30200010</v>
      </c>
      <c r="X121" s="19" t="str">
        <f>+VLOOKUP(Ingresos_Historicos[[#This Row],[tema]],Estructura!$A$4:$C$18,3,0)</f>
        <v>T-306</v>
      </c>
      <c r="Y121" s="19" t="str">
        <f>+VLOOKUP(Ingresos_Historicos[[#This Row],[contenido]],Estructura!$E$4:$G$18,3,0)</f>
        <v>C-301</v>
      </c>
      <c r="Z121" s="19" t="str">
        <f>+VLOOKUP(Ingresos_Historicos[[#This Row],[Filtro Integrado]],Estructura!$M$4:$O$367,3,0)</f>
        <v>FI-303</v>
      </c>
      <c r="AA121" s="19" t="str">
        <f>+VLOOKUP(Ingresos_Historicos[[#This Row],[Muestra]],Estructura!$Q$4:$S$194,3,0)</f>
        <v>M-306</v>
      </c>
    </row>
    <row r="122" spans="1:27" ht="40.799999999999997" x14ac:dyDescent="0.3">
      <c r="A122" s="71" t="s">
        <v>508</v>
      </c>
      <c r="B122" s="12">
        <f t="shared" si="23"/>
        <v>300</v>
      </c>
      <c r="C122" s="13" t="str">
        <f t="shared" si="23"/>
        <v>Violencia contra la mujer</v>
      </c>
      <c r="D122" s="13" t="str">
        <f t="shared" si="23"/>
        <v>Mujeres</v>
      </c>
      <c r="E122" s="39">
        <v>11</v>
      </c>
      <c r="F122" s="13" t="str">
        <f t="shared" si="26"/>
        <v>Sentencias por delito de abuso sexual</v>
      </c>
      <c r="G122" s="55" t="str">
        <f t="shared" si="26"/>
        <v>Abuso Sexual</v>
      </c>
      <c r="H122" s="38" t="s">
        <v>17</v>
      </c>
      <c r="I122" s="37" t="s">
        <v>21</v>
      </c>
      <c r="J122" s="12" t="s">
        <v>398</v>
      </c>
      <c r="K122" s="12" t="str">
        <f t="shared" si="24"/>
        <v>Sentencias Dictadas por Delitos de Abuso Sexual</v>
      </c>
      <c r="L122" s="12" t="str">
        <f t="shared" si="24"/>
        <v>Periodo 2013-2019</v>
      </c>
      <c r="M122" s="12" t="str">
        <f t="shared" si="24"/>
        <v>Número de sentencias</v>
      </c>
      <c r="N122" s="33" t="s">
        <v>5964</v>
      </c>
      <c r="O122"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2" s="14" t="str">
        <f t="shared" si="25"/>
        <v>Gráfico de Evolución</v>
      </c>
      <c r="R122" s="77" t="s">
        <v>6017</v>
      </c>
      <c r="S122" s="15" t="s">
        <v>6499</v>
      </c>
      <c r="T122" s="65" t="s">
        <v>5910</v>
      </c>
      <c r="U122" s="24" t="s">
        <v>397</v>
      </c>
      <c r="V122" s="19" t="str">
        <f>+Ingresos_Historicos[[#This Row],[idcoleccion]]&amp;"-"&amp;Ingresos_Historicos[[#This Row],[id]]</f>
        <v>300-0112</v>
      </c>
      <c r="W122" s="19">
        <f>+VLOOKUP(Ingresos_Historicos[[#This Row],[Filtro URL]],Estructura!$X$4:$Y$366,2,0)</f>
        <v>30200011</v>
      </c>
      <c r="X122" s="19" t="str">
        <f>+VLOOKUP(Ingresos_Historicos[[#This Row],[tema]],Estructura!$A$4:$C$18,3,0)</f>
        <v>T-306</v>
      </c>
      <c r="Y122" s="19" t="str">
        <f>+VLOOKUP(Ingresos_Historicos[[#This Row],[contenido]],Estructura!$E$4:$G$18,3,0)</f>
        <v>C-301</v>
      </c>
      <c r="Z122" s="19" t="str">
        <f>+VLOOKUP(Ingresos_Historicos[[#This Row],[Filtro Integrado]],Estructura!$M$4:$O$367,3,0)</f>
        <v>FI-303</v>
      </c>
      <c r="AA122" s="19" t="str">
        <f>+VLOOKUP(Ingresos_Historicos[[#This Row],[Muestra]],Estructura!$Q$4:$S$194,3,0)</f>
        <v>M-306</v>
      </c>
    </row>
    <row r="123" spans="1:27" ht="40.799999999999997" x14ac:dyDescent="0.3">
      <c r="A123" s="71" t="s">
        <v>509</v>
      </c>
      <c r="B123" s="12">
        <f t="shared" si="23"/>
        <v>300</v>
      </c>
      <c r="C123" s="13" t="str">
        <f t="shared" si="23"/>
        <v>Violencia contra la mujer</v>
      </c>
      <c r="D123" s="13" t="str">
        <f t="shared" si="23"/>
        <v>Mujeres</v>
      </c>
      <c r="E123" s="39">
        <v>12</v>
      </c>
      <c r="F123" s="13" t="str">
        <f t="shared" si="26"/>
        <v>Sentencias por delito de abuso sexual</v>
      </c>
      <c r="G123" s="55" t="str">
        <f t="shared" si="26"/>
        <v>Abuso Sexual</v>
      </c>
      <c r="H123" s="38" t="s">
        <v>17</v>
      </c>
      <c r="I123" s="37" t="s">
        <v>57</v>
      </c>
      <c r="J123" s="12" t="s">
        <v>398</v>
      </c>
      <c r="K123" s="12" t="str">
        <f t="shared" si="24"/>
        <v>Sentencias Dictadas por Delitos de Abuso Sexual</v>
      </c>
      <c r="L123" s="12" t="str">
        <f t="shared" si="24"/>
        <v>Periodo 2013-2019</v>
      </c>
      <c r="M123" s="12" t="str">
        <f t="shared" si="24"/>
        <v>Número de sentencias</v>
      </c>
      <c r="N123" s="33" t="s">
        <v>5964</v>
      </c>
      <c r="O123"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3" s="14" t="str">
        <f t="shared" si="25"/>
        <v>Gráfico de Evolución</v>
      </c>
      <c r="R123" s="77" t="s">
        <v>6018</v>
      </c>
      <c r="S123" s="15" t="s">
        <v>6500</v>
      </c>
      <c r="T123" s="65" t="s">
        <v>5910</v>
      </c>
      <c r="U123" s="24" t="s">
        <v>397</v>
      </c>
      <c r="V123" s="19" t="str">
        <f>+Ingresos_Historicos[[#This Row],[idcoleccion]]&amp;"-"&amp;Ingresos_Historicos[[#This Row],[id]]</f>
        <v>300-0113</v>
      </c>
      <c r="W123" s="19">
        <f>+VLOOKUP(Ingresos_Historicos[[#This Row],[Filtro URL]],Estructura!$X$4:$Y$366,2,0)</f>
        <v>30200012</v>
      </c>
      <c r="X123" s="19" t="str">
        <f>+VLOOKUP(Ingresos_Historicos[[#This Row],[tema]],Estructura!$A$4:$C$18,3,0)</f>
        <v>T-306</v>
      </c>
      <c r="Y123" s="19" t="str">
        <f>+VLOOKUP(Ingresos_Historicos[[#This Row],[contenido]],Estructura!$E$4:$G$18,3,0)</f>
        <v>C-301</v>
      </c>
      <c r="Z123" s="19" t="str">
        <f>+VLOOKUP(Ingresos_Historicos[[#This Row],[Filtro Integrado]],Estructura!$M$4:$O$367,3,0)</f>
        <v>FI-303</v>
      </c>
      <c r="AA123" s="19" t="str">
        <f>+VLOOKUP(Ingresos_Historicos[[#This Row],[Muestra]],Estructura!$Q$4:$S$194,3,0)</f>
        <v>M-306</v>
      </c>
    </row>
    <row r="124" spans="1:27" ht="40.799999999999997" x14ac:dyDescent="0.3">
      <c r="A124" s="71" t="s">
        <v>510</v>
      </c>
      <c r="B124" s="12">
        <f t="shared" si="23"/>
        <v>300</v>
      </c>
      <c r="C124" s="13" t="str">
        <f t="shared" si="23"/>
        <v>Violencia contra la mujer</v>
      </c>
      <c r="D124" s="13" t="str">
        <f t="shared" si="23"/>
        <v>Mujeres</v>
      </c>
      <c r="E124" s="39">
        <v>13</v>
      </c>
      <c r="F124" s="13" t="str">
        <f t="shared" si="26"/>
        <v>Sentencias por delito de abuso sexual</v>
      </c>
      <c r="G124" s="55" t="str">
        <f t="shared" si="26"/>
        <v>Abuso Sexual</v>
      </c>
      <c r="H124" s="38" t="s">
        <v>17</v>
      </c>
      <c r="I124" s="37" t="s">
        <v>83</v>
      </c>
      <c r="J124" s="12" t="s">
        <v>398</v>
      </c>
      <c r="K124" s="12" t="str">
        <f t="shared" si="24"/>
        <v>Sentencias Dictadas por Delitos de Abuso Sexual</v>
      </c>
      <c r="L124" s="12" t="str">
        <f t="shared" si="24"/>
        <v>Periodo 2013-2019</v>
      </c>
      <c r="M124" s="12" t="str">
        <f t="shared" si="24"/>
        <v>Número de sentencias</v>
      </c>
      <c r="N124" s="33" t="s">
        <v>5964</v>
      </c>
      <c r="O124"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4"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4" s="14" t="str">
        <f t="shared" si="25"/>
        <v>Gráfico de Evolución</v>
      </c>
      <c r="R124" s="77" t="s">
        <v>6019</v>
      </c>
      <c r="S124" s="15" t="s">
        <v>6501</v>
      </c>
      <c r="T124" s="65" t="s">
        <v>5911</v>
      </c>
      <c r="U124" s="24" t="s">
        <v>397</v>
      </c>
      <c r="V124" s="19" t="str">
        <f>+Ingresos_Historicos[[#This Row],[idcoleccion]]&amp;"-"&amp;Ingresos_Historicos[[#This Row],[id]]</f>
        <v>300-0114</v>
      </c>
      <c r="W124" s="19">
        <f>+VLOOKUP(Ingresos_Historicos[[#This Row],[Filtro URL]],Estructura!$X$4:$Y$366,2,0)</f>
        <v>30200013</v>
      </c>
      <c r="X124" s="19" t="str">
        <f>+VLOOKUP(Ingresos_Historicos[[#This Row],[tema]],Estructura!$A$4:$C$18,3,0)</f>
        <v>T-306</v>
      </c>
      <c r="Y124" s="19" t="str">
        <f>+VLOOKUP(Ingresos_Historicos[[#This Row],[contenido]],Estructura!$E$4:$G$18,3,0)</f>
        <v>C-301</v>
      </c>
      <c r="Z124" s="19" t="str">
        <f>+VLOOKUP(Ingresos_Historicos[[#This Row],[Filtro Integrado]],Estructura!$M$4:$O$367,3,0)</f>
        <v>FI-303</v>
      </c>
      <c r="AA124" s="19" t="str">
        <f>+VLOOKUP(Ingresos_Historicos[[#This Row],[Muestra]],Estructura!$Q$4:$S$194,3,0)</f>
        <v>M-306</v>
      </c>
    </row>
    <row r="125" spans="1:27" ht="40.799999999999997" x14ac:dyDescent="0.3">
      <c r="A125" s="71" t="s">
        <v>511</v>
      </c>
      <c r="B125" s="12">
        <f t="shared" si="23"/>
        <v>300</v>
      </c>
      <c r="C125" s="13" t="str">
        <f t="shared" si="23"/>
        <v>Violencia contra la mujer</v>
      </c>
      <c r="D125" s="13" t="str">
        <f t="shared" si="23"/>
        <v>Mujeres</v>
      </c>
      <c r="E125" s="39">
        <v>14</v>
      </c>
      <c r="F125" s="13" t="str">
        <f t="shared" si="26"/>
        <v>Sentencias por delito de abuso sexual</v>
      </c>
      <c r="G125" s="55" t="str">
        <f t="shared" si="26"/>
        <v>Abuso Sexual</v>
      </c>
      <c r="H125" s="38" t="s">
        <v>17</v>
      </c>
      <c r="I125" s="37" t="s">
        <v>77</v>
      </c>
      <c r="J125" s="12" t="s">
        <v>398</v>
      </c>
      <c r="K125" s="12" t="str">
        <f t="shared" si="24"/>
        <v>Sentencias Dictadas por Delitos de Abuso Sexual</v>
      </c>
      <c r="L125" s="12" t="str">
        <f t="shared" si="24"/>
        <v>Periodo 2013-2019</v>
      </c>
      <c r="M125" s="12" t="str">
        <f t="shared" si="24"/>
        <v>Número de sentencias</v>
      </c>
      <c r="N125" s="33" t="s">
        <v>5964</v>
      </c>
      <c r="O125"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5"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5" s="14" t="str">
        <f t="shared" si="25"/>
        <v>Gráfico de Evolución</v>
      </c>
      <c r="R125" s="77" t="s">
        <v>6020</v>
      </c>
      <c r="S125" s="15" t="s">
        <v>6502</v>
      </c>
      <c r="T125" s="65" t="s">
        <v>5911</v>
      </c>
      <c r="U125" s="24" t="s">
        <v>397</v>
      </c>
      <c r="V125" s="19" t="str">
        <f>+Ingresos_Historicos[[#This Row],[idcoleccion]]&amp;"-"&amp;Ingresos_Historicos[[#This Row],[id]]</f>
        <v>300-0115</v>
      </c>
      <c r="W125" s="19">
        <f>+VLOOKUP(Ingresos_Historicos[[#This Row],[Filtro URL]],Estructura!$X$4:$Y$366,2,0)</f>
        <v>30200014</v>
      </c>
      <c r="X125" s="19" t="str">
        <f>+VLOOKUP(Ingresos_Historicos[[#This Row],[tema]],Estructura!$A$4:$C$18,3,0)</f>
        <v>T-306</v>
      </c>
      <c r="Y125" s="19" t="str">
        <f>+VLOOKUP(Ingresos_Historicos[[#This Row],[contenido]],Estructura!$E$4:$G$18,3,0)</f>
        <v>C-301</v>
      </c>
      <c r="Z125" s="19" t="str">
        <f>+VLOOKUP(Ingresos_Historicos[[#This Row],[Filtro Integrado]],Estructura!$M$4:$O$367,3,0)</f>
        <v>FI-303</v>
      </c>
      <c r="AA125" s="19" t="str">
        <f>+VLOOKUP(Ingresos_Historicos[[#This Row],[Muestra]],Estructura!$Q$4:$S$194,3,0)</f>
        <v>M-306</v>
      </c>
    </row>
    <row r="126" spans="1:27" ht="40.799999999999997" x14ac:dyDescent="0.3">
      <c r="A126" s="71" t="s">
        <v>512</v>
      </c>
      <c r="B126" s="12">
        <f t="shared" si="23"/>
        <v>300</v>
      </c>
      <c r="C126" s="13" t="str">
        <f t="shared" si="23"/>
        <v>Violencia contra la mujer</v>
      </c>
      <c r="D126" s="13" t="str">
        <f t="shared" si="23"/>
        <v>Mujeres</v>
      </c>
      <c r="E126" s="39">
        <v>15</v>
      </c>
      <c r="F126" s="13" t="str">
        <f t="shared" si="26"/>
        <v>Sentencias por delito de abuso sexual</v>
      </c>
      <c r="G126" s="55" t="str">
        <f t="shared" si="26"/>
        <v>Abuso Sexual</v>
      </c>
      <c r="H126" s="38" t="s">
        <v>17</v>
      </c>
      <c r="I126" s="37" t="s">
        <v>100</v>
      </c>
      <c r="J126" s="12" t="s">
        <v>398</v>
      </c>
      <c r="K126" s="12" t="str">
        <f t="shared" si="24"/>
        <v>Sentencias Dictadas por Delitos de Abuso Sexual</v>
      </c>
      <c r="L126" s="12" t="str">
        <f t="shared" si="24"/>
        <v>Periodo 2013-2019</v>
      </c>
      <c r="M126" s="12" t="str">
        <f t="shared" si="24"/>
        <v>Número de sentencias</v>
      </c>
      <c r="N126" s="33" t="s">
        <v>5964</v>
      </c>
      <c r="O126"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6"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6" s="14" t="str">
        <f t="shared" si="25"/>
        <v>Gráfico de Evolución</v>
      </c>
      <c r="R126" s="77" t="s">
        <v>6021</v>
      </c>
      <c r="S126" s="15" t="s">
        <v>6503</v>
      </c>
      <c r="T126" s="65" t="s">
        <v>5911</v>
      </c>
      <c r="U126" s="24" t="s">
        <v>397</v>
      </c>
      <c r="V126" s="19" t="str">
        <f>+Ingresos_Historicos[[#This Row],[idcoleccion]]&amp;"-"&amp;Ingresos_Historicos[[#This Row],[id]]</f>
        <v>300-0116</v>
      </c>
      <c r="W126" s="19">
        <f>+VLOOKUP(Ingresos_Historicos[[#This Row],[Filtro URL]],Estructura!$X$4:$Y$366,2,0)</f>
        <v>30200015</v>
      </c>
      <c r="X126" s="19" t="str">
        <f>+VLOOKUP(Ingresos_Historicos[[#This Row],[tema]],Estructura!$A$4:$C$18,3,0)</f>
        <v>T-306</v>
      </c>
      <c r="Y126" s="19" t="str">
        <f>+VLOOKUP(Ingresos_Historicos[[#This Row],[contenido]],Estructura!$E$4:$G$18,3,0)</f>
        <v>C-301</v>
      </c>
      <c r="Z126" s="19" t="str">
        <f>+VLOOKUP(Ingresos_Historicos[[#This Row],[Filtro Integrado]],Estructura!$M$4:$O$367,3,0)</f>
        <v>FI-303</v>
      </c>
      <c r="AA126" s="19" t="str">
        <f>+VLOOKUP(Ingresos_Historicos[[#This Row],[Muestra]],Estructura!$Q$4:$S$194,3,0)</f>
        <v>M-306</v>
      </c>
    </row>
    <row r="127" spans="1:27" ht="40.799999999999997" x14ac:dyDescent="0.3">
      <c r="A127" s="71" t="s">
        <v>513</v>
      </c>
      <c r="B127" s="12">
        <f t="shared" ref="B127:D142" si="27">+B126</f>
        <v>300</v>
      </c>
      <c r="C127" s="13" t="str">
        <f t="shared" si="27"/>
        <v>Violencia contra la mujer</v>
      </c>
      <c r="D127" s="13" t="str">
        <f t="shared" si="27"/>
        <v>Mujeres</v>
      </c>
      <c r="E127" s="39">
        <v>16</v>
      </c>
      <c r="F127" s="13" t="str">
        <f t="shared" si="26"/>
        <v>Sentencias por delito de abuso sexual</v>
      </c>
      <c r="G127" s="55" t="str">
        <f t="shared" si="26"/>
        <v>Abuso Sexual</v>
      </c>
      <c r="H127" s="38" t="s">
        <v>17</v>
      </c>
      <c r="I127" s="37" t="s">
        <v>73</v>
      </c>
      <c r="J127" s="12" t="s">
        <v>398</v>
      </c>
      <c r="K127" s="12" t="str">
        <f t="shared" si="24"/>
        <v>Sentencias Dictadas por Delitos de Abuso Sexual</v>
      </c>
      <c r="L127" s="12" t="str">
        <f>+L126</f>
        <v>Periodo 2013-2019</v>
      </c>
      <c r="M127" s="12" t="str">
        <f>+M126</f>
        <v>Número de sentencias</v>
      </c>
      <c r="N127" s="33" t="s">
        <v>5964</v>
      </c>
      <c r="O127"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7" s="14" t="str">
        <f t="shared" si="25"/>
        <v>Gráfico de Evolución</v>
      </c>
      <c r="R127" s="77" t="s">
        <v>6022</v>
      </c>
      <c r="S127" s="15" t="s">
        <v>6504</v>
      </c>
      <c r="T127" s="65" t="s">
        <v>5911</v>
      </c>
      <c r="U127" s="24" t="s">
        <v>397</v>
      </c>
      <c r="V127" s="19" t="str">
        <f>+Ingresos_Historicos[[#This Row],[idcoleccion]]&amp;"-"&amp;Ingresos_Historicos[[#This Row],[id]]</f>
        <v>300-0117</v>
      </c>
      <c r="W127" s="19">
        <f>+VLOOKUP(Ingresos_Historicos[[#This Row],[Filtro URL]],Estructura!$X$4:$Y$366,2,0)</f>
        <v>30200016</v>
      </c>
      <c r="X127" s="19" t="str">
        <f>+VLOOKUP(Ingresos_Historicos[[#This Row],[tema]],Estructura!$A$4:$C$18,3,0)</f>
        <v>T-306</v>
      </c>
      <c r="Y127" s="19" t="str">
        <f>+VLOOKUP(Ingresos_Historicos[[#This Row],[contenido]],Estructura!$E$4:$G$18,3,0)</f>
        <v>C-301</v>
      </c>
      <c r="Z127" s="19" t="str">
        <f>+VLOOKUP(Ingresos_Historicos[[#This Row],[Filtro Integrado]],Estructura!$M$4:$O$367,3,0)</f>
        <v>FI-303</v>
      </c>
      <c r="AA127" s="19" t="str">
        <f>+VLOOKUP(Ingresos_Historicos[[#This Row],[Muestra]],Estructura!$Q$4:$S$194,3,0)</f>
        <v>M-306</v>
      </c>
    </row>
    <row r="128" spans="1:27" ht="40.799999999999997" x14ac:dyDescent="0.3">
      <c r="A128" s="71" t="s">
        <v>514</v>
      </c>
      <c r="B128" s="12">
        <f t="shared" si="27"/>
        <v>300</v>
      </c>
      <c r="C128" s="13" t="str">
        <f t="shared" si="27"/>
        <v>Violencia contra la mujer</v>
      </c>
      <c r="D128" s="13" t="str">
        <f t="shared" si="27"/>
        <v>Mujeres</v>
      </c>
      <c r="E128" s="39">
        <v>17</v>
      </c>
      <c r="F128" s="13" t="str">
        <f t="shared" si="26"/>
        <v>Sentencias por delito de abuso sexual</v>
      </c>
      <c r="G128" s="55" t="str">
        <f t="shared" si="26"/>
        <v>Abuso Sexual</v>
      </c>
      <c r="H128" s="38" t="s">
        <v>17</v>
      </c>
      <c r="I128" s="37" t="s">
        <v>82</v>
      </c>
      <c r="J128" s="12" t="s">
        <v>398</v>
      </c>
      <c r="K128" s="12" t="str">
        <f t="shared" ref="K128:M143" si="28">+K127</f>
        <v>Sentencias Dictadas por Delitos de Abuso Sexual</v>
      </c>
      <c r="L128" s="12" t="str">
        <f t="shared" si="28"/>
        <v>Periodo 2013-2019</v>
      </c>
      <c r="M128" s="12" t="str">
        <f t="shared" si="28"/>
        <v>Número de sentencias</v>
      </c>
      <c r="N128" s="33" t="s">
        <v>5964</v>
      </c>
      <c r="O128"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8" s="14" t="str">
        <f t="shared" si="25"/>
        <v>Gráfico de Evolución</v>
      </c>
      <c r="R128" s="77" t="s">
        <v>6023</v>
      </c>
      <c r="S128" s="15" t="s">
        <v>6505</v>
      </c>
      <c r="T128" s="65" t="s">
        <v>5911</v>
      </c>
      <c r="U128" s="24" t="s">
        <v>397</v>
      </c>
      <c r="V128" s="19" t="str">
        <f>+Ingresos_Historicos[[#This Row],[idcoleccion]]&amp;"-"&amp;Ingresos_Historicos[[#This Row],[id]]</f>
        <v>300-0118</v>
      </c>
      <c r="W128" s="19" t="e">
        <f>+VLOOKUP(Ingresos_Historicos[[#This Row],[Filtro URL]],Estructura!$X$4:$Y$366,2,0)</f>
        <v>#N/A</v>
      </c>
      <c r="X128" s="19" t="str">
        <f>+VLOOKUP(Ingresos_Historicos[[#This Row],[tema]],Estructura!$A$4:$C$18,3,0)</f>
        <v>T-306</v>
      </c>
      <c r="Y128" s="19" t="str">
        <f>+VLOOKUP(Ingresos_Historicos[[#This Row],[contenido]],Estructura!$E$4:$G$18,3,0)</f>
        <v>C-301</v>
      </c>
      <c r="Z128" s="19" t="str">
        <f>+VLOOKUP(Ingresos_Historicos[[#This Row],[Filtro Integrado]],Estructura!$M$4:$O$367,3,0)</f>
        <v>FI-303</v>
      </c>
      <c r="AA128" s="19" t="str">
        <f>+VLOOKUP(Ingresos_Historicos[[#This Row],[Muestra]],Estructura!$Q$4:$S$194,3,0)</f>
        <v>M-306</v>
      </c>
    </row>
    <row r="129" spans="1:27" ht="40.799999999999997" x14ac:dyDescent="0.3">
      <c r="A129" s="71" t="s">
        <v>515</v>
      </c>
      <c r="B129" s="12">
        <f t="shared" si="27"/>
        <v>300</v>
      </c>
      <c r="C129" s="13" t="str">
        <f t="shared" si="27"/>
        <v>Violencia contra la mujer</v>
      </c>
      <c r="D129" s="13" t="str">
        <f t="shared" si="27"/>
        <v>Mujeres</v>
      </c>
      <c r="E129" s="39">
        <v>18</v>
      </c>
      <c r="F129" s="13" t="str">
        <f t="shared" ref="F129:G144" si="29">+F128</f>
        <v>Sentencias por delito de abuso sexual</v>
      </c>
      <c r="G129" s="55" t="str">
        <f t="shared" si="29"/>
        <v>Abuso Sexual</v>
      </c>
      <c r="H129" s="38" t="s">
        <v>17</v>
      </c>
      <c r="I129" s="37" t="s">
        <v>6024</v>
      </c>
      <c r="J129" s="12" t="s">
        <v>398</v>
      </c>
      <c r="K129" s="12" t="str">
        <f t="shared" si="28"/>
        <v>Sentencias Dictadas por Delitos de Abuso Sexual</v>
      </c>
      <c r="L129" s="12" t="str">
        <f t="shared" si="28"/>
        <v>Periodo 2013-2019</v>
      </c>
      <c r="M129" s="12" t="str">
        <f t="shared" si="28"/>
        <v>Número de sentencias</v>
      </c>
      <c r="N129" s="33" t="s">
        <v>5964</v>
      </c>
      <c r="O129"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2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29" s="14" t="str">
        <f t="shared" si="25"/>
        <v>Gráfico de Evolución</v>
      </c>
      <c r="R129" s="77" t="s">
        <v>6025</v>
      </c>
      <c r="S129" s="15" t="s">
        <v>6506</v>
      </c>
      <c r="T129" s="65" t="s">
        <v>5911</v>
      </c>
      <c r="U129" s="24" t="s">
        <v>397</v>
      </c>
      <c r="V129" s="19" t="str">
        <f>+Ingresos_Historicos[[#This Row],[idcoleccion]]&amp;"-"&amp;Ingresos_Historicos[[#This Row],[id]]</f>
        <v>300-0119</v>
      </c>
      <c r="W129" s="19" t="e">
        <f>+VLOOKUP(Ingresos_Historicos[[#This Row],[Filtro URL]],Estructura!$X$4:$Y$366,2,0)</f>
        <v>#N/A</v>
      </c>
      <c r="X129" s="19" t="str">
        <f>+VLOOKUP(Ingresos_Historicos[[#This Row],[tema]],Estructura!$A$4:$C$18,3,0)</f>
        <v>T-306</v>
      </c>
      <c r="Y129" s="19" t="str">
        <f>+VLOOKUP(Ingresos_Historicos[[#This Row],[contenido]],Estructura!$E$4:$G$18,3,0)</f>
        <v>C-301</v>
      </c>
      <c r="Z129" s="19" t="str">
        <f>+VLOOKUP(Ingresos_Historicos[[#This Row],[Filtro Integrado]],Estructura!$M$4:$O$367,3,0)</f>
        <v>FI-303</v>
      </c>
      <c r="AA129" s="19" t="str">
        <f>+VLOOKUP(Ingresos_Historicos[[#This Row],[Muestra]],Estructura!$Q$4:$S$194,3,0)</f>
        <v>M-306</v>
      </c>
    </row>
    <row r="130" spans="1:27" ht="40.799999999999997" x14ac:dyDescent="0.3">
      <c r="A130" s="71" t="s">
        <v>516</v>
      </c>
      <c r="B130" s="12">
        <f t="shared" si="27"/>
        <v>300</v>
      </c>
      <c r="C130" s="13" t="str">
        <f t="shared" si="27"/>
        <v>Violencia contra la mujer</v>
      </c>
      <c r="D130" s="13" t="str">
        <f t="shared" si="27"/>
        <v>Mujeres</v>
      </c>
      <c r="E130" s="39">
        <v>19</v>
      </c>
      <c r="F130" s="13" t="str">
        <f t="shared" si="29"/>
        <v>Sentencias por delito de abuso sexual</v>
      </c>
      <c r="G130" s="55" t="str">
        <f t="shared" si="29"/>
        <v>Abuso Sexual</v>
      </c>
      <c r="H130" s="38" t="s">
        <v>17</v>
      </c>
      <c r="I130" s="37" t="s">
        <v>93</v>
      </c>
      <c r="J130" s="12" t="s">
        <v>398</v>
      </c>
      <c r="K130" s="12" t="str">
        <f t="shared" si="28"/>
        <v>Sentencias Dictadas por Delitos de Abuso Sexual</v>
      </c>
      <c r="L130" s="12" t="str">
        <f t="shared" si="28"/>
        <v>Periodo 2013-2019</v>
      </c>
      <c r="M130" s="12" t="str">
        <f t="shared" si="28"/>
        <v>Número de sentencias</v>
      </c>
      <c r="N130" s="33" t="s">
        <v>5964</v>
      </c>
      <c r="O130"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0" s="14" t="str">
        <f t="shared" si="25"/>
        <v>Gráfico de Evolución</v>
      </c>
      <c r="R130" s="77" t="s">
        <v>6026</v>
      </c>
      <c r="S130" s="15" t="s">
        <v>6507</v>
      </c>
      <c r="T130" s="65" t="s">
        <v>5911</v>
      </c>
      <c r="U130" s="24" t="s">
        <v>397</v>
      </c>
      <c r="V130" s="19" t="str">
        <f>+Ingresos_Historicos[[#This Row],[idcoleccion]]&amp;"-"&amp;Ingresos_Historicos[[#This Row],[id]]</f>
        <v>300-0120</v>
      </c>
      <c r="W130" s="19" t="e">
        <f>+VLOOKUP(Ingresos_Historicos[[#This Row],[Filtro URL]],Estructura!$X$4:$Y$366,2,0)</f>
        <v>#N/A</v>
      </c>
      <c r="X130" s="19" t="str">
        <f>+VLOOKUP(Ingresos_Historicos[[#This Row],[tema]],Estructura!$A$4:$C$18,3,0)</f>
        <v>T-306</v>
      </c>
      <c r="Y130" s="19" t="str">
        <f>+VLOOKUP(Ingresos_Historicos[[#This Row],[contenido]],Estructura!$E$4:$G$18,3,0)</f>
        <v>C-301</v>
      </c>
      <c r="Z130" s="19" t="str">
        <f>+VLOOKUP(Ingresos_Historicos[[#This Row],[Filtro Integrado]],Estructura!$M$4:$O$367,3,0)</f>
        <v>FI-303</v>
      </c>
      <c r="AA130" s="19" t="str">
        <f>+VLOOKUP(Ingresos_Historicos[[#This Row],[Muestra]],Estructura!$Q$4:$S$194,3,0)</f>
        <v>M-306</v>
      </c>
    </row>
    <row r="131" spans="1:27" ht="40.799999999999997" x14ac:dyDescent="0.3">
      <c r="A131" s="71" t="s">
        <v>517</v>
      </c>
      <c r="B131" s="12">
        <f t="shared" si="27"/>
        <v>300</v>
      </c>
      <c r="C131" s="13" t="str">
        <f t="shared" si="27"/>
        <v>Violencia contra la mujer</v>
      </c>
      <c r="D131" s="13" t="str">
        <f t="shared" si="27"/>
        <v>Mujeres</v>
      </c>
      <c r="E131" s="39">
        <v>20</v>
      </c>
      <c r="F131" s="13" t="str">
        <f t="shared" si="29"/>
        <v>Sentencias por delito de abuso sexual</v>
      </c>
      <c r="G131" s="55" t="str">
        <f t="shared" si="29"/>
        <v>Abuso Sexual</v>
      </c>
      <c r="H131" s="38" t="s">
        <v>17</v>
      </c>
      <c r="I131" s="37" t="s">
        <v>6027</v>
      </c>
      <c r="J131" s="12" t="s">
        <v>398</v>
      </c>
      <c r="K131" s="12" t="str">
        <f t="shared" si="28"/>
        <v>Sentencias Dictadas por Delitos de Abuso Sexual</v>
      </c>
      <c r="L131" s="12" t="str">
        <f t="shared" si="28"/>
        <v>Periodo 2013-2019</v>
      </c>
      <c r="M131" s="12" t="str">
        <f t="shared" si="28"/>
        <v>Número de sentencias</v>
      </c>
      <c r="N131" s="33" t="s">
        <v>5964</v>
      </c>
      <c r="O131"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1" s="14" t="str">
        <f t="shared" si="25"/>
        <v>Gráfico de Evolución</v>
      </c>
      <c r="R131" s="77" t="s">
        <v>6028</v>
      </c>
      <c r="S131" s="15" t="s">
        <v>6508</v>
      </c>
      <c r="T131" s="65" t="s">
        <v>5911</v>
      </c>
      <c r="U131" s="24" t="s">
        <v>397</v>
      </c>
      <c r="V131" s="19" t="str">
        <f>+Ingresos_Historicos[[#This Row],[idcoleccion]]&amp;"-"&amp;Ingresos_Historicos[[#This Row],[id]]</f>
        <v>300-0121</v>
      </c>
      <c r="W131" s="19" t="e">
        <f>+VLOOKUP(Ingresos_Historicos[[#This Row],[Filtro URL]],Estructura!$X$4:$Y$366,2,0)</f>
        <v>#N/A</v>
      </c>
      <c r="X131" s="19" t="str">
        <f>+VLOOKUP(Ingresos_Historicos[[#This Row],[tema]],Estructura!$A$4:$C$18,3,0)</f>
        <v>T-306</v>
      </c>
      <c r="Y131" s="19" t="str">
        <f>+VLOOKUP(Ingresos_Historicos[[#This Row],[contenido]],Estructura!$E$4:$G$18,3,0)</f>
        <v>C-301</v>
      </c>
      <c r="Z131" s="19" t="str">
        <f>+VLOOKUP(Ingresos_Historicos[[#This Row],[Filtro Integrado]],Estructura!$M$4:$O$367,3,0)</f>
        <v>FI-303</v>
      </c>
      <c r="AA131" s="19" t="str">
        <f>+VLOOKUP(Ingresos_Historicos[[#This Row],[Muestra]],Estructura!$Q$4:$S$194,3,0)</f>
        <v>M-306</v>
      </c>
    </row>
    <row r="132" spans="1:27" ht="40.799999999999997" x14ac:dyDescent="0.3">
      <c r="A132" s="71" t="s">
        <v>518</v>
      </c>
      <c r="B132" s="12">
        <f t="shared" si="27"/>
        <v>300</v>
      </c>
      <c r="C132" s="13" t="str">
        <f t="shared" si="27"/>
        <v>Violencia contra la mujer</v>
      </c>
      <c r="D132" s="13" t="str">
        <f t="shared" si="27"/>
        <v>Mujeres</v>
      </c>
      <c r="E132" s="39">
        <v>21</v>
      </c>
      <c r="F132" s="13" t="str">
        <f t="shared" si="29"/>
        <v>Sentencias por delito de abuso sexual</v>
      </c>
      <c r="G132" s="55" t="str">
        <f t="shared" si="29"/>
        <v>Abuso Sexual</v>
      </c>
      <c r="H132" s="38" t="s">
        <v>17</v>
      </c>
      <c r="I132" s="37" t="s">
        <v>102</v>
      </c>
      <c r="J132" s="12" t="s">
        <v>398</v>
      </c>
      <c r="K132" s="12" t="str">
        <f t="shared" si="28"/>
        <v>Sentencias Dictadas por Delitos de Abuso Sexual</v>
      </c>
      <c r="L132" s="12" t="str">
        <f t="shared" si="28"/>
        <v>Periodo 2013-2019</v>
      </c>
      <c r="M132" s="12" t="str">
        <f t="shared" si="28"/>
        <v>Número de sentencias</v>
      </c>
      <c r="N132" s="33" t="s">
        <v>5964</v>
      </c>
      <c r="O132"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2" s="14" t="str">
        <f t="shared" si="25"/>
        <v>Gráfico de Evolución</v>
      </c>
      <c r="R132" s="77" t="s">
        <v>6029</v>
      </c>
      <c r="S132" s="15" t="s">
        <v>6509</v>
      </c>
      <c r="T132" s="65" t="s">
        <v>5911</v>
      </c>
      <c r="U132" s="24" t="s">
        <v>397</v>
      </c>
      <c r="V132" s="19" t="str">
        <f>+Ingresos_Historicos[[#This Row],[idcoleccion]]&amp;"-"&amp;Ingresos_Historicos[[#This Row],[id]]</f>
        <v>300-0122</v>
      </c>
      <c r="W132" s="19" t="e">
        <f>+VLOOKUP(Ingresos_Historicos[[#This Row],[Filtro URL]],Estructura!$X$4:$Y$366,2,0)</f>
        <v>#N/A</v>
      </c>
      <c r="X132" s="19" t="str">
        <f>+VLOOKUP(Ingresos_Historicos[[#This Row],[tema]],Estructura!$A$4:$C$18,3,0)</f>
        <v>T-306</v>
      </c>
      <c r="Y132" s="19" t="str">
        <f>+VLOOKUP(Ingresos_Historicos[[#This Row],[contenido]],Estructura!$E$4:$G$18,3,0)</f>
        <v>C-301</v>
      </c>
      <c r="Z132" s="19" t="str">
        <f>+VLOOKUP(Ingresos_Historicos[[#This Row],[Filtro Integrado]],Estructura!$M$4:$O$367,3,0)</f>
        <v>FI-303</v>
      </c>
      <c r="AA132" s="19" t="str">
        <f>+VLOOKUP(Ingresos_Historicos[[#This Row],[Muestra]],Estructura!$Q$4:$S$194,3,0)</f>
        <v>M-306</v>
      </c>
    </row>
    <row r="133" spans="1:27" ht="40.799999999999997" x14ac:dyDescent="0.3">
      <c r="A133" s="71" t="s">
        <v>519</v>
      </c>
      <c r="B133" s="12">
        <f t="shared" si="27"/>
        <v>300</v>
      </c>
      <c r="C133" s="13" t="str">
        <f t="shared" si="27"/>
        <v>Violencia contra la mujer</v>
      </c>
      <c r="D133" s="13" t="str">
        <f t="shared" si="27"/>
        <v>Mujeres</v>
      </c>
      <c r="E133" s="39">
        <v>22</v>
      </c>
      <c r="F133" s="13" t="str">
        <f t="shared" si="29"/>
        <v>Sentencias por delito de abuso sexual</v>
      </c>
      <c r="G133" s="55" t="str">
        <f t="shared" si="29"/>
        <v>Abuso Sexual</v>
      </c>
      <c r="H133" s="38" t="s">
        <v>17</v>
      </c>
      <c r="I133" s="37" t="s">
        <v>6030</v>
      </c>
      <c r="J133" s="12" t="s">
        <v>398</v>
      </c>
      <c r="K133" s="12" t="str">
        <f t="shared" si="28"/>
        <v>Sentencias Dictadas por Delitos de Abuso Sexual</v>
      </c>
      <c r="L133" s="12" t="str">
        <f t="shared" si="28"/>
        <v>Periodo 2013-2019</v>
      </c>
      <c r="M133" s="12" t="str">
        <f t="shared" si="28"/>
        <v>Número de sentencias</v>
      </c>
      <c r="N133" s="33" t="s">
        <v>5964</v>
      </c>
      <c r="O133"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3" s="14" t="str">
        <f t="shared" si="25"/>
        <v>Gráfico de Evolución</v>
      </c>
      <c r="R133" s="77" t="s">
        <v>6031</v>
      </c>
      <c r="S133" s="15" t="s">
        <v>6510</v>
      </c>
      <c r="T133" s="65" t="s">
        <v>5911</v>
      </c>
      <c r="U133" s="24" t="s">
        <v>397</v>
      </c>
      <c r="V133" s="19" t="str">
        <f>+Ingresos_Historicos[[#This Row],[idcoleccion]]&amp;"-"&amp;Ingresos_Historicos[[#This Row],[id]]</f>
        <v>300-0123</v>
      </c>
      <c r="W133" s="19" t="e">
        <f>+VLOOKUP(Ingresos_Historicos[[#This Row],[Filtro URL]],Estructura!$X$4:$Y$366,2,0)</f>
        <v>#N/A</v>
      </c>
      <c r="X133" s="19" t="str">
        <f>+VLOOKUP(Ingresos_Historicos[[#This Row],[tema]],Estructura!$A$4:$C$18,3,0)</f>
        <v>T-306</v>
      </c>
      <c r="Y133" s="19" t="str">
        <f>+VLOOKUP(Ingresos_Historicos[[#This Row],[contenido]],Estructura!$E$4:$G$18,3,0)</f>
        <v>C-301</v>
      </c>
      <c r="Z133" s="19" t="str">
        <f>+VLOOKUP(Ingresos_Historicos[[#This Row],[Filtro Integrado]],Estructura!$M$4:$O$367,3,0)</f>
        <v>FI-303</v>
      </c>
      <c r="AA133" s="19" t="str">
        <f>+VLOOKUP(Ingresos_Historicos[[#This Row],[Muestra]],Estructura!$Q$4:$S$194,3,0)</f>
        <v>M-306</v>
      </c>
    </row>
    <row r="134" spans="1:27" ht="40.799999999999997" x14ac:dyDescent="0.3">
      <c r="A134" s="71" t="s">
        <v>520</v>
      </c>
      <c r="B134" s="12">
        <f t="shared" si="27"/>
        <v>300</v>
      </c>
      <c r="C134" s="13" t="str">
        <f t="shared" si="27"/>
        <v>Violencia contra la mujer</v>
      </c>
      <c r="D134" s="13" t="str">
        <f t="shared" si="27"/>
        <v>Mujeres</v>
      </c>
      <c r="E134" s="39">
        <v>23</v>
      </c>
      <c r="F134" s="13" t="str">
        <f t="shared" si="29"/>
        <v>Sentencias por delito de abuso sexual</v>
      </c>
      <c r="G134" s="55" t="str">
        <f t="shared" si="29"/>
        <v>Abuso Sexual</v>
      </c>
      <c r="H134" s="38" t="s">
        <v>17</v>
      </c>
      <c r="I134" s="37" t="s">
        <v>108</v>
      </c>
      <c r="J134" s="12" t="s">
        <v>398</v>
      </c>
      <c r="K134" s="12" t="str">
        <f t="shared" si="28"/>
        <v>Sentencias Dictadas por Delitos de Abuso Sexual</v>
      </c>
      <c r="L134" s="12" t="str">
        <f t="shared" si="28"/>
        <v>Periodo 2013-2019</v>
      </c>
      <c r="M134" s="12" t="str">
        <f t="shared" si="28"/>
        <v>Número de sentencias</v>
      </c>
      <c r="N134" s="33" t="s">
        <v>5964</v>
      </c>
      <c r="O134"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4"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4" s="14" t="str">
        <f t="shared" si="25"/>
        <v>Gráfico de Evolución</v>
      </c>
      <c r="R134" s="77" t="s">
        <v>6032</v>
      </c>
      <c r="S134" s="15" t="s">
        <v>6511</v>
      </c>
      <c r="T134" s="65" t="s">
        <v>5912</v>
      </c>
      <c r="U134" s="24" t="s">
        <v>397</v>
      </c>
      <c r="V134" s="19" t="str">
        <f>+Ingresos_Historicos[[#This Row],[idcoleccion]]&amp;"-"&amp;Ingresos_Historicos[[#This Row],[id]]</f>
        <v>300-0124</v>
      </c>
      <c r="W134" s="19" t="e">
        <f>+VLOOKUP(Ingresos_Historicos[[#This Row],[Filtro URL]],Estructura!$X$4:$Y$366,2,0)</f>
        <v>#N/A</v>
      </c>
      <c r="X134" s="19" t="str">
        <f>+VLOOKUP(Ingresos_Historicos[[#This Row],[tema]],Estructura!$A$4:$C$18,3,0)</f>
        <v>T-306</v>
      </c>
      <c r="Y134" s="19" t="str">
        <f>+VLOOKUP(Ingresos_Historicos[[#This Row],[contenido]],Estructura!$E$4:$G$18,3,0)</f>
        <v>C-301</v>
      </c>
      <c r="Z134" s="19" t="str">
        <f>+VLOOKUP(Ingresos_Historicos[[#This Row],[Filtro Integrado]],Estructura!$M$4:$O$367,3,0)</f>
        <v>FI-303</v>
      </c>
      <c r="AA134" s="19" t="str">
        <f>+VLOOKUP(Ingresos_Historicos[[#This Row],[Muestra]],Estructura!$Q$4:$S$194,3,0)</f>
        <v>M-306</v>
      </c>
    </row>
    <row r="135" spans="1:27" ht="40.799999999999997" x14ac:dyDescent="0.3">
      <c r="A135" s="71" t="s">
        <v>521</v>
      </c>
      <c r="B135" s="12">
        <f t="shared" si="27"/>
        <v>300</v>
      </c>
      <c r="C135" s="13" t="str">
        <f t="shared" si="27"/>
        <v>Violencia contra la mujer</v>
      </c>
      <c r="D135" s="13" t="str">
        <f t="shared" si="27"/>
        <v>Mujeres</v>
      </c>
      <c r="E135" s="39">
        <v>24</v>
      </c>
      <c r="F135" s="13" t="str">
        <f t="shared" si="29"/>
        <v>Sentencias por delito de abuso sexual</v>
      </c>
      <c r="G135" s="55" t="str">
        <f t="shared" si="29"/>
        <v>Abuso Sexual</v>
      </c>
      <c r="H135" s="38" t="s">
        <v>17</v>
      </c>
      <c r="I135" s="37" t="s">
        <v>103</v>
      </c>
      <c r="J135" s="12" t="s">
        <v>398</v>
      </c>
      <c r="K135" s="12" t="str">
        <f t="shared" si="28"/>
        <v>Sentencias Dictadas por Delitos de Abuso Sexual</v>
      </c>
      <c r="L135" s="12" t="str">
        <f t="shared" si="28"/>
        <v>Periodo 2013-2019</v>
      </c>
      <c r="M135" s="12" t="str">
        <f t="shared" si="28"/>
        <v>Número de sentencias</v>
      </c>
      <c r="N135" s="33" t="s">
        <v>5964</v>
      </c>
      <c r="O135"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5"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5" s="14" t="str">
        <f t="shared" si="25"/>
        <v>Gráfico de Evolución</v>
      </c>
      <c r="R135" s="77" t="s">
        <v>6033</v>
      </c>
      <c r="S135" s="15" t="s">
        <v>6512</v>
      </c>
      <c r="T135" s="65" t="s">
        <v>5912</v>
      </c>
      <c r="U135" s="24" t="s">
        <v>397</v>
      </c>
      <c r="V135" s="19" t="str">
        <f>+Ingresos_Historicos[[#This Row],[idcoleccion]]&amp;"-"&amp;Ingresos_Historicos[[#This Row],[id]]</f>
        <v>300-0125</v>
      </c>
      <c r="W135" s="19" t="e">
        <f>+VLOOKUP(Ingresos_Historicos[[#This Row],[Filtro URL]],Estructura!$X$4:$Y$366,2,0)</f>
        <v>#N/A</v>
      </c>
      <c r="X135" s="19" t="str">
        <f>+VLOOKUP(Ingresos_Historicos[[#This Row],[tema]],Estructura!$A$4:$C$18,3,0)</f>
        <v>T-306</v>
      </c>
      <c r="Y135" s="19" t="str">
        <f>+VLOOKUP(Ingresos_Historicos[[#This Row],[contenido]],Estructura!$E$4:$G$18,3,0)</f>
        <v>C-301</v>
      </c>
      <c r="Z135" s="19" t="str">
        <f>+VLOOKUP(Ingresos_Historicos[[#This Row],[Filtro Integrado]],Estructura!$M$4:$O$367,3,0)</f>
        <v>FI-303</v>
      </c>
      <c r="AA135" s="19" t="str">
        <f>+VLOOKUP(Ingresos_Historicos[[#This Row],[Muestra]],Estructura!$Q$4:$S$194,3,0)</f>
        <v>M-306</v>
      </c>
    </row>
    <row r="136" spans="1:27" ht="40.799999999999997" x14ac:dyDescent="0.3">
      <c r="A136" s="71" t="s">
        <v>522</v>
      </c>
      <c r="B136" s="12">
        <f t="shared" si="27"/>
        <v>300</v>
      </c>
      <c r="C136" s="13" t="str">
        <f t="shared" si="27"/>
        <v>Violencia contra la mujer</v>
      </c>
      <c r="D136" s="13" t="str">
        <f t="shared" si="27"/>
        <v>Mujeres</v>
      </c>
      <c r="E136" s="39">
        <v>25</v>
      </c>
      <c r="F136" s="13" t="str">
        <f t="shared" si="29"/>
        <v>Sentencias por delito de abuso sexual</v>
      </c>
      <c r="G136" s="55" t="str">
        <f t="shared" si="29"/>
        <v>Abuso Sexual</v>
      </c>
      <c r="H136" s="38" t="s">
        <v>17</v>
      </c>
      <c r="I136" s="37" t="s">
        <v>117</v>
      </c>
      <c r="J136" s="12" t="s">
        <v>398</v>
      </c>
      <c r="K136" s="12" t="str">
        <f t="shared" si="28"/>
        <v>Sentencias Dictadas por Delitos de Abuso Sexual</v>
      </c>
      <c r="L136" s="12" t="str">
        <f t="shared" si="28"/>
        <v>Periodo 2013-2019</v>
      </c>
      <c r="M136" s="12" t="str">
        <f t="shared" si="28"/>
        <v>Número de sentencias</v>
      </c>
      <c r="N136" s="33" t="s">
        <v>5964</v>
      </c>
      <c r="O136" s="27" t="str">
        <f>"Sentencias Dictadas por Delitos de Abuso Sexual en el  Juzgado de Garantía de "&amp;[1]!Ingresos_Historicos[[#This Row],[territorio]]&amp;" para el Periodo 2013-2019"</f>
        <v>Sentencias Dictadas por Delitos de Abuso Sexual en el  Juzgado de Garantía de Santiago para el Periodo 2013-2019</v>
      </c>
      <c r="P136"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Santiago para el Periodo 2013-2019 de acuerdo a datos provenientes del Poder Judicial de Chile.</v>
      </c>
      <c r="Q136" s="14" t="str">
        <f t="shared" si="25"/>
        <v>Gráfico de Evolución</v>
      </c>
      <c r="R136" s="77" t="s">
        <v>6034</v>
      </c>
      <c r="S136" s="15" t="s">
        <v>6513</v>
      </c>
      <c r="T136" s="65" t="s">
        <v>5912</v>
      </c>
      <c r="U136" s="24" t="s">
        <v>397</v>
      </c>
      <c r="V136" s="19" t="str">
        <f>+Ingresos_Historicos[[#This Row],[idcoleccion]]&amp;"-"&amp;Ingresos_Historicos[[#This Row],[id]]</f>
        <v>300-0126</v>
      </c>
      <c r="W136" s="19" t="e">
        <f>+VLOOKUP(Ingresos_Historicos[[#This Row],[Filtro URL]],Estructura!$X$4:$Y$366,2,0)</f>
        <v>#N/A</v>
      </c>
      <c r="X136" s="19" t="str">
        <f>+VLOOKUP(Ingresos_Historicos[[#This Row],[tema]],Estructura!$A$4:$C$18,3,0)</f>
        <v>T-306</v>
      </c>
      <c r="Y136" s="19" t="str">
        <f>+VLOOKUP(Ingresos_Historicos[[#This Row],[contenido]],Estructura!$E$4:$G$18,3,0)</f>
        <v>C-301</v>
      </c>
      <c r="Z136" s="19" t="str">
        <f>+VLOOKUP(Ingresos_Historicos[[#This Row],[Filtro Integrado]],Estructura!$M$4:$O$367,3,0)</f>
        <v>FI-303</v>
      </c>
      <c r="AA136" s="19" t="str">
        <f>+VLOOKUP(Ingresos_Historicos[[#This Row],[Muestra]],Estructura!$Q$4:$S$194,3,0)</f>
        <v>M-306</v>
      </c>
    </row>
    <row r="137" spans="1:27" ht="40.799999999999997" x14ac:dyDescent="0.3">
      <c r="A137" s="71" t="s">
        <v>523</v>
      </c>
      <c r="B137" s="12">
        <f t="shared" si="27"/>
        <v>300</v>
      </c>
      <c r="C137" s="13" t="str">
        <f t="shared" si="27"/>
        <v>Violencia contra la mujer</v>
      </c>
      <c r="D137" s="13" t="str">
        <f t="shared" si="27"/>
        <v>Mujeres</v>
      </c>
      <c r="E137" s="39">
        <v>26</v>
      </c>
      <c r="F137" s="13" t="str">
        <f t="shared" si="29"/>
        <v>Sentencias por delito de abuso sexual</v>
      </c>
      <c r="G137" s="55" t="str">
        <f t="shared" si="29"/>
        <v>Abuso Sexual</v>
      </c>
      <c r="H137" s="38" t="s">
        <v>17</v>
      </c>
      <c r="I137" s="37" t="s">
        <v>126</v>
      </c>
      <c r="J137" s="12" t="s">
        <v>398</v>
      </c>
      <c r="K137" s="12" t="str">
        <f t="shared" si="28"/>
        <v>Sentencias Dictadas por Delitos de Abuso Sexual</v>
      </c>
      <c r="L137" s="12" t="str">
        <f t="shared" si="28"/>
        <v>Periodo 2013-2019</v>
      </c>
      <c r="M137" s="12" t="str">
        <f t="shared" si="28"/>
        <v>Número de sentencias</v>
      </c>
      <c r="N137" s="33" t="s">
        <v>5964</v>
      </c>
      <c r="O137" s="27" t="str">
        <f>"Sentencias Dictadas por Delitos de Abuso Sexual en el  Juzgado de Garantía de "&amp;[1]!Ingresos_Historicos[[#This Row],[territorio]]&amp;" para el Periodo 2013-2019"</f>
        <v>Sentencias Dictadas por Delitos de Abuso Sexual en el  Juzgado de Garantía de Los Lagos para el Periodo 2013-2019</v>
      </c>
      <c r="P13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Los Lagos para el Periodo 2013-2019 de acuerdo a datos provenientes del Poder Judicial de Chile.</v>
      </c>
      <c r="Q137" s="14" t="str">
        <f t="shared" si="25"/>
        <v>Gráfico de Evolución</v>
      </c>
      <c r="R137" s="77" t="s">
        <v>6035</v>
      </c>
      <c r="S137" s="15" t="s">
        <v>6514</v>
      </c>
      <c r="T137" s="65" t="s">
        <v>5912</v>
      </c>
      <c r="U137" s="24" t="s">
        <v>397</v>
      </c>
      <c r="V137" s="19" t="str">
        <f>+Ingresos_Historicos[[#This Row],[idcoleccion]]&amp;"-"&amp;Ingresos_Historicos[[#This Row],[id]]</f>
        <v>300-0127</v>
      </c>
      <c r="W137" s="19" t="e">
        <f>+VLOOKUP(Ingresos_Historicos[[#This Row],[Filtro URL]],Estructura!$X$4:$Y$366,2,0)</f>
        <v>#N/A</v>
      </c>
      <c r="X137" s="19" t="str">
        <f>+VLOOKUP(Ingresos_Historicos[[#This Row],[tema]],Estructura!$A$4:$C$18,3,0)</f>
        <v>T-306</v>
      </c>
      <c r="Y137" s="19" t="str">
        <f>+VLOOKUP(Ingresos_Historicos[[#This Row],[contenido]],Estructura!$E$4:$G$18,3,0)</f>
        <v>C-301</v>
      </c>
      <c r="Z137" s="19" t="str">
        <f>+VLOOKUP(Ingresos_Historicos[[#This Row],[Filtro Integrado]],Estructura!$M$4:$O$367,3,0)</f>
        <v>FI-303</v>
      </c>
      <c r="AA137" s="19" t="str">
        <f>+VLOOKUP(Ingresos_Historicos[[#This Row],[Muestra]],Estructura!$Q$4:$S$194,3,0)</f>
        <v>M-306</v>
      </c>
    </row>
    <row r="138" spans="1:27" ht="40.799999999999997" x14ac:dyDescent="0.3">
      <c r="A138" s="71" t="s">
        <v>524</v>
      </c>
      <c r="B138" s="12">
        <f t="shared" si="27"/>
        <v>300</v>
      </c>
      <c r="C138" s="13" t="str">
        <f t="shared" si="27"/>
        <v>Violencia contra la mujer</v>
      </c>
      <c r="D138" s="13" t="str">
        <f t="shared" si="27"/>
        <v>Mujeres</v>
      </c>
      <c r="E138" s="39">
        <v>27</v>
      </c>
      <c r="F138" s="13" t="str">
        <f t="shared" si="29"/>
        <v>Sentencias por delito de abuso sexual</v>
      </c>
      <c r="G138" s="55" t="str">
        <f t="shared" si="29"/>
        <v>Abuso Sexual</v>
      </c>
      <c r="H138" s="38" t="s">
        <v>17</v>
      </c>
      <c r="I138" s="37" t="s">
        <v>119</v>
      </c>
      <c r="J138" s="12" t="s">
        <v>398</v>
      </c>
      <c r="K138" s="12" t="str">
        <f t="shared" si="28"/>
        <v>Sentencias Dictadas por Delitos de Abuso Sexual</v>
      </c>
      <c r="L138" s="12" t="str">
        <f t="shared" si="28"/>
        <v>Periodo 2013-2019</v>
      </c>
      <c r="M138" s="12" t="str">
        <f t="shared" si="28"/>
        <v>Número de sentencias</v>
      </c>
      <c r="N138" s="33" t="s">
        <v>5964</v>
      </c>
      <c r="O138" s="27" t="str">
        <f>"Sentencias Dictadas por Delitos de Abuso Sexual en el  Juzgado de Garantía de "&amp;[1]!Ingresos_Historicos[[#This Row],[territorio]]&amp;" para el Periodo 2013-2019"</f>
        <v>Sentencias Dictadas por Delitos de Abuso Sexual en el  Juzgado de Garantía de Mariquina para el Periodo 2013-2019</v>
      </c>
      <c r="P13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Mariquina para el Periodo 2013-2019 de acuerdo a datos provenientes del Poder Judicial de Chile.</v>
      </c>
      <c r="Q138" s="14" t="str">
        <f t="shared" si="25"/>
        <v>Gráfico de Evolución</v>
      </c>
      <c r="R138" s="77" t="s">
        <v>6036</v>
      </c>
      <c r="S138" s="15" t="s">
        <v>6515</v>
      </c>
      <c r="T138" s="65" t="s">
        <v>5912</v>
      </c>
      <c r="U138" s="24" t="s">
        <v>397</v>
      </c>
      <c r="V138" s="19" t="str">
        <f>+Ingresos_Historicos[[#This Row],[idcoleccion]]&amp;"-"&amp;Ingresos_Historicos[[#This Row],[id]]</f>
        <v>300-0128</v>
      </c>
      <c r="W138" s="19" t="e">
        <f>+VLOOKUP(Ingresos_Historicos[[#This Row],[Filtro URL]],Estructura!$X$4:$Y$366,2,0)</f>
        <v>#N/A</v>
      </c>
      <c r="X138" s="19" t="str">
        <f>+VLOOKUP(Ingresos_Historicos[[#This Row],[tema]],Estructura!$A$4:$C$18,3,0)</f>
        <v>T-306</v>
      </c>
      <c r="Y138" s="19" t="str">
        <f>+VLOOKUP(Ingresos_Historicos[[#This Row],[contenido]],Estructura!$E$4:$G$18,3,0)</f>
        <v>C-301</v>
      </c>
      <c r="Z138" s="19" t="str">
        <f>+VLOOKUP(Ingresos_Historicos[[#This Row],[Filtro Integrado]],Estructura!$M$4:$O$367,3,0)</f>
        <v>FI-303</v>
      </c>
      <c r="AA138" s="19" t="str">
        <f>+VLOOKUP(Ingresos_Historicos[[#This Row],[Muestra]],Estructura!$Q$4:$S$194,3,0)</f>
        <v>M-306</v>
      </c>
    </row>
    <row r="139" spans="1:27" ht="40.799999999999997" x14ac:dyDescent="0.3">
      <c r="A139" s="71" t="s">
        <v>525</v>
      </c>
      <c r="B139" s="12">
        <f t="shared" si="27"/>
        <v>300</v>
      </c>
      <c r="C139" s="13" t="str">
        <f t="shared" si="27"/>
        <v>Violencia contra la mujer</v>
      </c>
      <c r="D139" s="13" t="str">
        <f t="shared" si="27"/>
        <v>Mujeres</v>
      </c>
      <c r="E139" s="39">
        <v>28</v>
      </c>
      <c r="F139" s="13" t="str">
        <f t="shared" si="29"/>
        <v>Sentencias por delito de abuso sexual</v>
      </c>
      <c r="G139" s="55" t="str">
        <f t="shared" si="29"/>
        <v>Abuso Sexual</v>
      </c>
      <c r="H139" s="38" t="s">
        <v>17</v>
      </c>
      <c r="I139" s="37" t="s">
        <v>135</v>
      </c>
      <c r="J139" s="12" t="s">
        <v>398</v>
      </c>
      <c r="K139" s="12" t="str">
        <f t="shared" si="28"/>
        <v>Sentencias Dictadas por Delitos de Abuso Sexual</v>
      </c>
      <c r="L139" s="12" t="str">
        <f t="shared" si="28"/>
        <v>Periodo 2013-2019</v>
      </c>
      <c r="M139" s="12" t="str">
        <f t="shared" si="28"/>
        <v>Número de sentencias</v>
      </c>
      <c r="N139" s="33" t="s">
        <v>5964</v>
      </c>
      <c r="O139" s="27" t="str">
        <f>"Sentencias Dictadas por Delitos de Abuso Sexual en el  Juzgado de Garantía de "&amp;[1]!Ingresos_Historicos[[#This Row],[territorio]]&amp;" para el Periodo 2013-2019"</f>
        <v>Sentencias Dictadas por Delitos de Abuso Sexual en el  Juzgado de Garantía de Valdivia para el Periodo 2013-2019</v>
      </c>
      <c r="P13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Valdivia para el Periodo 2013-2019 de acuerdo a datos provenientes del Poder Judicial de Chile.</v>
      </c>
      <c r="Q139" s="14" t="str">
        <f t="shared" si="25"/>
        <v>Gráfico de Evolución</v>
      </c>
      <c r="R139" s="77" t="s">
        <v>6037</v>
      </c>
      <c r="S139" s="15" t="s">
        <v>6516</v>
      </c>
      <c r="T139" s="65" t="s">
        <v>5912</v>
      </c>
      <c r="U139" s="24" t="s">
        <v>397</v>
      </c>
      <c r="V139" s="19" t="str">
        <f>+Ingresos_Historicos[[#This Row],[idcoleccion]]&amp;"-"&amp;Ingresos_Historicos[[#This Row],[id]]</f>
        <v>300-0129</v>
      </c>
      <c r="W139" s="19" t="e">
        <f>+VLOOKUP(Ingresos_Historicos[[#This Row],[Filtro URL]],Estructura!$X$4:$Y$366,2,0)</f>
        <v>#N/A</v>
      </c>
      <c r="X139" s="19" t="str">
        <f>+VLOOKUP(Ingresos_Historicos[[#This Row],[tema]],Estructura!$A$4:$C$18,3,0)</f>
        <v>T-306</v>
      </c>
      <c r="Y139" s="19" t="str">
        <f>+VLOOKUP(Ingresos_Historicos[[#This Row],[contenido]],Estructura!$E$4:$G$18,3,0)</f>
        <v>C-301</v>
      </c>
      <c r="Z139" s="19" t="str">
        <f>+VLOOKUP(Ingresos_Historicos[[#This Row],[Filtro Integrado]],Estructura!$M$4:$O$367,3,0)</f>
        <v>FI-303</v>
      </c>
      <c r="AA139" s="19" t="str">
        <f>+VLOOKUP(Ingresos_Historicos[[#This Row],[Muestra]],Estructura!$Q$4:$S$194,3,0)</f>
        <v>M-306</v>
      </c>
    </row>
    <row r="140" spans="1:27" ht="40.799999999999997" x14ac:dyDescent="0.3">
      <c r="A140" s="71" t="s">
        <v>526</v>
      </c>
      <c r="B140" s="12">
        <f t="shared" si="27"/>
        <v>300</v>
      </c>
      <c r="C140" s="13" t="str">
        <f t="shared" si="27"/>
        <v>Violencia contra la mujer</v>
      </c>
      <c r="D140" s="13" t="str">
        <f t="shared" si="27"/>
        <v>Mujeres</v>
      </c>
      <c r="E140" s="39">
        <v>29</v>
      </c>
      <c r="F140" s="13" t="str">
        <f t="shared" si="29"/>
        <v>Sentencias por delito de abuso sexual</v>
      </c>
      <c r="G140" s="55" t="str">
        <f t="shared" si="29"/>
        <v>Abuso Sexual</v>
      </c>
      <c r="H140" s="38" t="s">
        <v>17</v>
      </c>
      <c r="I140" s="37" t="s">
        <v>145</v>
      </c>
      <c r="J140" s="12" t="s">
        <v>398</v>
      </c>
      <c r="K140" s="12" t="str">
        <f t="shared" si="28"/>
        <v>Sentencias Dictadas por Delitos de Abuso Sexual</v>
      </c>
      <c r="L140" s="12" t="str">
        <f t="shared" si="28"/>
        <v>Periodo 2013-2019</v>
      </c>
      <c r="M140" s="12" t="str">
        <f t="shared" si="28"/>
        <v>Número de sentencias</v>
      </c>
      <c r="N140" s="33" t="s">
        <v>5964</v>
      </c>
      <c r="O140" s="27" t="str">
        <f>"Sentencias Dictadas por Delitos de Abuso Sexual en el  Juzgado de Garantía de "&amp;[1]!Ingresos_Historicos[[#This Row],[territorio]]&amp;" para el Periodo 2013-2019"</f>
        <v>Sentencias Dictadas por Delitos de Abuso Sexual en el  Juzgado de Garantía de Arica para el Periodo 2013-2019</v>
      </c>
      <c r="P14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Arica para el Periodo 2013-2019 de acuerdo a datos provenientes del Poder Judicial de Chile.</v>
      </c>
      <c r="Q140" s="14" t="str">
        <f t="shared" si="25"/>
        <v>Gráfico de Evolución</v>
      </c>
      <c r="R140" s="77" t="s">
        <v>6038</v>
      </c>
      <c r="S140" s="15" t="s">
        <v>6517</v>
      </c>
      <c r="T140" s="65" t="s">
        <v>5913</v>
      </c>
      <c r="U140" s="24" t="s">
        <v>397</v>
      </c>
      <c r="V140" s="19" t="str">
        <f>+Ingresos_Historicos[[#This Row],[idcoleccion]]&amp;"-"&amp;Ingresos_Historicos[[#This Row],[id]]</f>
        <v>300-0130</v>
      </c>
      <c r="W140" s="19" t="e">
        <f>+VLOOKUP(Ingresos_Historicos[[#This Row],[Filtro URL]],Estructura!$X$4:$Y$366,2,0)</f>
        <v>#N/A</v>
      </c>
      <c r="X140" s="19" t="str">
        <f>+VLOOKUP(Ingresos_Historicos[[#This Row],[tema]],Estructura!$A$4:$C$18,3,0)</f>
        <v>T-306</v>
      </c>
      <c r="Y140" s="19" t="str">
        <f>+VLOOKUP(Ingresos_Historicos[[#This Row],[contenido]],Estructura!$E$4:$G$18,3,0)</f>
        <v>C-301</v>
      </c>
      <c r="Z140" s="19" t="str">
        <f>+VLOOKUP(Ingresos_Historicos[[#This Row],[Filtro Integrado]],Estructura!$M$4:$O$367,3,0)</f>
        <v>FI-303</v>
      </c>
      <c r="AA140" s="19" t="str">
        <f>+VLOOKUP(Ingresos_Historicos[[#This Row],[Muestra]],Estructura!$Q$4:$S$194,3,0)</f>
        <v>M-306</v>
      </c>
    </row>
    <row r="141" spans="1:27" ht="40.799999999999997" x14ac:dyDescent="0.3">
      <c r="A141" s="71" t="s">
        <v>527</v>
      </c>
      <c r="B141" s="12">
        <f t="shared" si="27"/>
        <v>300</v>
      </c>
      <c r="C141" s="13" t="str">
        <f t="shared" si="27"/>
        <v>Violencia contra la mujer</v>
      </c>
      <c r="D141" s="13" t="str">
        <f t="shared" si="27"/>
        <v>Mujeres</v>
      </c>
      <c r="E141" s="39">
        <v>30</v>
      </c>
      <c r="F141" s="13" t="str">
        <f t="shared" si="29"/>
        <v>Sentencias por delito de abuso sexual</v>
      </c>
      <c r="G141" s="55" t="str">
        <f t="shared" si="29"/>
        <v>Abuso Sexual</v>
      </c>
      <c r="H141" s="38" t="s">
        <v>17</v>
      </c>
      <c r="I141" s="37" t="s">
        <v>6039</v>
      </c>
      <c r="J141" s="12" t="s">
        <v>398</v>
      </c>
      <c r="K141" s="12" t="str">
        <f t="shared" si="28"/>
        <v>Sentencias Dictadas por Delitos de Abuso Sexual</v>
      </c>
      <c r="L141" s="12" t="str">
        <f t="shared" si="28"/>
        <v>Periodo 2013-2019</v>
      </c>
      <c r="M141" s="12" t="str">
        <f t="shared" si="28"/>
        <v>Número de sentencias</v>
      </c>
      <c r="N141" s="33" t="s">
        <v>5964</v>
      </c>
      <c r="O141" s="27" t="str">
        <f>"Sentencias Dictadas por Delitos de Abuso Sexual en el  Juzgado de Garantía de "&amp;[1]!Ingresos_Historicos[[#This Row],[territorio]]&amp;" para el Periodo 2013-2019"</f>
        <v>Sentencias Dictadas por Delitos de Abuso Sexual en el  Juzgado de Garantía de Chillan para el Periodo 2013-2019</v>
      </c>
      <c r="P14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Chillan para el Periodo 2013-2019 de acuerdo a datos provenientes del Poder Judicial de Chile.</v>
      </c>
      <c r="Q141" s="14" t="str">
        <f t="shared" si="25"/>
        <v>Gráfico de Evolución</v>
      </c>
      <c r="R141" s="77" t="s">
        <v>6040</v>
      </c>
      <c r="S141" s="15" t="s">
        <v>6518</v>
      </c>
      <c r="T141" s="65" t="s">
        <v>5913</v>
      </c>
      <c r="U141" s="24" t="s">
        <v>397</v>
      </c>
      <c r="V141" s="19" t="str">
        <f>+Ingresos_Historicos[[#This Row],[idcoleccion]]&amp;"-"&amp;Ingresos_Historicos[[#This Row],[id]]</f>
        <v>300-0131</v>
      </c>
      <c r="W141" s="19" t="e">
        <f>+VLOOKUP(Ingresos_Historicos[[#This Row],[Filtro URL]],Estructura!$X$4:$Y$366,2,0)</f>
        <v>#N/A</v>
      </c>
      <c r="X141" s="19" t="str">
        <f>+VLOOKUP(Ingresos_Historicos[[#This Row],[tema]],Estructura!$A$4:$C$18,3,0)</f>
        <v>T-306</v>
      </c>
      <c r="Y141" s="19" t="str">
        <f>+VLOOKUP(Ingresos_Historicos[[#This Row],[contenido]],Estructura!$E$4:$G$18,3,0)</f>
        <v>C-301</v>
      </c>
      <c r="Z141" s="19" t="str">
        <f>+VLOOKUP(Ingresos_Historicos[[#This Row],[Filtro Integrado]],Estructura!$M$4:$O$367,3,0)</f>
        <v>FI-303</v>
      </c>
      <c r="AA141" s="19" t="str">
        <f>+VLOOKUP(Ingresos_Historicos[[#This Row],[Muestra]],Estructura!$Q$4:$S$194,3,0)</f>
        <v>M-306</v>
      </c>
    </row>
    <row r="142" spans="1:27" ht="40.799999999999997" x14ac:dyDescent="0.3">
      <c r="A142" s="71" t="s">
        <v>528</v>
      </c>
      <c r="B142" s="12">
        <f t="shared" si="27"/>
        <v>300</v>
      </c>
      <c r="C142" s="13" t="str">
        <f t="shared" si="27"/>
        <v>Violencia contra la mujer</v>
      </c>
      <c r="D142" s="13" t="str">
        <f t="shared" si="27"/>
        <v>Mujeres</v>
      </c>
      <c r="E142" s="39">
        <v>31</v>
      </c>
      <c r="F142" s="13" t="str">
        <f t="shared" si="29"/>
        <v>Sentencias por delito de abuso sexual</v>
      </c>
      <c r="G142" s="55" t="str">
        <f t="shared" si="29"/>
        <v>Abuso Sexual</v>
      </c>
      <c r="H142" s="38" t="s">
        <v>17</v>
      </c>
      <c r="I142" s="37" t="s">
        <v>6041</v>
      </c>
      <c r="J142" s="12" t="s">
        <v>398</v>
      </c>
      <c r="K142" s="12" t="str">
        <f t="shared" si="28"/>
        <v>Sentencias Dictadas por Delitos de Abuso Sexual</v>
      </c>
      <c r="L142" s="12" t="str">
        <f t="shared" si="28"/>
        <v>Periodo 2013-2019</v>
      </c>
      <c r="M142" s="12" t="str">
        <f t="shared" si="28"/>
        <v>Número de sentencias</v>
      </c>
      <c r="N142" s="33" t="s">
        <v>5964</v>
      </c>
      <c r="O142" s="27" t="str">
        <f>"Sentencias Dictadas por Delitos de Abuso Sexual en el  Juzgado de Garantía de "&amp;[1]!Ingresos_Historicos[[#This Row],[territorio]]&amp;" para el Periodo 2013-2019"</f>
        <v>Sentencias Dictadas por Delitos de Abuso Sexual en el  Juzgado de Garantía de San Carlos para el Periodo 2013-2019</v>
      </c>
      <c r="P14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 Carlos para el Periodo 2013-2019 de acuerdo a datos provenientes del Poder Judicial de Chile.</v>
      </c>
      <c r="Q142" s="14" t="str">
        <f t="shared" si="25"/>
        <v>Gráfico de Evolución</v>
      </c>
      <c r="R142" s="77" t="s">
        <v>6042</v>
      </c>
      <c r="S142" s="15" t="s">
        <v>6519</v>
      </c>
      <c r="T142" s="65" t="s">
        <v>5913</v>
      </c>
      <c r="U142" s="24" t="s">
        <v>397</v>
      </c>
      <c r="V142" s="19" t="str">
        <f>+Ingresos_Historicos[[#This Row],[idcoleccion]]&amp;"-"&amp;Ingresos_Historicos[[#This Row],[id]]</f>
        <v>300-0132</v>
      </c>
      <c r="W142" s="19" t="e">
        <f>+VLOOKUP(Ingresos_Historicos[[#This Row],[Filtro URL]],Estructura!$X$4:$Y$366,2,0)</f>
        <v>#N/A</v>
      </c>
      <c r="X142" s="19" t="str">
        <f>+VLOOKUP(Ingresos_Historicos[[#This Row],[tema]],Estructura!$A$4:$C$18,3,0)</f>
        <v>T-306</v>
      </c>
      <c r="Y142" s="19" t="str">
        <f>+VLOOKUP(Ingresos_Historicos[[#This Row],[contenido]],Estructura!$E$4:$G$18,3,0)</f>
        <v>C-301</v>
      </c>
      <c r="Z142" s="19" t="str">
        <f>+VLOOKUP(Ingresos_Historicos[[#This Row],[Filtro Integrado]],Estructura!$M$4:$O$367,3,0)</f>
        <v>FI-303</v>
      </c>
      <c r="AA142" s="19" t="str">
        <f>+VLOOKUP(Ingresos_Historicos[[#This Row],[Muestra]],Estructura!$Q$4:$S$194,3,0)</f>
        <v>M-306</v>
      </c>
    </row>
    <row r="143" spans="1:27" ht="40.799999999999997" x14ac:dyDescent="0.3">
      <c r="A143" s="71" t="s">
        <v>529</v>
      </c>
      <c r="B143" s="12">
        <f t="shared" ref="B143:D158" si="30">+B142</f>
        <v>300</v>
      </c>
      <c r="C143" s="13" t="str">
        <f t="shared" si="30"/>
        <v>Violencia contra la mujer</v>
      </c>
      <c r="D143" s="13" t="str">
        <f t="shared" si="30"/>
        <v>Mujeres</v>
      </c>
      <c r="E143" s="39">
        <v>32</v>
      </c>
      <c r="F143" s="13" t="str">
        <f t="shared" si="29"/>
        <v>Sentencias por delito de abuso sexual</v>
      </c>
      <c r="G143" s="55" t="str">
        <f t="shared" si="29"/>
        <v>Abuso Sexual</v>
      </c>
      <c r="H143" s="38" t="s">
        <v>17</v>
      </c>
      <c r="I143" s="37" t="s">
        <v>157</v>
      </c>
      <c r="J143" s="12" t="s">
        <v>398</v>
      </c>
      <c r="K143" s="12" t="str">
        <f t="shared" si="28"/>
        <v>Sentencias Dictadas por Delitos de Abuso Sexual</v>
      </c>
      <c r="L143" s="12" t="str">
        <f t="shared" si="28"/>
        <v>Periodo 2013-2019</v>
      </c>
      <c r="M143" s="12" t="str">
        <f t="shared" si="28"/>
        <v>Número de sentencias</v>
      </c>
      <c r="N143" s="33" t="s">
        <v>5964</v>
      </c>
      <c r="O143" s="27" t="str">
        <f>"Sentencias Dictadas por Delitos de Abuso Sexual en el  Juzgado de Garantía de "&amp;[1]!Ingresos_Historicos[[#This Row],[territorio]]&amp;" para el Periodo 2013-2019"</f>
        <v>Sentencias Dictadas por Delitos de Abuso Sexual en el  Juzgado de Garantía de Yungay para el Periodo 2013-2019</v>
      </c>
      <c r="P14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Yungay para el Periodo 2013-2019 de acuerdo a datos provenientes del Poder Judicial de Chile.</v>
      </c>
      <c r="Q143" s="14" t="str">
        <f t="shared" si="25"/>
        <v>Gráfico de Evolución</v>
      </c>
      <c r="R143" s="77" t="s">
        <v>6043</v>
      </c>
      <c r="S143" s="15" t="s">
        <v>6520</v>
      </c>
      <c r="T143" s="65" t="s">
        <v>5913</v>
      </c>
      <c r="U143" s="24" t="s">
        <v>397</v>
      </c>
      <c r="V143" s="19" t="str">
        <f>+Ingresos_Historicos[[#This Row],[idcoleccion]]&amp;"-"&amp;Ingresos_Historicos[[#This Row],[id]]</f>
        <v>300-0133</v>
      </c>
      <c r="W143" s="19" t="e">
        <f>+VLOOKUP(Ingresos_Historicos[[#This Row],[Filtro URL]],Estructura!$X$4:$Y$366,2,0)</f>
        <v>#N/A</v>
      </c>
      <c r="X143" s="19" t="str">
        <f>+VLOOKUP(Ingresos_Historicos[[#This Row],[tema]],Estructura!$A$4:$C$18,3,0)</f>
        <v>T-306</v>
      </c>
      <c r="Y143" s="19" t="str">
        <f>+VLOOKUP(Ingresos_Historicos[[#This Row],[contenido]],Estructura!$E$4:$G$18,3,0)</f>
        <v>C-301</v>
      </c>
      <c r="Z143" s="19" t="str">
        <f>+VLOOKUP(Ingresos_Historicos[[#This Row],[Filtro Integrado]],Estructura!$M$4:$O$367,3,0)</f>
        <v>FI-303</v>
      </c>
      <c r="AA143" s="19" t="str">
        <f>+VLOOKUP(Ingresos_Historicos[[#This Row],[Muestra]],Estructura!$Q$4:$S$194,3,0)</f>
        <v>M-306</v>
      </c>
    </row>
    <row r="144" spans="1:27" ht="40.799999999999997" x14ac:dyDescent="0.3">
      <c r="A144" s="71" t="s">
        <v>530</v>
      </c>
      <c r="B144" s="12">
        <f t="shared" si="30"/>
        <v>300</v>
      </c>
      <c r="C144" s="13" t="str">
        <f t="shared" si="30"/>
        <v>Violencia contra la mujer</v>
      </c>
      <c r="D144" s="13" t="str">
        <f t="shared" si="30"/>
        <v>Mujeres</v>
      </c>
      <c r="E144" s="39">
        <v>33</v>
      </c>
      <c r="F144" s="13" t="str">
        <f t="shared" si="29"/>
        <v>Sentencias por delito de abuso sexual</v>
      </c>
      <c r="G144" s="55" t="str">
        <f t="shared" si="29"/>
        <v>Abuso Sexual</v>
      </c>
      <c r="H144" s="38" t="s">
        <v>17</v>
      </c>
      <c r="I144" s="37" t="s">
        <v>151</v>
      </c>
      <c r="J144" s="12" t="s">
        <v>398</v>
      </c>
      <c r="K144" s="12" t="str">
        <f t="shared" ref="K144:M159" si="31">+K143</f>
        <v>Sentencias Dictadas por Delitos de Abuso Sexual</v>
      </c>
      <c r="L144" s="12" t="str">
        <f t="shared" si="31"/>
        <v>Periodo 2013-2019</v>
      </c>
      <c r="M144" s="12" t="str">
        <f t="shared" si="31"/>
        <v>Número de sentencias</v>
      </c>
      <c r="N144" s="33" t="s">
        <v>5964</v>
      </c>
      <c r="O144" s="27" t="str">
        <f>"Sentencias Dictadas por Delitos de Abuso Sexual en el  Juzgado de Garantía de "&amp;[1]!Ingresos_Historicos[[#This Row],[territorio]]&amp;" para el Periodo 2013-2019"</f>
        <v>Sentencias Dictadas por Delitos de Abuso Sexual en el  Juzgado de Garantía de Iquique para el Periodo 2013-2019</v>
      </c>
      <c r="P144"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Iquique para el Periodo 2013-2019 de acuerdo a datos provenientes del Poder Judicial de Chile.</v>
      </c>
      <c r="Q144" s="14" t="str">
        <f t="shared" si="25"/>
        <v>Gráfico de Evolución</v>
      </c>
      <c r="R144" s="77" t="s">
        <v>6044</v>
      </c>
      <c r="S144" s="15" t="s">
        <v>6521</v>
      </c>
      <c r="T144" s="65" t="s">
        <v>5913</v>
      </c>
      <c r="U144" s="24" t="s">
        <v>397</v>
      </c>
      <c r="V144" s="19" t="str">
        <f>+Ingresos_Historicos[[#This Row],[idcoleccion]]&amp;"-"&amp;Ingresos_Historicos[[#This Row],[id]]</f>
        <v>300-0134</v>
      </c>
      <c r="W144" s="19" t="e">
        <f>+VLOOKUP(Ingresos_Historicos[[#This Row],[Filtro URL]],Estructura!$X$4:$Y$366,2,0)</f>
        <v>#N/A</v>
      </c>
      <c r="X144" s="19" t="str">
        <f>+VLOOKUP(Ingresos_Historicos[[#This Row],[tema]],Estructura!$A$4:$C$18,3,0)</f>
        <v>T-306</v>
      </c>
      <c r="Y144" s="19" t="str">
        <f>+VLOOKUP(Ingresos_Historicos[[#This Row],[contenido]],Estructura!$E$4:$G$18,3,0)</f>
        <v>C-301</v>
      </c>
      <c r="Z144" s="19" t="str">
        <f>+VLOOKUP(Ingresos_Historicos[[#This Row],[Filtro Integrado]],Estructura!$M$4:$O$367,3,0)</f>
        <v>FI-303</v>
      </c>
      <c r="AA144" s="19" t="str">
        <f>+VLOOKUP(Ingresos_Historicos[[#This Row],[Muestra]],Estructura!$Q$4:$S$194,3,0)</f>
        <v>M-306</v>
      </c>
    </row>
    <row r="145" spans="1:27" ht="51" x14ac:dyDescent="0.3">
      <c r="A145" s="71" t="s">
        <v>531</v>
      </c>
      <c r="B145" s="12">
        <f t="shared" si="30"/>
        <v>300</v>
      </c>
      <c r="C145" s="13" t="str">
        <f t="shared" si="30"/>
        <v>Violencia contra la mujer</v>
      </c>
      <c r="D145" s="13" t="str">
        <f t="shared" si="30"/>
        <v>Mujeres</v>
      </c>
      <c r="E145" s="39">
        <v>34</v>
      </c>
      <c r="F145" s="13" t="str">
        <f t="shared" ref="F145:G160" si="32">+F144</f>
        <v>Sentencias por delito de abuso sexual</v>
      </c>
      <c r="G145" s="55" t="str">
        <f t="shared" si="32"/>
        <v>Abuso Sexual</v>
      </c>
      <c r="H145" s="38" t="s">
        <v>17</v>
      </c>
      <c r="I145" s="37" t="s">
        <v>160</v>
      </c>
      <c r="J145" s="12" t="s">
        <v>398</v>
      </c>
      <c r="K145" s="12" t="str">
        <f t="shared" si="31"/>
        <v>Sentencias Dictadas por Delitos de Abuso Sexual</v>
      </c>
      <c r="L145" s="12" t="str">
        <f t="shared" si="31"/>
        <v>Periodo 2013-2019</v>
      </c>
      <c r="M145" s="12" t="str">
        <f t="shared" si="31"/>
        <v>Número de sentencias</v>
      </c>
      <c r="N145" s="33" t="s">
        <v>5964</v>
      </c>
      <c r="O145" s="27" t="str">
        <f>"Sentencias Dictadas por Delitos de Abuso Sexual en el  Juzgado de Garantía de "&amp;[1]!Ingresos_Historicos[[#This Row],[territorio]]&amp;" para el Periodo 2013-2019"</f>
        <v>Sentencias Dictadas por Delitos de Abuso Sexual en el  Juzgado de Garantía de Antofagasta para el Periodo 2013-2019</v>
      </c>
      <c r="P145"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Antofagasta para el Periodo 2013-2019 de acuerdo a datos provenientes del Poder Judicial de Chile.</v>
      </c>
      <c r="Q145" s="14" t="str">
        <f t="shared" si="25"/>
        <v>Gráfico de Evolución</v>
      </c>
      <c r="R145" s="77" t="s">
        <v>6045</v>
      </c>
      <c r="S145" s="15" t="s">
        <v>6522</v>
      </c>
      <c r="T145" s="65" t="s">
        <v>5913</v>
      </c>
      <c r="U145" s="24" t="s">
        <v>397</v>
      </c>
      <c r="V145" s="19" t="str">
        <f>+Ingresos_Historicos[[#This Row],[idcoleccion]]&amp;"-"&amp;Ingresos_Historicos[[#This Row],[id]]</f>
        <v>300-0135</v>
      </c>
      <c r="W145" s="19" t="e">
        <f>+VLOOKUP(Ingresos_Historicos[[#This Row],[Filtro URL]],Estructura!$X$4:$Y$366,2,0)</f>
        <v>#N/A</v>
      </c>
      <c r="X145" s="19" t="str">
        <f>+VLOOKUP(Ingresos_Historicos[[#This Row],[tema]],Estructura!$A$4:$C$18,3,0)</f>
        <v>T-306</v>
      </c>
      <c r="Y145" s="19" t="str">
        <f>+VLOOKUP(Ingresos_Historicos[[#This Row],[contenido]],Estructura!$E$4:$G$18,3,0)</f>
        <v>C-301</v>
      </c>
      <c r="Z145" s="19" t="str">
        <f>+VLOOKUP(Ingresos_Historicos[[#This Row],[Filtro Integrado]],Estructura!$M$4:$O$367,3,0)</f>
        <v>FI-303</v>
      </c>
      <c r="AA145" s="19" t="str">
        <f>+VLOOKUP(Ingresos_Historicos[[#This Row],[Muestra]],Estructura!$Q$4:$S$194,3,0)</f>
        <v>M-306</v>
      </c>
    </row>
    <row r="146" spans="1:27" ht="40.799999999999997" x14ac:dyDescent="0.3">
      <c r="A146" s="71" t="s">
        <v>532</v>
      </c>
      <c r="B146" s="12">
        <f t="shared" si="30"/>
        <v>300</v>
      </c>
      <c r="C146" s="13" t="str">
        <f t="shared" si="30"/>
        <v>Violencia contra la mujer</v>
      </c>
      <c r="D146" s="13" t="str">
        <f t="shared" si="30"/>
        <v>Mujeres</v>
      </c>
      <c r="E146" s="39">
        <v>35</v>
      </c>
      <c r="F146" s="13" t="str">
        <f t="shared" si="32"/>
        <v>Sentencias por delito de abuso sexual</v>
      </c>
      <c r="G146" s="55" t="str">
        <f t="shared" si="32"/>
        <v>Abuso Sexual</v>
      </c>
      <c r="H146" s="38" t="s">
        <v>17</v>
      </c>
      <c r="I146" s="37" t="s">
        <v>162</v>
      </c>
      <c r="J146" s="12" t="s">
        <v>398</v>
      </c>
      <c r="K146" s="12" t="str">
        <f t="shared" si="31"/>
        <v>Sentencias Dictadas por Delitos de Abuso Sexual</v>
      </c>
      <c r="L146" s="12" t="str">
        <f t="shared" si="31"/>
        <v>Periodo 2013-2019</v>
      </c>
      <c r="M146" s="12" t="str">
        <f t="shared" si="31"/>
        <v>Número de sentencias</v>
      </c>
      <c r="N146" s="33" t="s">
        <v>5964</v>
      </c>
      <c r="O146" s="27" t="str">
        <f>"Sentencias Dictadas por Delitos de Abuso Sexual en el  Juzgado de Garantía de "&amp;[1]!Ingresos_Historicos[[#This Row],[territorio]]&amp;" para el Periodo 2013-2019"</f>
        <v>Sentencias Dictadas por Delitos de Abuso Sexual en el  Juzgado de Garantía de Calama para el Periodo 2013-2019</v>
      </c>
      <c r="P146"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Calama para el Periodo 2013-2019 de acuerdo a datos provenientes del Poder Judicial de Chile.</v>
      </c>
      <c r="Q146" s="14" t="str">
        <f t="shared" si="25"/>
        <v>Gráfico de Evolución</v>
      </c>
      <c r="R146" s="77" t="s">
        <v>6046</v>
      </c>
      <c r="S146" s="15" t="s">
        <v>6523</v>
      </c>
      <c r="T146" s="65" t="s">
        <v>5913</v>
      </c>
      <c r="U146" s="24" t="s">
        <v>397</v>
      </c>
      <c r="V146" s="19" t="str">
        <f>+Ingresos_Historicos[[#This Row],[idcoleccion]]&amp;"-"&amp;Ingresos_Historicos[[#This Row],[id]]</f>
        <v>300-0136</v>
      </c>
      <c r="W146" s="19" t="e">
        <f>+VLOOKUP(Ingresos_Historicos[[#This Row],[Filtro URL]],Estructura!$X$4:$Y$366,2,0)</f>
        <v>#N/A</v>
      </c>
      <c r="X146" s="19" t="str">
        <f>+VLOOKUP(Ingresos_Historicos[[#This Row],[tema]],Estructura!$A$4:$C$18,3,0)</f>
        <v>T-306</v>
      </c>
      <c r="Y146" s="19" t="str">
        <f>+VLOOKUP(Ingresos_Historicos[[#This Row],[contenido]],Estructura!$E$4:$G$18,3,0)</f>
        <v>C-301</v>
      </c>
      <c r="Z146" s="19" t="str">
        <f>+VLOOKUP(Ingresos_Historicos[[#This Row],[Filtro Integrado]],Estructura!$M$4:$O$367,3,0)</f>
        <v>FI-303</v>
      </c>
      <c r="AA146" s="19" t="str">
        <f>+VLOOKUP(Ingresos_Historicos[[#This Row],[Muestra]],Estructura!$Q$4:$S$194,3,0)</f>
        <v>M-306</v>
      </c>
    </row>
    <row r="147" spans="1:27" ht="40.799999999999997" x14ac:dyDescent="0.3">
      <c r="A147" s="71" t="s">
        <v>533</v>
      </c>
      <c r="B147" s="12">
        <f t="shared" si="30"/>
        <v>300</v>
      </c>
      <c r="C147" s="13" t="str">
        <f t="shared" si="30"/>
        <v>Violencia contra la mujer</v>
      </c>
      <c r="D147" s="13" t="str">
        <f t="shared" si="30"/>
        <v>Mujeres</v>
      </c>
      <c r="E147" s="39">
        <v>36</v>
      </c>
      <c r="F147" s="13" t="str">
        <f t="shared" si="32"/>
        <v>Sentencias por delito de abuso sexual</v>
      </c>
      <c r="G147" s="55" t="str">
        <f t="shared" si="32"/>
        <v>Abuso Sexual</v>
      </c>
      <c r="H147" s="38" t="s">
        <v>17</v>
      </c>
      <c r="I147" s="37" t="s">
        <v>136</v>
      </c>
      <c r="J147" s="12" t="s">
        <v>398</v>
      </c>
      <c r="K147" s="12" t="str">
        <f t="shared" si="31"/>
        <v>Sentencias Dictadas por Delitos de Abuso Sexual</v>
      </c>
      <c r="L147" s="12" t="str">
        <f t="shared" si="31"/>
        <v>Periodo 2013-2019</v>
      </c>
      <c r="M147" s="12" t="str">
        <f t="shared" si="31"/>
        <v>Número de sentencias</v>
      </c>
      <c r="N147" s="33" t="s">
        <v>5964</v>
      </c>
      <c r="O147" s="27" t="str">
        <f>"Sentencias Dictadas por Delitos de Abuso Sexual en el  Juzgado de Garantía de "&amp;[1]!Ingresos_Historicos[[#This Row],[territorio]]&amp;" para el Periodo 2013-2019"</f>
        <v>Sentencias Dictadas por Delitos de Abuso Sexual en el  Juzgado de Garantía de Tocopilla para el Periodo 2013-2019</v>
      </c>
      <c r="P14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Tocopilla para el Periodo 2013-2019 de acuerdo a datos provenientes del Poder Judicial de Chile.</v>
      </c>
      <c r="Q147" s="14" t="str">
        <f t="shared" si="25"/>
        <v>Gráfico de Evolución</v>
      </c>
      <c r="R147" s="77" t="s">
        <v>6047</v>
      </c>
      <c r="S147" s="15" t="s">
        <v>6524</v>
      </c>
      <c r="T147" s="65" t="s">
        <v>5913</v>
      </c>
      <c r="U147" s="24" t="s">
        <v>397</v>
      </c>
      <c r="V147" s="19" t="str">
        <f>+Ingresos_Historicos[[#This Row],[idcoleccion]]&amp;"-"&amp;Ingresos_Historicos[[#This Row],[id]]</f>
        <v>300-0137</v>
      </c>
      <c r="W147" s="19" t="e">
        <f>+VLOOKUP(Ingresos_Historicos[[#This Row],[Filtro URL]],Estructura!$X$4:$Y$366,2,0)</f>
        <v>#N/A</v>
      </c>
      <c r="X147" s="19" t="str">
        <f>+VLOOKUP(Ingresos_Historicos[[#This Row],[tema]],Estructura!$A$4:$C$18,3,0)</f>
        <v>T-306</v>
      </c>
      <c r="Y147" s="19" t="str">
        <f>+VLOOKUP(Ingresos_Historicos[[#This Row],[contenido]],Estructura!$E$4:$G$18,3,0)</f>
        <v>C-301</v>
      </c>
      <c r="Z147" s="19" t="str">
        <f>+VLOOKUP(Ingresos_Historicos[[#This Row],[Filtro Integrado]],Estructura!$M$4:$O$367,3,0)</f>
        <v>FI-303</v>
      </c>
      <c r="AA147" s="19" t="str">
        <f>+VLOOKUP(Ingresos_Historicos[[#This Row],[Muestra]],Estructura!$Q$4:$S$194,3,0)</f>
        <v>M-306</v>
      </c>
    </row>
    <row r="148" spans="1:27" ht="40.799999999999997" x14ac:dyDescent="0.3">
      <c r="A148" s="71" t="s">
        <v>534</v>
      </c>
      <c r="B148" s="12">
        <f t="shared" si="30"/>
        <v>300</v>
      </c>
      <c r="C148" s="13" t="str">
        <f t="shared" si="30"/>
        <v>Violencia contra la mujer</v>
      </c>
      <c r="D148" s="13" t="str">
        <f t="shared" si="30"/>
        <v>Mujeres</v>
      </c>
      <c r="E148" s="39">
        <v>37</v>
      </c>
      <c r="F148" s="13" t="str">
        <f t="shared" si="32"/>
        <v>Sentencias por delito de abuso sexual</v>
      </c>
      <c r="G148" s="55" t="str">
        <f t="shared" si="32"/>
        <v>Abuso Sexual</v>
      </c>
      <c r="H148" s="38" t="s">
        <v>17</v>
      </c>
      <c r="I148" s="37" t="s">
        <v>178</v>
      </c>
      <c r="J148" s="12" t="s">
        <v>398</v>
      </c>
      <c r="K148" s="12" t="str">
        <f t="shared" si="31"/>
        <v>Sentencias Dictadas por Delitos de Abuso Sexual</v>
      </c>
      <c r="L148" s="12" t="str">
        <f t="shared" si="31"/>
        <v>Periodo 2013-2019</v>
      </c>
      <c r="M148" s="12" t="str">
        <f t="shared" si="31"/>
        <v>Número de sentencias</v>
      </c>
      <c r="N148" s="33" t="s">
        <v>5964</v>
      </c>
      <c r="O148" s="27" t="str">
        <f>"Sentencias Dictadas por Delitos de Abuso Sexual en el  Juzgado de Garantía de "&amp;[1]!Ingresos_Historicos[[#This Row],[territorio]]&amp;" para el Periodo 2013-2019"</f>
        <v>Sentencias Dictadas por Delitos de Abuso Sexual en el  Juzgado de Garantía de Copiapo para el Periodo 2013-2019</v>
      </c>
      <c r="P14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Copiapo para el Periodo 2013-2019 de acuerdo a datos provenientes del Poder Judicial de Chile.</v>
      </c>
      <c r="Q148" s="14" t="str">
        <f t="shared" si="25"/>
        <v>Gráfico de Evolución</v>
      </c>
      <c r="R148" s="77" t="s">
        <v>6048</v>
      </c>
      <c r="S148" s="15" t="s">
        <v>6525</v>
      </c>
      <c r="T148" s="65" t="s">
        <v>5914</v>
      </c>
      <c r="U148" s="24" t="s">
        <v>397</v>
      </c>
      <c r="V148" s="19" t="str">
        <f>+Ingresos_Historicos[[#This Row],[idcoleccion]]&amp;"-"&amp;Ingresos_Historicos[[#This Row],[id]]</f>
        <v>300-0138</v>
      </c>
      <c r="W148" s="19" t="e">
        <f>+VLOOKUP(Ingresos_Historicos[[#This Row],[Filtro URL]],Estructura!$X$4:$Y$366,2,0)</f>
        <v>#N/A</v>
      </c>
      <c r="X148" s="19" t="str">
        <f>+VLOOKUP(Ingresos_Historicos[[#This Row],[tema]],Estructura!$A$4:$C$18,3,0)</f>
        <v>T-306</v>
      </c>
      <c r="Y148" s="19" t="str">
        <f>+VLOOKUP(Ingresos_Historicos[[#This Row],[contenido]],Estructura!$E$4:$G$18,3,0)</f>
        <v>C-301</v>
      </c>
      <c r="Z148" s="19" t="str">
        <f>+VLOOKUP(Ingresos_Historicos[[#This Row],[Filtro Integrado]],Estructura!$M$4:$O$367,3,0)</f>
        <v>FI-303</v>
      </c>
      <c r="AA148" s="19" t="str">
        <f>+VLOOKUP(Ingresos_Historicos[[#This Row],[Muestra]],Estructura!$Q$4:$S$194,3,0)</f>
        <v>M-306</v>
      </c>
    </row>
    <row r="149" spans="1:27" ht="51" x14ac:dyDescent="0.3">
      <c r="A149" s="71" t="s">
        <v>535</v>
      </c>
      <c r="B149" s="12">
        <f t="shared" si="30"/>
        <v>300</v>
      </c>
      <c r="C149" s="13" t="str">
        <f t="shared" si="30"/>
        <v>Violencia contra la mujer</v>
      </c>
      <c r="D149" s="13" t="str">
        <f t="shared" si="30"/>
        <v>Mujeres</v>
      </c>
      <c r="E149" s="39">
        <v>38</v>
      </c>
      <c r="F149" s="13" t="str">
        <f t="shared" si="32"/>
        <v>Sentencias por delito de abuso sexual</v>
      </c>
      <c r="G149" s="55" t="str">
        <f t="shared" si="32"/>
        <v>Abuso Sexual</v>
      </c>
      <c r="H149" s="38" t="s">
        <v>17</v>
      </c>
      <c r="I149" s="37" t="s">
        <v>179</v>
      </c>
      <c r="J149" s="12" t="s">
        <v>398</v>
      </c>
      <c r="K149" s="12" t="str">
        <f t="shared" si="31"/>
        <v>Sentencias Dictadas por Delitos de Abuso Sexual</v>
      </c>
      <c r="L149" s="12" t="str">
        <f t="shared" si="31"/>
        <v>Periodo 2013-2019</v>
      </c>
      <c r="M149" s="12" t="str">
        <f t="shared" si="31"/>
        <v>Número de sentencias</v>
      </c>
      <c r="N149" s="33" t="s">
        <v>5964</v>
      </c>
      <c r="O149" s="27" t="str">
        <f>"Sentencias Dictadas por Delitos de Abuso Sexual en el  Juzgado de Garantía de "&amp;[1]!Ingresos_Historicos[[#This Row],[territorio]]&amp;" para el Periodo 2013-2019"</f>
        <v>Sentencias Dictadas por Delitos de Abuso Sexual en el  Juzgado de Garantía de Diego de Almagro para el Periodo 2013-2019</v>
      </c>
      <c r="P14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Diego de Almagro para el Periodo 2013-2019 de acuerdo a datos provenientes del Poder Judicial de Chile.</v>
      </c>
      <c r="Q149" s="14" t="str">
        <f t="shared" si="25"/>
        <v>Gráfico de Evolución</v>
      </c>
      <c r="R149" s="77" t="s">
        <v>6049</v>
      </c>
      <c r="S149" s="15" t="s">
        <v>6526</v>
      </c>
      <c r="T149" s="65" t="s">
        <v>5914</v>
      </c>
      <c r="U149" s="24" t="s">
        <v>397</v>
      </c>
      <c r="V149" s="19" t="str">
        <f>+Ingresos_Historicos[[#This Row],[idcoleccion]]&amp;"-"&amp;Ingresos_Historicos[[#This Row],[id]]</f>
        <v>300-0139</v>
      </c>
      <c r="W149" s="19" t="e">
        <f>+VLOOKUP(Ingresos_Historicos[[#This Row],[Filtro URL]],Estructura!$X$4:$Y$366,2,0)</f>
        <v>#N/A</v>
      </c>
      <c r="X149" s="19" t="str">
        <f>+VLOOKUP(Ingresos_Historicos[[#This Row],[tema]],Estructura!$A$4:$C$18,3,0)</f>
        <v>T-306</v>
      </c>
      <c r="Y149" s="19" t="str">
        <f>+VLOOKUP(Ingresos_Historicos[[#This Row],[contenido]],Estructura!$E$4:$G$18,3,0)</f>
        <v>C-301</v>
      </c>
      <c r="Z149" s="19" t="str">
        <f>+VLOOKUP(Ingresos_Historicos[[#This Row],[Filtro Integrado]],Estructura!$M$4:$O$367,3,0)</f>
        <v>FI-303</v>
      </c>
      <c r="AA149" s="19" t="str">
        <f>+VLOOKUP(Ingresos_Historicos[[#This Row],[Muestra]],Estructura!$Q$4:$S$194,3,0)</f>
        <v>M-306</v>
      </c>
    </row>
    <row r="150" spans="1:27" ht="40.799999999999997" x14ac:dyDescent="0.3">
      <c r="A150" s="71" t="s">
        <v>536</v>
      </c>
      <c r="B150" s="12">
        <f t="shared" si="30"/>
        <v>300</v>
      </c>
      <c r="C150" s="13" t="str">
        <f t="shared" si="30"/>
        <v>Violencia contra la mujer</v>
      </c>
      <c r="D150" s="13" t="str">
        <f t="shared" si="30"/>
        <v>Mujeres</v>
      </c>
      <c r="E150" s="39">
        <v>39</v>
      </c>
      <c r="F150" s="13" t="str">
        <f t="shared" si="32"/>
        <v>Sentencias por delito de abuso sexual</v>
      </c>
      <c r="G150" s="55" t="str">
        <f t="shared" si="32"/>
        <v>Abuso Sexual</v>
      </c>
      <c r="H150" s="38" t="s">
        <v>17</v>
      </c>
      <c r="I150" s="37" t="s">
        <v>167</v>
      </c>
      <c r="J150" s="12" t="s">
        <v>398</v>
      </c>
      <c r="K150" s="12" t="str">
        <f t="shared" si="31"/>
        <v>Sentencias Dictadas por Delitos de Abuso Sexual</v>
      </c>
      <c r="L150" s="12" t="str">
        <f t="shared" si="31"/>
        <v>Periodo 2013-2019</v>
      </c>
      <c r="M150" s="12" t="str">
        <f t="shared" si="31"/>
        <v>Número de sentencias</v>
      </c>
      <c r="N150" s="33" t="s">
        <v>5964</v>
      </c>
      <c r="O150" s="27" t="str">
        <f>"Sentencias Dictadas por Delitos de Abuso Sexual en el  Juzgado de Garantía de "&amp;[1]!Ingresos_Historicos[[#This Row],[territorio]]&amp;" para el Periodo 2013-2019"</f>
        <v>Sentencias Dictadas por Delitos de Abuso Sexual en el  Juzgado de Garantía de Vallenar para el Periodo 2013-2019</v>
      </c>
      <c r="P15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Vallenar para el Periodo 2013-2019 de acuerdo a datos provenientes del Poder Judicial de Chile.</v>
      </c>
      <c r="Q150" s="14" t="str">
        <f t="shared" si="25"/>
        <v>Gráfico de Evolución</v>
      </c>
      <c r="R150" s="77" t="s">
        <v>6050</v>
      </c>
      <c r="S150" s="15" t="s">
        <v>6527</v>
      </c>
      <c r="T150" s="65" t="s">
        <v>5914</v>
      </c>
      <c r="U150" s="24" t="s">
        <v>397</v>
      </c>
      <c r="V150" s="19" t="str">
        <f>+Ingresos_Historicos[[#This Row],[idcoleccion]]&amp;"-"&amp;Ingresos_Historicos[[#This Row],[id]]</f>
        <v>300-0140</v>
      </c>
      <c r="W150" s="19" t="e">
        <f>+VLOOKUP(Ingresos_Historicos[[#This Row],[Filtro URL]],Estructura!$X$4:$Y$366,2,0)</f>
        <v>#N/A</v>
      </c>
      <c r="X150" s="19" t="str">
        <f>+VLOOKUP(Ingresos_Historicos[[#This Row],[tema]],Estructura!$A$4:$C$18,3,0)</f>
        <v>T-306</v>
      </c>
      <c r="Y150" s="19" t="str">
        <f>+VLOOKUP(Ingresos_Historicos[[#This Row],[contenido]],Estructura!$E$4:$G$18,3,0)</f>
        <v>C-301</v>
      </c>
      <c r="Z150" s="19" t="str">
        <f>+VLOOKUP(Ingresos_Historicos[[#This Row],[Filtro Integrado]],Estructura!$M$4:$O$367,3,0)</f>
        <v>FI-303</v>
      </c>
      <c r="AA150" s="19" t="str">
        <f>+VLOOKUP(Ingresos_Historicos[[#This Row],[Muestra]],Estructura!$Q$4:$S$194,3,0)</f>
        <v>M-306</v>
      </c>
    </row>
    <row r="151" spans="1:27" ht="40.799999999999997" x14ac:dyDescent="0.3">
      <c r="A151" s="71" t="s">
        <v>537</v>
      </c>
      <c r="B151" s="12">
        <f t="shared" si="30"/>
        <v>300</v>
      </c>
      <c r="C151" s="13" t="str">
        <f t="shared" si="30"/>
        <v>Violencia contra la mujer</v>
      </c>
      <c r="D151" s="13" t="str">
        <f t="shared" si="30"/>
        <v>Mujeres</v>
      </c>
      <c r="E151" s="39">
        <v>40</v>
      </c>
      <c r="F151" s="13" t="str">
        <f t="shared" si="32"/>
        <v>Sentencias por delito de abuso sexual</v>
      </c>
      <c r="G151" s="55" t="str">
        <f t="shared" si="32"/>
        <v>Abuso Sexual</v>
      </c>
      <c r="H151" s="38" t="s">
        <v>17</v>
      </c>
      <c r="I151" s="37" t="s">
        <v>6051</v>
      </c>
      <c r="J151" s="12" t="s">
        <v>398</v>
      </c>
      <c r="K151" s="12" t="str">
        <f t="shared" si="31"/>
        <v>Sentencias Dictadas por Delitos de Abuso Sexual</v>
      </c>
      <c r="L151" s="12" t="str">
        <f t="shared" si="31"/>
        <v>Periodo 2013-2019</v>
      </c>
      <c r="M151" s="12" t="str">
        <f t="shared" si="31"/>
        <v>Número de sentencias</v>
      </c>
      <c r="N151" s="33" t="s">
        <v>5964</v>
      </c>
      <c r="O151" s="27" t="str">
        <f>"Sentencias Dictadas por Delitos de Abuso Sexual en el  Juzgado de Garantía de "&amp;[1]!Ingresos_Historicos[[#This Row],[territorio]]&amp;" para el Periodo 2013-2019"</f>
        <v>Sentencias Dictadas por Delitos de Abuso Sexual en el  Juzgado de Garantía de Coquimbo para el Periodo 2013-2019</v>
      </c>
      <c r="P15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Coquimbo para el Periodo 2013-2019 de acuerdo a datos provenientes del Poder Judicial de Chile.</v>
      </c>
      <c r="Q151" s="14" t="str">
        <f t="shared" si="25"/>
        <v>Gráfico de Evolución</v>
      </c>
      <c r="R151" s="77" t="s">
        <v>6052</v>
      </c>
      <c r="S151" s="15" t="s">
        <v>6528</v>
      </c>
      <c r="T151" s="65" t="s">
        <v>5914</v>
      </c>
      <c r="U151" s="24" t="s">
        <v>397</v>
      </c>
      <c r="V151" s="19" t="str">
        <f>+Ingresos_Historicos[[#This Row],[idcoleccion]]&amp;"-"&amp;Ingresos_Historicos[[#This Row],[id]]</f>
        <v>300-0141</v>
      </c>
      <c r="W151" s="19" t="e">
        <f>+VLOOKUP(Ingresos_Historicos[[#This Row],[Filtro URL]],Estructura!$X$4:$Y$366,2,0)</f>
        <v>#N/A</v>
      </c>
      <c r="X151" s="19" t="str">
        <f>+VLOOKUP(Ingresos_Historicos[[#This Row],[tema]],Estructura!$A$4:$C$18,3,0)</f>
        <v>T-306</v>
      </c>
      <c r="Y151" s="19" t="str">
        <f>+VLOOKUP(Ingresos_Historicos[[#This Row],[contenido]],Estructura!$E$4:$G$18,3,0)</f>
        <v>C-301</v>
      </c>
      <c r="Z151" s="19" t="str">
        <f>+VLOOKUP(Ingresos_Historicos[[#This Row],[Filtro Integrado]],Estructura!$M$4:$O$367,3,0)</f>
        <v>FI-303</v>
      </c>
      <c r="AA151" s="19" t="str">
        <f>+VLOOKUP(Ingresos_Historicos[[#This Row],[Muestra]],Estructura!$Q$4:$S$194,3,0)</f>
        <v>M-306</v>
      </c>
    </row>
    <row r="152" spans="1:27" ht="40.799999999999997" x14ac:dyDescent="0.3">
      <c r="A152" s="71" t="s">
        <v>538</v>
      </c>
      <c r="B152" s="12">
        <f t="shared" si="30"/>
        <v>300</v>
      </c>
      <c r="C152" s="13" t="str">
        <f t="shared" si="30"/>
        <v>Violencia contra la mujer</v>
      </c>
      <c r="D152" s="13" t="str">
        <f t="shared" si="30"/>
        <v>Mujeres</v>
      </c>
      <c r="E152" s="39">
        <v>41</v>
      </c>
      <c r="F152" s="13" t="str">
        <f t="shared" si="32"/>
        <v>Sentencias por delito de abuso sexual</v>
      </c>
      <c r="G152" s="55" t="str">
        <f t="shared" si="32"/>
        <v>Abuso Sexual</v>
      </c>
      <c r="H152" s="38" t="s">
        <v>17</v>
      </c>
      <c r="I152" s="37" t="s">
        <v>166</v>
      </c>
      <c r="J152" s="12" t="s">
        <v>398</v>
      </c>
      <c r="K152" s="12" t="str">
        <f t="shared" si="31"/>
        <v>Sentencias Dictadas por Delitos de Abuso Sexual</v>
      </c>
      <c r="L152" s="12" t="str">
        <f t="shared" si="31"/>
        <v>Periodo 2013-2019</v>
      </c>
      <c r="M152" s="12" t="str">
        <f t="shared" si="31"/>
        <v>Número de sentencias</v>
      </c>
      <c r="N152" s="33" t="s">
        <v>5964</v>
      </c>
      <c r="O152" s="27" t="str">
        <f>"Sentencias Dictadas por Delitos de Abuso Sexual en el  Juzgado de Garantía de "&amp;[1]!Ingresos_Historicos[[#This Row],[territorio]]&amp;" para el Periodo 2013-2019"</f>
        <v>Sentencias Dictadas por Delitos de Abuso Sexual en el  Juzgado de Garantía de Illapel para el Periodo 2013-2019</v>
      </c>
      <c r="P15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Illapel para el Periodo 2013-2019 de acuerdo a datos provenientes del Poder Judicial de Chile.</v>
      </c>
      <c r="Q152" s="14" t="str">
        <f t="shared" si="25"/>
        <v>Gráfico de Evolución</v>
      </c>
      <c r="R152" s="77" t="s">
        <v>6053</v>
      </c>
      <c r="S152" s="15" t="s">
        <v>6529</v>
      </c>
      <c r="T152" s="65" t="s">
        <v>5914</v>
      </c>
      <c r="U152" s="24" t="s">
        <v>397</v>
      </c>
      <c r="V152" s="19" t="str">
        <f>+Ingresos_Historicos[[#This Row],[idcoleccion]]&amp;"-"&amp;Ingresos_Historicos[[#This Row],[id]]</f>
        <v>300-0142</v>
      </c>
      <c r="W152" s="19" t="e">
        <f>+VLOOKUP(Ingresos_Historicos[[#This Row],[Filtro URL]],Estructura!$X$4:$Y$366,2,0)</f>
        <v>#N/A</v>
      </c>
      <c r="X152" s="19" t="str">
        <f>+VLOOKUP(Ingresos_Historicos[[#This Row],[tema]],Estructura!$A$4:$C$18,3,0)</f>
        <v>T-306</v>
      </c>
      <c r="Y152" s="19" t="str">
        <f>+VLOOKUP(Ingresos_Historicos[[#This Row],[contenido]],Estructura!$E$4:$G$18,3,0)</f>
        <v>C-301</v>
      </c>
      <c r="Z152" s="19" t="str">
        <f>+VLOOKUP(Ingresos_Historicos[[#This Row],[Filtro Integrado]],Estructura!$M$4:$O$367,3,0)</f>
        <v>FI-303</v>
      </c>
      <c r="AA152" s="19" t="str">
        <f>+VLOOKUP(Ingresos_Historicos[[#This Row],[Muestra]],Estructura!$Q$4:$S$194,3,0)</f>
        <v>M-306</v>
      </c>
    </row>
    <row r="153" spans="1:27" ht="40.799999999999997" x14ac:dyDescent="0.3">
      <c r="A153" s="71" t="s">
        <v>539</v>
      </c>
      <c r="B153" s="12">
        <f t="shared" si="30"/>
        <v>300</v>
      </c>
      <c r="C153" s="13" t="str">
        <f t="shared" si="30"/>
        <v>Violencia contra la mujer</v>
      </c>
      <c r="D153" s="13" t="str">
        <f t="shared" si="30"/>
        <v>Mujeres</v>
      </c>
      <c r="E153" s="39">
        <v>42</v>
      </c>
      <c r="F153" s="13" t="str">
        <f t="shared" si="32"/>
        <v>Sentencias por delito de abuso sexual</v>
      </c>
      <c r="G153" s="55" t="str">
        <f t="shared" si="32"/>
        <v>Abuso Sexual</v>
      </c>
      <c r="H153" s="38" t="s">
        <v>17</v>
      </c>
      <c r="I153" s="37" t="s">
        <v>184</v>
      </c>
      <c r="J153" s="12" t="s">
        <v>398</v>
      </c>
      <c r="K153" s="12" t="str">
        <f t="shared" si="31"/>
        <v>Sentencias Dictadas por Delitos de Abuso Sexual</v>
      </c>
      <c r="L153" s="12" t="str">
        <f t="shared" si="31"/>
        <v>Periodo 2013-2019</v>
      </c>
      <c r="M153" s="12" t="str">
        <f t="shared" si="31"/>
        <v>Número de sentencias</v>
      </c>
      <c r="N153" s="33" t="s">
        <v>5964</v>
      </c>
      <c r="O153" s="27" t="str">
        <f>"Sentencias Dictadas por Delitos de Abuso Sexual en el  Juzgado de Garantía de "&amp;[1]!Ingresos_Historicos[[#This Row],[territorio]]&amp;" para el Periodo 2013-2019"</f>
        <v>Sentencias Dictadas por Delitos de Abuso Sexual en el  Juzgado de Garantía de La Serena para el Periodo 2013-2019</v>
      </c>
      <c r="P15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La Serena para el Periodo 2013-2019 de acuerdo a datos provenientes del Poder Judicial de Chile.</v>
      </c>
      <c r="Q153" s="14" t="str">
        <f t="shared" si="25"/>
        <v>Gráfico de Evolución</v>
      </c>
      <c r="R153" s="77" t="s">
        <v>6054</v>
      </c>
      <c r="S153" s="15" t="s">
        <v>6530</v>
      </c>
      <c r="T153" s="65" t="s">
        <v>5914</v>
      </c>
      <c r="U153" s="24" t="s">
        <v>397</v>
      </c>
      <c r="V153" s="19" t="str">
        <f>+Ingresos_Historicos[[#This Row],[idcoleccion]]&amp;"-"&amp;Ingresos_Historicos[[#This Row],[id]]</f>
        <v>300-0143</v>
      </c>
      <c r="W153" s="19" t="e">
        <f>+VLOOKUP(Ingresos_Historicos[[#This Row],[Filtro URL]],Estructura!$X$4:$Y$366,2,0)</f>
        <v>#N/A</v>
      </c>
      <c r="X153" s="19" t="str">
        <f>+VLOOKUP(Ingresos_Historicos[[#This Row],[tema]],Estructura!$A$4:$C$18,3,0)</f>
        <v>T-306</v>
      </c>
      <c r="Y153" s="19" t="str">
        <f>+VLOOKUP(Ingresos_Historicos[[#This Row],[contenido]],Estructura!$E$4:$G$18,3,0)</f>
        <v>C-301</v>
      </c>
      <c r="Z153" s="19" t="str">
        <f>+VLOOKUP(Ingresos_Historicos[[#This Row],[Filtro Integrado]],Estructura!$M$4:$O$367,3,0)</f>
        <v>FI-303</v>
      </c>
      <c r="AA153" s="19" t="str">
        <f>+VLOOKUP(Ingresos_Historicos[[#This Row],[Muestra]],Estructura!$Q$4:$S$194,3,0)</f>
        <v>M-306</v>
      </c>
    </row>
    <row r="154" spans="1:27" ht="40.799999999999997" x14ac:dyDescent="0.3">
      <c r="A154" s="71" t="s">
        <v>540</v>
      </c>
      <c r="B154" s="12">
        <f t="shared" si="30"/>
        <v>300</v>
      </c>
      <c r="C154" s="13" t="str">
        <f t="shared" si="30"/>
        <v>Violencia contra la mujer</v>
      </c>
      <c r="D154" s="13" t="str">
        <f t="shared" si="30"/>
        <v>Mujeres</v>
      </c>
      <c r="E154" s="39">
        <v>43</v>
      </c>
      <c r="F154" s="13" t="str">
        <f t="shared" si="32"/>
        <v>Sentencias por delito de abuso sexual</v>
      </c>
      <c r="G154" s="55" t="str">
        <f t="shared" si="32"/>
        <v>Abuso Sexual</v>
      </c>
      <c r="H154" s="38" t="s">
        <v>17</v>
      </c>
      <c r="I154" s="37" t="s">
        <v>174</v>
      </c>
      <c r="J154" s="12" t="s">
        <v>398</v>
      </c>
      <c r="K154" s="12" t="str">
        <f t="shared" si="31"/>
        <v>Sentencias Dictadas por Delitos de Abuso Sexual</v>
      </c>
      <c r="L154" s="12" t="str">
        <f t="shared" si="31"/>
        <v>Periodo 2013-2019</v>
      </c>
      <c r="M154" s="12" t="str">
        <f t="shared" si="31"/>
        <v>Número de sentencias</v>
      </c>
      <c r="N154" s="33" t="s">
        <v>5964</v>
      </c>
      <c r="O154" s="27" t="str">
        <f>"Sentencias Dictadas por Delitos de Abuso Sexual en el  Juzgado de Garantía de "&amp;[1]!Ingresos_Historicos[[#This Row],[territorio]]&amp;" para el Periodo 2013-2019"</f>
        <v>Sentencias Dictadas por Delitos de Abuso Sexual en el  Juzgado de Garantía de Ovalle para el Periodo 2013-2019</v>
      </c>
      <c r="P154"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Ovalle para el Periodo 2013-2019 de acuerdo a datos provenientes del Poder Judicial de Chile.</v>
      </c>
      <c r="Q154" s="14" t="str">
        <f t="shared" si="25"/>
        <v>Gráfico de Evolución</v>
      </c>
      <c r="R154" s="77" t="s">
        <v>6055</v>
      </c>
      <c r="S154" s="15" t="s">
        <v>6531</v>
      </c>
      <c r="T154" s="65" t="s">
        <v>5914</v>
      </c>
      <c r="U154" s="24" t="s">
        <v>397</v>
      </c>
      <c r="V154" s="19" t="str">
        <f>+Ingresos_Historicos[[#This Row],[idcoleccion]]&amp;"-"&amp;Ingresos_Historicos[[#This Row],[id]]</f>
        <v>300-0144</v>
      </c>
      <c r="W154" s="19" t="e">
        <f>+VLOOKUP(Ingresos_Historicos[[#This Row],[Filtro URL]],Estructura!$X$4:$Y$366,2,0)</f>
        <v>#N/A</v>
      </c>
      <c r="X154" s="19" t="str">
        <f>+VLOOKUP(Ingresos_Historicos[[#This Row],[tema]],Estructura!$A$4:$C$18,3,0)</f>
        <v>T-306</v>
      </c>
      <c r="Y154" s="19" t="str">
        <f>+VLOOKUP(Ingresos_Historicos[[#This Row],[contenido]],Estructura!$E$4:$G$18,3,0)</f>
        <v>C-301</v>
      </c>
      <c r="Z154" s="19" t="str">
        <f>+VLOOKUP(Ingresos_Historicos[[#This Row],[Filtro Integrado]],Estructura!$M$4:$O$367,3,0)</f>
        <v>FI-303</v>
      </c>
      <c r="AA154" s="19" t="str">
        <f>+VLOOKUP(Ingresos_Historicos[[#This Row],[Muestra]],Estructura!$Q$4:$S$194,3,0)</f>
        <v>M-306</v>
      </c>
    </row>
    <row r="155" spans="1:27" ht="40.799999999999997" x14ac:dyDescent="0.3">
      <c r="A155" s="71" t="s">
        <v>541</v>
      </c>
      <c r="B155" s="12">
        <f t="shared" si="30"/>
        <v>300</v>
      </c>
      <c r="C155" s="13" t="str">
        <f t="shared" si="30"/>
        <v>Violencia contra la mujer</v>
      </c>
      <c r="D155" s="13" t="str">
        <f t="shared" si="30"/>
        <v>Mujeres</v>
      </c>
      <c r="E155" s="39">
        <v>44</v>
      </c>
      <c r="F155" s="13" t="str">
        <f t="shared" si="32"/>
        <v>Sentencias por delito de abuso sexual</v>
      </c>
      <c r="G155" s="55" t="str">
        <f t="shared" si="32"/>
        <v>Abuso Sexual</v>
      </c>
      <c r="H155" s="38" t="s">
        <v>17</v>
      </c>
      <c r="I155" s="37" t="s">
        <v>6056</v>
      </c>
      <c r="J155" s="12" t="s">
        <v>398</v>
      </c>
      <c r="K155" s="12" t="str">
        <f t="shared" si="31"/>
        <v>Sentencias Dictadas por Delitos de Abuso Sexual</v>
      </c>
      <c r="L155" s="12" t="str">
        <f t="shared" si="31"/>
        <v>Periodo 2013-2019</v>
      </c>
      <c r="M155" s="12" t="str">
        <f t="shared" si="31"/>
        <v>Número de sentencias</v>
      </c>
      <c r="N155" s="33" t="s">
        <v>5964</v>
      </c>
      <c r="O155" s="27" t="str">
        <f>"Sentencias Dictadas por Delitos de Abuso Sexual en el  Juzgado de Garantía de "&amp;[1]!Ingresos_Historicos[[#This Row],[territorio]]&amp;" para el Periodo 2013-2019"</f>
        <v>Sentencias Dictadas por Delitos de Abuso Sexual en el  Juzgado de Garantía de Vicuña para el Periodo 2013-2019</v>
      </c>
      <c r="P155"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Vicuña para el Periodo 2013-2019 de acuerdo a datos provenientes del Poder Judicial de Chile.</v>
      </c>
      <c r="Q155" s="14" t="str">
        <f t="shared" si="25"/>
        <v>Gráfico de Evolución</v>
      </c>
      <c r="R155" s="77" t="s">
        <v>6057</v>
      </c>
      <c r="S155" s="15" t="s">
        <v>6532</v>
      </c>
      <c r="T155" s="65" t="s">
        <v>5914</v>
      </c>
      <c r="U155" s="24" t="s">
        <v>397</v>
      </c>
      <c r="V155" s="19" t="str">
        <f>+Ingresos_Historicos[[#This Row],[idcoleccion]]&amp;"-"&amp;Ingresos_Historicos[[#This Row],[id]]</f>
        <v>300-0145</v>
      </c>
      <c r="W155" s="19" t="e">
        <f>+VLOOKUP(Ingresos_Historicos[[#This Row],[Filtro URL]],Estructura!$X$4:$Y$366,2,0)</f>
        <v>#N/A</v>
      </c>
      <c r="X155" s="19" t="str">
        <f>+VLOOKUP(Ingresos_Historicos[[#This Row],[tema]],Estructura!$A$4:$C$18,3,0)</f>
        <v>T-306</v>
      </c>
      <c r="Y155" s="19" t="str">
        <f>+VLOOKUP(Ingresos_Historicos[[#This Row],[contenido]],Estructura!$E$4:$G$18,3,0)</f>
        <v>C-301</v>
      </c>
      <c r="Z155" s="19" t="str">
        <f>+VLOOKUP(Ingresos_Historicos[[#This Row],[Filtro Integrado]],Estructura!$M$4:$O$367,3,0)</f>
        <v>FI-303</v>
      </c>
      <c r="AA155" s="19" t="str">
        <f>+VLOOKUP(Ingresos_Historicos[[#This Row],[Muestra]],Estructura!$Q$4:$S$194,3,0)</f>
        <v>M-306</v>
      </c>
    </row>
    <row r="156" spans="1:27" ht="40.799999999999997" x14ac:dyDescent="0.3">
      <c r="A156" s="71" t="s">
        <v>542</v>
      </c>
      <c r="B156" s="12">
        <f t="shared" si="30"/>
        <v>300</v>
      </c>
      <c r="C156" s="13" t="str">
        <f t="shared" si="30"/>
        <v>Violencia contra la mujer</v>
      </c>
      <c r="D156" s="13" t="str">
        <f t="shared" si="30"/>
        <v>Mujeres</v>
      </c>
      <c r="E156" s="39">
        <v>45</v>
      </c>
      <c r="F156" s="13" t="str">
        <f t="shared" si="32"/>
        <v>Sentencias por delito de abuso sexual</v>
      </c>
      <c r="G156" s="55" t="str">
        <f t="shared" si="32"/>
        <v>Abuso Sexual</v>
      </c>
      <c r="H156" s="38" t="s">
        <v>17</v>
      </c>
      <c r="I156" s="37" t="s">
        <v>240</v>
      </c>
      <c r="J156" s="12" t="s">
        <v>398</v>
      </c>
      <c r="K156" s="12" t="str">
        <f t="shared" si="31"/>
        <v>Sentencias Dictadas por Delitos de Abuso Sexual</v>
      </c>
      <c r="L156" s="12" t="str">
        <f t="shared" si="31"/>
        <v>Periodo 2013-2019</v>
      </c>
      <c r="M156" s="12" t="str">
        <f t="shared" si="31"/>
        <v>Número de sentencias</v>
      </c>
      <c r="N156" s="33" t="s">
        <v>5964</v>
      </c>
      <c r="O156" s="27" t="str">
        <f>"Sentencias Dictadas por Delitos de Abuso Sexual en el  Juzgado de Garantía de "&amp;[1]!Ingresos_Historicos[[#This Row],[territorio]]&amp;" para el Periodo 2013-2019"</f>
        <v>Sentencias Dictadas por Delitos de Abuso Sexual en el  Juzgado de Garantía de Calera para el Periodo 2013-2019</v>
      </c>
      <c r="P156"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Calera para el Periodo 2013-2019 de acuerdo a datos provenientes del Poder Judicial de Chile.</v>
      </c>
      <c r="Q156" s="14" t="str">
        <f t="shared" si="25"/>
        <v>Gráfico de Evolución</v>
      </c>
      <c r="R156" s="77" t="s">
        <v>6058</v>
      </c>
      <c r="S156" s="15" t="s">
        <v>6533</v>
      </c>
      <c r="T156" s="65" t="s">
        <v>5915</v>
      </c>
      <c r="U156" s="24" t="s">
        <v>397</v>
      </c>
      <c r="V156" s="19" t="str">
        <f>+Ingresos_Historicos[[#This Row],[idcoleccion]]&amp;"-"&amp;Ingresos_Historicos[[#This Row],[id]]</f>
        <v>300-0146</v>
      </c>
      <c r="W156" s="19" t="e">
        <f>+VLOOKUP(Ingresos_Historicos[[#This Row],[Filtro URL]],Estructura!$X$4:$Y$366,2,0)</f>
        <v>#N/A</v>
      </c>
      <c r="X156" s="19" t="str">
        <f>+VLOOKUP(Ingresos_Historicos[[#This Row],[tema]],Estructura!$A$4:$C$18,3,0)</f>
        <v>T-306</v>
      </c>
      <c r="Y156" s="19" t="str">
        <f>+VLOOKUP(Ingresos_Historicos[[#This Row],[contenido]],Estructura!$E$4:$G$18,3,0)</f>
        <v>C-301</v>
      </c>
      <c r="Z156" s="19" t="str">
        <f>+VLOOKUP(Ingresos_Historicos[[#This Row],[Filtro Integrado]],Estructura!$M$4:$O$367,3,0)</f>
        <v>FI-303</v>
      </c>
      <c r="AA156" s="19" t="str">
        <f>+VLOOKUP(Ingresos_Historicos[[#This Row],[Muestra]],Estructura!$Q$4:$S$194,3,0)</f>
        <v>M-306</v>
      </c>
    </row>
    <row r="157" spans="1:27" ht="40.799999999999997" x14ac:dyDescent="0.3">
      <c r="A157" s="71" t="s">
        <v>543</v>
      </c>
      <c r="B157" s="12">
        <f t="shared" si="30"/>
        <v>300</v>
      </c>
      <c r="C157" s="13" t="str">
        <f t="shared" si="30"/>
        <v>Violencia contra la mujer</v>
      </c>
      <c r="D157" s="13" t="str">
        <f t="shared" si="30"/>
        <v>Mujeres</v>
      </c>
      <c r="E157" s="39">
        <v>46</v>
      </c>
      <c r="F157" s="13" t="str">
        <f t="shared" si="32"/>
        <v>Sentencias por delito de abuso sexual</v>
      </c>
      <c r="G157" s="55" t="str">
        <f t="shared" si="32"/>
        <v>Abuso Sexual</v>
      </c>
      <c r="H157" s="38" t="s">
        <v>17</v>
      </c>
      <c r="I157" s="37" t="s">
        <v>226</v>
      </c>
      <c r="J157" s="12" t="s">
        <v>398</v>
      </c>
      <c r="K157" s="12" t="str">
        <f t="shared" si="31"/>
        <v>Sentencias Dictadas por Delitos de Abuso Sexual</v>
      </c>
      <c r="L157" s="12" t="str">
        <f t="shared" si="31"/>
        <v>Periodo 2013-2019</v>
      </c>
      <c r="M157" s="12" t="str">
        <f t="shared" si="31"/>
        <v>Número de sentencias</v>
      </c>
      <c r="N157" s="33" t="s">
        <v>5964</v>
      </c>
      <c r="O157" s="27" t="str">
        <f>"Sentencias Dictadas por Delitos de Abuso Sexual en el  Juzgado de Garantía de "&amp;[1]!Ingresos_Historicos[[#This Row],[territorio]]&amp;" para el Periodo 2013-2019"</f>
        <v>Sentencias Dictadas por Delitos de Abuso Sexual en el  Juzgado de Garantía de La Ligua para el Periodo 2013-2019</v>
      </c>
      <c r="P15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La Ligua para el Periodo 2013-2019 de acuerdo a datos provenientes del Poder Judicial de Chile.</v>
      </c>
      <c r="Q157" s="14" t="str">
        <f t="shared" si="25"/>
        <v>Gráfico de Evolución</v>
      </c>
      <c r="R157" s="77" t="s">
        <v>6059</v>
      </c>
      <c r="S157" s="15" t="s">
        <v>6534</v>
      </c>
      <c r="T157" s="65" t="s">
        <v>5915</v>
      </c>
      <c r="U157" s="24" t="s">
        <v>397</v>
      </c>
      <c r="V157" s="19" t="str">
        <f>+Ingresos_Historicos[[#This Row],[idcoleccion]]&amp;"-"&amp;Ingresos_Historicos[[#This Row],[id]]</f>
        <v>300-0147</v>
      </c>
      <c r="W157" s="19" t="e">
        <f>+VLOOKUP(Ingresos_Historicos[[#This Row],[Filtro URL]],Estructura!$X$4:$Y$366,2,0)</f>
        <v>#N/A</v>
      </c>
      <c r="X157" s="19" t="str">
        <f>+VLOOKUP(Ingresos_Historicos[[#This Row],[tema]],Estructura!$A$4:$C$18,3,0)</f>
        <v>T-306</v>
      </c>
      <c r="Y157" s="19" t="str">
        <f>+VLOOKUP(Ingresos_Historicos[[#This Row],[contenido]],Estructura!$E$4:$G$18,3,0)</f>
        <v>C-301</v>
      </c>
      <c r="Z157" s="19" t="str">
        <f>+VLOOKUP(Ingresos_Historicos[[#This Row],[Filtro Integrado]],Estructura!$M$4:$O$367,3,0)</f>
        <v>FI-303</v>
      </c>
      <c r="AA157" s="19" t="str">
        <f>+VLOOKUP(Ingresos_Historicos[[#This Row],[Muestra]],Estructura!$Q$4:$S$194,3,0)</f>
        <v>M-306</v>
      </c>
    </row>
    <row r="158" spans="1:27" ht="40.799999999999997" x14ac:dyDescent="0.3">
      <c r="A158" s="71" t="s">
        <v>544</v>
      </c>
      <c r="B158" s="12">
        <f t="shared" si="30"/>
        <v>300</v>
      </c>
      <c r="C158" s="13" t="str">
        <f t="shared" si="30"/>
        <v>Violencia contra la mujer</v>
      </c>
      <c r="D158" s="13" t="str">
        <f t="shared" si="30"/>
        <v>Mujeres</v>
      </c>
      <c r="E158" s="39">
        <v>47</v>
      </c>
      <c r="F158" s="13" t="str">
        <f t="shared" si="32"/>
        <v>Sentencias por delito de abuso sexual</v>
      </c>
      <c r="G158" s="55" t="str">
        <f t="shared" si="32"/>
        <v>Abuso Sexual</v>
      </c>
      <c r="H158" s="38" t="s">
        <v>17</v>
      </c>
      <c r="I158" s="37" t="s">
        <v>227</v>
      </c>
      <c r="J158" s="12" t="s">
        <v>398</v>
      </c>
      <c r="K158" s="12" t="str">
        <f t="shared" si="31"/>
        <v>Sentencias Dictadas por Delitos de Abuso Sexual</v>
      </c>
      <c r="L158" s="12" t="str">
        <f t="shared" si="31"/>
        <v>Periodo 2013-2019</v>
      </c>
      <c r="M158" s="12" t="str">
        <f t="shared" si="31"/>
        <v>Número de sentencias</v>
      </c>
      <c r="N158" s="33" t="s">
        <v>5964</v>
      </c>
      <c r="O158" s="27" t="str">
        <f>"Sentencias Dictadas por Delitos de Abuso Sexual en el  Juzgado de Garantía de "&amp;[1]!Ingresos_Historicos[[#This Row],[territorio]]&amp;" para el Periodo 2013-2019"</f>
        <v>Sentencias Dictadas por Delitos de Abuso Sexual en el  Juzgado de Garantía de Limache para el Periodo 2013-2019</v>
      </c>
      <c r="P15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Limache para el Periodo 2013-2019 de acuerdo a datos provenientes del Poder Judicial de Chile.</v>
      </c>
      <c r="Q158" s="14" t="str">
        <f t="shared" si="25"/>
        <v>Gráfico de Evolución</v>
      </c>
      <c r="R158" s="77" t="s">
        <v>6060</v>
      </c>
      <c r="S158" s="15" t="s">
        <v>6535</v>
      </c>
      <c r="T158" s="65" t="s">
        <v>5915</v>
      </c>
      <c r="U158" s="24" t="s">
        <v>397</v>
      </c>
      <c r="V158" s="19" t="str">
        <f>+Ingresos_Historicos[[#This Row],[idcoleccion]]&amp;"-"&amp;Ingresos_Historicos[[#This Row],[id]]</f>
        <v>300-0148</v>
      </c>
      <c r="W158" s="19" t="e">
        <f>+VLOOKUP(Ingresos_Historicos[[#This Row],[Filtro URL]],Estructura!$X$4:$Y$366,2,0)</f>
        <v>#N/A</v>
      </c>
      <c r="X158" s="19" t="str">
        <f>+VLOOKUP(Ingresos_Historicos[[#This Row],[tema]],Estructura!$A$4:$C$18,3,0)</f>
        <v>T-306</v>
      </c>
      <c r="Y158" s="19" t="str">
        <f>+VLOOKUP(Ingresos_Historicos[[#This Row],[contenido]],Estructura!$E$4:$G$18,3,0)</f>
        <v>C-301</v>
      </c>
      <c r="Z158" s="19" t="str">
        <f>+VLOOKUP(Ingresos_Historicos[[#This Row],[Filtro Integrado]],Estructura!$M$4:$O$367,3,0)</f>
        <v>FI-303</v>
      </c>
      <c r="AA158" s="19" t="str">
        <f>+VLOOKUP(Ingresos_Historicos[[#This Row],[Muestra]],Estructura!$Q$4:$S$194,3,0)</f>
        <v>M-306</v>
      </c>
    </row>
    <row r="159" spans="1:27" ht="40.799999999999997" x14ac:dyDescent="0.3">
      <c r="A159" s="71" t="s">
        <v>545</v>
      </c>
      <c r="B159" s="12">
        <f t="shared" ref="B159:D174" si="33">+B158</f>
        <v>300</v>
      </c>
      <c r="C159" s="13" t="str">
        <f t="shared" si="33"/>
        <v>Violencia contra la mujer</v>
      </c>
      <c r="D159" s="13" t="str">
        <f t="shared" si="33"/>
        <v>Mujeres</v>
      </c>
      <c r="E159" s="39">
        <v>48</v>
      </c>
      <c r="F159" s="13" t="str">
        <f t="shared" si="32"/>
        <v>Sentencias por delito de abuso sexual</v>
      </c>
      <c r="G159" s="55" t="str">
        <f t="shared" si="32"/>
        <v>Abuso Sexual</v>
      </c>
      <c r="H159" s="38" t="s">
        <v>17</v>
      </c>
      <c r="I159" s="37" t="s">
        <v>229</v>
      </c>
      <c r="J159" s="12" t="s">
        <v>398</v>
      </c>
      <c r="K159" s="12" t="str">
        <f t="shared" si="31"/>
        <v>Sentencias Dictadas por Delitos de Abuso Sexual</v>
      </c>
      <c r="L159" s="12" t="str">
        <f t="shared" si="31"/>
        <v>Periodo 2013-2019</v>
      </c>
      <c r="M159" s="12" t="str">
        <f t="shared" si="31"/>
        <v>Número de sentencias</v>
      </c>
      <c r="N159" s="33" t="s">
        <v>5964</v>
      </c>
      <c r="O159" s="27" t="str">
        <f>"Sentencias Dictadas por Delitos de Abuso Sexual en el  Juzgado de Garantía de "&amp;[1]!Ingresos_Historicos[[#This Row],[territorio]]&amp;" para el Periodo 2013-2019"</f>
        <v>Sentencias Dictadas por Delitos de Abuso Sexual en el  Juzgado de Garantía de Los Andes para el Periodo 2013-2019</v>
      </c>
      <c r="P15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Los Andes para el Periodo 2013-2019 de acuerdo a datos provenientes del Poder Judicial de Chile.</v>
      </c>
      <c r="Q159" s="14" t="str">
        <f t="shared" si="25"/>
        <v>Gráfico de Evolución</v>
      </c>
      <c r="R159" s="77" t="s">
        <v>6061</v>
      </c>
      <c r="S159" s="15" t="s">
        <v>6536</v>
      </c>
      <c r="T159" s="65" t="s">
        <v>5915</v>
      </c>
      <c r="U159" s="24" t="s">
        <v>397</v>
      </c>
      <c r="V159" s="19" t="str">
        <f>+Ingresos_Historicos[[#This Row],[idcoleccion]]&amp;"-"&amp;Ingresos_Historicos[[#This Row],[id]]</f>
        <v>300-0149</v>
      </c>
      <c r="W159" s="19" t="e">
        <f>+VLOOKUP(Ingresos_Historicos[[#This Row],[Filtro URL]],Estructura!$X$4:$Y$366,2,0)</f>
        <v>#N/A</v>
      </c>
      <c r="X159" s="19" t="str">
        <f>+VLOOKUP(Ingresos_Historicos[[#This Row],[tema]],Estructura!$A$4:$C$18,3,0)</f>
        <v>T-306</v>
      </c>
      <c r="Y159" s="19" t="str">
        <f>+VLOOKUP(Ingresos_Historicos[[#This Row],[contenido]],Estructura!$E$4:$G$18,3,0)</f>
        <v>C-301</v>
      </c>
      <c r="Z159" s="19" t="str">
        <f>+VLOOKUP(Ingresos_Historicos[[#This Row],[Filtro Integrado]],Estructura!$M$4:$O$367,3,0)</f>
        <v>FI-303</v>
      </c>
      <c r="AA159" s="19" t="str">
        <f>+VLOOKUP(Ingresos_Historicos[[#This Row],[Muestra]],Estructura!$Q$4:$S$194,3,0)</f>
        <v>M-306</v>
      </c>
    </row>
    <row r="160" spans="1:27" ht="40.799999999999997" x14ac:dyDescent="0.3">
      <c r="A160" s="71" t="s">
        <v>546</v>
      </c>
      <c r="B160" s="12">
        <f t="shared" si="33"/>
        <v>300</v>
      </c>
      <c r="C160" s="13" t="str">
        <f t="shared" si="33"/>
        <v>Violencia contra la mujer</v>
      </c>
      <c r="D160" s="13" t="str">
        <f t="shared" si="33"/>
        <v>Mujeres</v>
      </c>
      <c r="E160" s="39">
        <v>49</v>
      </c>
      <c r="F160" s="13" t="str">
        <f t="shared" si="32"/>
        <v>Sentencias por delito de abuso sexual</v>
      </c>
      <c r="G160" s="55" t="str">
        <f t="shared" si="32"/>
        <v>Abuso Sexual</v>
      </c>
      <c r="H160" s="38" t="s">
        <v>17</v>
      </c>
      <c r="I160" s="37" t="s">
        <v>6062</v>
      </c>
      <c r="J160" s="12" t="s">
        <v>398</v>
      </c>
      <c r="K160" s="12" t="str">
        <f t="shared" ref="K160:M175" si="34">+K159</f>
        <v>Sentencias Dictadas por Delitos de Abuso Sexual</v>
      </c>
      <c r="L160" s="12" t="str">
        <f t="shared" si="34"/>
        <v>Periodo 2013-2019</v>
      </c>
      <c r="M160" s="12" t="str">
        <f t="shared" si="34"/>
        <v>Número de sentencias</v>
      </c>
      <c r="N160" s="33" t="s">
        <v>5964</v>
      </c>
      <c r="O160" s="27" t="str">
        <f>"Sentencias Dictadas por Delitos de Abuso Sexual en el  Juzgado de Garantía de "&amp;[1]!Ingresos_Historicos[[#This Row],[territorio]]&amp;" para el Periodo 2013-2019"</f>
        <v>Sentencias Dictadas por Delitos de Abuso Sexual en el  Juzgado de Garantía de Quillota para el Periodo 2013-2019</v>
      </c>
      <c r="P16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Quillota para el Periodo 2013-2019 de acuerdo a datos provenientes del Poder Judicial de Chile.</v>
      </c>
      <c r="Q160" s="14" t="str">
        <f t="shared" si="25"/>
        <v>Gráfico de Evolución</v>
      </c>
      <c r="R160" s="77" t="s">
        <v>6063</v>
      </c>
      <c r="S160" s="15" t="s">
        <v>6537</v>
      </c>
      <c r="T160" s="65" t="s">
        <v>5915</v>
      </c>
      <c r="U160" s="24" t="s">
        <v>397</v>
      </c>
      <c r="V160" s="19" t="str">
        <f>+Ingresos_Historicos[[#This Row],[idcoleccion]]&amp;"-"&amp;Ingresos_Historicos[[#This Row],[id]]</f>
        <v>300-0150</v>
      </c>
      <c r="W160" s="19" t="e">
        <f>+VLOOKUP(Ingresos_Historicos[[#This Row],[Filtro URL]],Estructura!$X$4:$Y$366,2,0)</f>
        <v>#N/A</v>
      </c>
      <c r="X160" s="19" t="str">
        <f>+VLOOKUP(Ingresos_Historicos[[#This Row],[tema]],Estructura!$A$4:$C$18,3,0)</f>
        <v>T-306</v>
      </c>
      <c r="Y160" s="19" t="str">
        <f>+VLOOKUP(Ingresos_Historicos[[#This Row],[contenido]],Estructura!$E$4:$G$18,3,0)</f>
        <v>C-301</v>
      </c>
      <c r="Z160" s="19" t="str">
        <f>+VLOOKUP(Ingresos_Historicos[[#This Row],[Filtro Integrado]],Estructura!$M$4:$O$367,3,0)</f>
        <v>FI-303</v>
      </c>
      <c r="AA160" s="19" t="str">
        <f>+VLOOKUP(Ingresos_Historicos[[#This Row],[Muestra]],Estructura!$Q$4:$S$194,3,0)</f>
        <v>M-306</v>
      </c>
    </row>
    <row r="161" spans="1:27" ht="40.799999999999997" x14ac:dyDescent="0.3">
      <c r="A161" s="71" t="s">
        <v>547</v>
      </c>
      <c r="B161" s="12">
        <f t="shared" si="33"/>
        <v>300</v>
      </c>
      <c r="C161" s="13" t="str">
        <f t="shared" si="33"/>
        <v>Violencia contra la mujer</v>
      </c>
      <c r="D161" s="13" t="str">
        <f t="shared" si="33"/>
        <v>Mujeres</v>
      </c>
      <c r="E161" s="39">
        <v>50</v>
      </c>
      <c r="F161" s="13" t="str">
        <f t="shared" ref="F161:G176" si="35">+F160</f>
        <v>Sentencias por delito de abuso sexual</v>
      </c>
      <c r="G161" s="55" t="str">
        <f t="shared" si="35"/>
        <v>Abuso Sexual</v>
      </c>
      <c r="H161" s="38" t="s">
        <v>17</v>
      </c>
      <c r="I161" s="37" t="s">
        <v>219</v>
      </c>
      <c r="J161" s="12" t="s">
        <v>398</v>
      </c>
      <c r="K161" s="12" t="str">
        <f t="shared" si="34"/>
        <v>Sentencias Dictadas por Delitos de Abuso Sexual</v>
      </c>
      <c r="L161" s="12" t="str">
        <f t="shared" si="34"/>
        <v>Periodo 2013-2019</v>
      </c>
      <c r="M161" s="12" t="str">
        <f t="shared" si="34"/>
        <v>Número de sentencias</v>
      </c>
      <c r="N161" s="33" t="s">
        <v>5964</v>
      </c>
      <c r="O161" s="27" t="str">
        <f>"Sentencias Dictadas por Delitos de Abuso Sexual en el  Juzgado de Garantía de "&amp;[1]!Ingresos_Historicos[[#This Row],[territorio]]&amp;" para el Periodo 2013-2019"</f>
        <v>Sentencias Dictadas por Delitos de Abuso Sexual en el  Juzgado de Garantía de Quilpue para el Periodo 2013-2019</v>
      </c>
      <c r="P16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Quilpue para el Periodo 2013-2019 de acuerdo a datos provenientes del Poder Judicial de Chile.</v>
      </c>
      <c r="Q161" s="14" t="str">
        <f t="shared" si="25"/>
        <v>Gráfico de Evolución</v>
      </c>
      <c r="R161" s="77" t="s">
        <v>6064</v>
      </c>
      <c r="S161" s="15" t="s">
        <v>6538</v>
      </c>
      <c r="T161" s="65" t="s">
        <v>5915</v>
      </c>
      <c r="U161" s="24" t="s">
        <v>397</v>
      </c>
      <c r="V161" s="19" t="str">
        <f>+Ingresos_Historicos[[#This Row],[idcoleccion]]&amp;"-"&amp;Ingresos_Historicos[[#This Row],[id]]</f>
        <v>300-0151</v>
      </c>
      <c r="W161" s="19" t="e">
        <f>+VLOOKUP(Ingresos_Historicos[[#This Row],[Filtro URL]],Estructura!$X$4:$Y$366,2,0)</f>
        <v>#N/A</v>
      </c>
      <c r="X161" s="19" t="str">
        <f>+VLOOKUP(Ingresos_Historicos[[#This Row],[tema]],Estructura!$A$4:$C$18,3,0)</f>
        <v>T-306</v>
      </c>
      <c r="Y161" s="19" t="str">
        <f>+VLOOKUP(Ingresos_Historicos[[#This Row],[contenido]],Estructura!$E$4:$G$18,3,0)</f>
        <v>C-301</v>
      </c>
      <c r="Z161" s="19" t="str">
        <f>+VLOOKUP(Ingresos_Historicos[[#This Row],[Filtro Integrado]],Estructura!$M$4:$O$367,3,0)</f>
        <v>FI-303</v>
      </c>
      <c r="AA161" s="19" t="str">
        <f>+VLOOKUP(Ingresos_Historicos[[#This Row],[Muestra]],Estructura!$Q$4:$S$194,3,0)</f>
        <v>M-306</v>
      </c>
    </row>
    <row r="162" spans="1:27" ht="40.799999999999997" x14ac:dyDescent="0.3">
      <c r="A162" s="71" t="s">
        <v>548</v>
      </c>
      <c r="B162" s="12">
        <f t="shared" si="33"/>
        <v>300</v>
      </c>
      <c r="C162" s="13" t="str">
        <f t="shared" si="33"/>
        <v>Violencia contra la mujer</v>
      </c>
      <c r="D162" s="13" t="str">
        <f t="shared" si="33"/>
        <v>Mujeres</v>
      </c>
      <c r="E162" s="39">
        <v>51</v>
      </c>
      <c r="F162" s="13" t="str">
        <f t="shared" si="35"/>
        <v>Sentencias por delito de abuso sexual</v>
      </c>
      <c r="G162" s="55" t="str">
        <f t="shared" si="35"/>
        <v>Abuso Sexual</v>
      </c>
      <c r="H162" s="38" t="s">
        <v>17</v>
      </c>
      <c r="I162" s="37" t="s">
        <v>250</v>
      </c>
      <c r="J162" s="12" t="s">
        <v>398</v>
      </c>
      <c r="K162" s="12" t="str">
        <f t="shared" si="34"/>
        <v>Sentencias Dictadas por Delitos de Abuso Sexual</v>
      </c>
      <c r="L162" s="12" t="str">
        <f t="shared" si="34"/>
        <v>Periodo 2013-2019</v>
      </c>
      <c r="M162" s="12" t="str">
        <f t="shared" si="34"/>
        <v>Número de sentencias</v>
      </c>
      <c r="N162" s="33" t="s">
        <v>5964</v>
      </c>
      <c r="O162" s="27" t="str">
        <f>"Sentencias Dictadas por Delitos de Abuso Sexual en el  Juzgado de Garantía de "&amp;[1]!Ingresos_Historicos[[#This Row],[territorio]]&amp;" para el Periodo 2013-2019"</f>
        <v>Sentencias Dictadas por Delitos de Abuso Sexual en el  Juzgado de Garantía de San Felipe para el Periodo 2013-2019</v>
      </c>
      <c r="P16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 Felipe para el Periodo 2013-2019 de acuerdo a datos provenientes del Poder Judicial de Chile.</v>
      </c>
      <c r="Q162" s="14" t="str">
        <f t="shared" si="25"/>
        <v>Gráfico de Evolución</v>
      </c>
      <c r="R162" s="77" t="s">
        <v>6065</v>
      </c>
      <c r="S162" s="15" t="s">
        <v>6539</v>
      </c>
      <c r="T162" s="65" t="s">
        <v>5915</v>
      </c>
      <c r="U162" s="24" t="s">
        <v>397</v>
      </c>
      <c r="V162" s="19" t="str">
        <f>+Ingresos_Historicos[[#This Row],[idcoleccion]]&amp;"-"&amp;Ingresos_Historicos[[#This Row],[id]]</f>
        <v>300-0152</v>
      </c>
      <c r="W162" s="19" t="e">
        <f>+VLOOKUP(Ingresos_Historicos[[#This Row],[Filtro URL]],Estructura!$X$4:$Y$366,2,0)</f>
        <v>#N/A</v>
      </c>
      <c r="X162" s="19" t="str">
        <f>+VLOOKUP(Ingresos_Historicos[[#This Row],[tema]],Estructura!$A$4:$C$18,3,0)</f>
        <v>T-306</v>
      </c>
      <c r="Y162" s="19" t="str">
        <f>+VLOOKUP(Ingresos_Historicos[[#This Row],[contenido]],Estructura!$E$4:$G$18,3,0)</f>
        <v>C-301</v>
      </c>
      <c r="Z162" s="19" t="str">
        <f>+VLOOKUP(Ingresos_Historicos[[#This Row],[Filtro Integrado]],Estructura!$M$4:$O$367,3,0)</f>
        <v>FI-303</v>
      </c>
      <c r="AA162" s="19" t="str">
        <f>+VLOOKUP(Ingresos_Historicos[[#This Row],[Muestra]],Estructura!$Q$4:$S$194,3,0)</f>
        <v>M-306</v>
      </c>
    </row>
    <row r="163" spans="1:27" ht="40.799999999999997" x14ac:dyDescent="0.3">
      <c r="A163" s="71" t="s">
        <v>549</v>
      </c>
      <c r="B163" s="12">
        <f t="shared" si="33"/>
        <v>300</v>
      </c>
      <c r="C163" s="13" t="str">
        <f t="shared" si="33"/>
        <v>Violencia contra la mujer</v>
      </c>
      <c r="D163" s="13" t="str">
        <f t="shared" si="33"/>
        <v>Mujeres</v>
      </c>
      <c r="E163" s="39">
        <v>52</v>
      </c>
      <c r="F163" s="13" t="str">
        <f t="shared" si="35"/>
        <v>Sentencias por delito de abuso sexual</v>
      </c>
      <c r="G163" s="55" t="str">
        <f t="shared" si="35"/>
        <v>Abuso Sexual</v>
      </c>
      <c r="H163" s="38" t="s">
        <v>17</v>
      </c>
      <c r="I163" s="37" t="s">
        <v>238</v>
      </c>
      <c r="J163" s="12" t="s">
        <v>398</v>
      </c>
      <c r="K163" s="12" t="str">
        <f t="shared" si="34"/>
        <v>Sentencias Dictadas por Delitos de Abuso Sexual</v>
      </c>
      <c r="L163" s="12" t="str">
        <f t="shared" si="34"/>
        <v>Periodo 2013-2019</v>
      </c>
      <c r="M163" s="12" t="str">
        <f t="shared" si="34"/>
        <v>Número de sentencias</v>
      </c>
      <c r="N163" s="33" t="s">
        <v>5964</v>
      </c>
      <c r="O163" s="27" t="str">
        <f>"Sentencias Dictadas por Delitos de Abuso Sexual en el  Juzgado de Garantía de "&amp;[1]!Ingresos_Historicos[[#This Row],[territorio]]&amp;" para el Periodo 2013-2019"</f>
        <v>Sentencias Dictadas por Delitos de Abuso Sexual en el  Juzgado de Garantía de Valparaiso para el Periodo 2013-2019</v>
      </c>
      <c r="P16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Valparaiso para el Periodo 2013-2019 de acuerdo a datos provenientes del Poder Judicial de Chile.</v>
      </c>
      <c r="Q163" s="14" t="str">
        <f t="shared" si="25"/>
        <v>Gráfico de Evolución</v>
      </c>
      <c r="R163" s="77" t="s">
        <v>6066</v>
      </c>
      <c r="S163" s="15" t="s">
        <v>6540</v>
      </c>
      <c r="T163" s="65" t="s">
        <v>5915</v>
      </c>
      <c r="U163" s="24" t="s">
        <v>397</v>
      </c>
      <c r="V163" s="19" t="str">
        <f>+Ingresos_Historicos[[#This Row],[idcoleccion]]&amp;"-"&amp;Ingresos_Historicos[[#This Row],[id]]</f>
        <v>300-0153</v>
      </c>
      <c r="W163" s="19" t="e">
        <f>+VLOOKUP(Ingresos_Historicos[[#This Row],[Filtro URL]],Estructura!$X$4:$Y$366,2,0)</f>
        <v>#N/A</v>
      </c>
      <c r="X163" s="19" t="str">
        <f>+VLOOKUP(Ingresos_Historicos[[#This Row],[tema]],Estructura!$A$4:$C$18,3,0)</f>
        <v>T-306</v>
      </c>
      <c r="Y163" s="19" t="str">
        <f>+VLOOKUP(Ingresos_Historicos[[#This Row],[contenido]],Estructura!$E$4:$G$18,3,0)</f>
        <v>C-301</v>
      </c>
      <c r="Z163" s="19" t="str">
        <f>+VLOOKUP(Ingresos_Historicos[[#This Row],[Filtro Integrado]],Estructura!$M$4:$O$367,3,0)</f>
        <v>FI-303</v>
      </c>
      <c r="AA163" s="19" t="str">
        <f>+VLOOKUP(Ingresos_Historicos[[#This Row],[Muestra]],Estructura!$Q$4:$S$194,3,0)</f>
        <v>M-306</v>
      </c>
    </row>
    <row r="164" spans="1:27" ht="51" x14ac:dyDescent="0.3">
      <c r="A164" s="71" t="s">
        <v>550</v>
      </c>
      <c r="B164" s="12">
        <f t="shared" si="33"/>
        <v>300</v>
      </c>
      <c r="C164" s="13" t="str">
        <f t="shared" si="33"/>
        <v>Violencia contra la mujer</v>
      </c>
      <c r="D164" s="13" t="str">
        <f t="shared" si="33"/>
        <v>Mujeres</v>
      </c>
      <c r="E164" s="39">
        <v>53</v>
      </c>
      <c r="F164" s="13" t="str">
        <f t="shared" si="35"/>
        <v>Sentencias por delito de abuso sexual</v>
      </c>
      <c r="G164" s="55" t="str">
        <f t="shared" si="35"/>
        <v>Abuso Sexual</v>
      </c>
      <c r="H164" s="38" t="s">
        <v>17</v>
      </c>
      <c r="I164" s="37" t="s">
        <v>261</v>
      </c>
      <c r="J164" s="12" t="s">
        <v>398</v>
      </c>
      <c r="K164" s="12" t="str">
        <f t="shared" si="34"/>
        <v>Sentencias Dictadas por Delitos de Abuso Sexual</v>
      </c>
      <c r="L164" s="12" t="str">
        <f t="shared" si="34"/>
        <v>Periodo 2013-2019</v>
      </c>
      <c r="M164" s="12" t="str">
        <f t="shared" si="34"/>
        <v>Número de sentencias</v>
      </c>
      <c r="N164" s="33" t="s">
        <v>5964</v>
      </c>
      <c r="O164" s="27" t="str">
        <f>"Sentencias Dictadas por Delitos de Abuso Sexual en el  Juzgado de Garantía de "&amp;[1]!Ingresos_Historicos[[#This Row],[territorio]]&amp;" para el Periodo 2013-2019"</f>
        <v>Sentencias Dictadas por Delitos de Abuso Sexual en el  Juzgado de Garantía de Villa Alemana para el Periodo 2013-2019</v>
      </c>
      <c r="P164"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Villa Alemana para el Periodo 2013-2019 de acuerdo a datos provenientes del Poder Judicial de Chile.</v>
      </c>
      <c r="Q164" s="14" t="str">
        <f t="shared" si="25"/>
        <v>Gráfico de Evolución</v>
      </c>
      <c r="R164" s="77" t="s">
        <v>6067</v>
      </c>
      <c r="S164" s="15" t="s">
        <v>6541</v>
      </c>
      <c r="T164" s="65" t="s">
        <v>5916</v>
      </c>
      <c r="U164" s="24" t="s">
        <v>397</v>
      </c>
      <c r="V164" s="19" t="str">
        <f>+Ingresos_Historicos[[#This Row],[idcoleccion]]&amp;"-"&amp;Ingresos_Historicos[[#This Row],[id]]</f>
        <v>300-0154</v>
      </c>
      <c r="W164" s="19" t="e">
        <f>+VLOOKUP(Ingresos_Historicos[[#This Row],[Filtro URL]],Estructura!$X$4:$Y$366,2,0)</f>
        <v>#N/A</v>
      </c>
      <c r="X164" s="19" t="str">
        <f>+VLOOKUP(Ingresos_Historicos[[#This Row],[tema]],Estructura!$A$4:$C$18,3,0)</f>
        <v>T-306</v>
      </c>
      <c r="Y164" s="19" t="str">
        <f>+VLOOKUP(Ingresos_Historicos[[#This Row],[contenido]],Estructura!$E$4:$G$18,3,0)</f>
        <v>C-301</v>
      </c>
      <c r="Z164" s="19" t="str">
        <f>+VLOOKUP(Ingresos_Historicos[[#This Row],[Filtro Integrado]],Estructura!$M$4:$O$367,3,0)</f>
        <v>FI-303</v>
      </c>
      <c r="AA164" s="19" t="str">
        <f>+VLOOKUP(Ingresos_Historicos[[#This Row],[Muestra]],Estructura!$Q$4:$S$194,3,0)</f>
        <v>M-306</v>
      </c>
    </row>
    <row r="165" spans="1:27" ht="51" x14ac:dyDescent="0.3">
      <c r="A165" s="71" t="s">
        <v>551</v>
      </c>
      <c r="B165" s="12">
        <f t="shared" si="33"/>
        <v>300</v>
      </c>
      <c r="C165" s="13" t="str">
        <f t="shared" si="33"/>
        <v>Violencia contra la mujer</v>
      </c>
      <c r="D165" s="13" t="str">
        <f t="shared" si="33"/>
        <v>Mujeres</v>
      </c>
      <c r="E165" s="39">
        <v>54</v>
      </c>
      <c r="F165" s="13" t="str">
        <f t="shared" si="35"/>
        <v>Sentencias por delito de abuso sexual</v>
      </c>
      <c r="G165" s="55" t="str">
        <f t="shared" si="35"/>
        <v>Abuso Sexual</v>
      </c>
      <c r="H165" s="38" t="s">
        <v>17</v>
      </c>
      <c r="I165" s="37" t="s">
        <v>260</v>
      </c>
      <c r="J165" s="12" t="s">
        <v>398</v>
      </c>
      <c r="K165" s="12" t="str">
        <f t="shared" si="34"/>
        <v>Sentencias Dictadas por Delitos de Abuso Sexual</v>
      </c>
      <c r="L165" s="12" t="str">
        <f t="shared" si="34"/>
        <v>Periodo 2013-2019</v>
      </c>
      <c r="M165" s="12" t="str">
        <f t="shared" si="34"/>
        <v>Número de sentencias</v>
      </c>
      <c r="N165" s="33" t="s">
        <v>5964</v>
      </c>
      <c r="O165" s="27" t="str">
        <f>"Sentencias Dictadas por Delitos de Abuso Sexual en el  Juzgado de Garantía de "&amp;[1]!Ingresos_Historicos[[#This Row],[territorio]]&amp;" para el Periodo 2013-2019"</f>
        <v>Sentencias Dictadas por Delitos de Abuso Sexual en el  Juzgado de Garantía de Viña Del Mar para el Periodo 2013-2019</v>
      </c>
      <c r="P165"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Viña Del Mar para el Periodo 2013-2019 de acuerdo a datos provenientes del Poder Judicial de Chile.</v>
      </c>
      <c r="Q165" s="14" t="str">
        <f t="shared" si="25"/>
        <v>Gráfico de Evolución</v>
      </c>
      <c r="R165" s="77" t="s">
        <v>6068</v>
      </c>
      <c r="S165" s="15" t="s">
        <v>6542</v>
      </c>
      <c r="T165" s="65" t="s">
        <v>5916</v>
      </c>
      <c r="U165" s="24" t="s">
        <v>397</v>
      </c>
      <c r="V165" s="19" t="str">
        <f>+Ingresos_Historicos[[#This Row],[idcoleccion]]&amp;"-"&amp;Ingresos_Historicos[[#This Row],[id]]</f>
        <v>300-0155</v>
      </c>
      <c r="W165" s="19" t="e">
        <f>+VLOOKUP(Ingresos_Historicos[[#This Row],[Filtro URL]],Estructura!$X$4:$Y$366,2,0)</f>
        <v>#N/A</v>
      </c>
      <c r="X165" s="19" t="str">
        <f>+VLOOKUP(Ingresos_Historicos[[#This Row],[tema]],Estructura!$A$4:$C$18,3,0)</f>
        <v>T-306</v>
      </c>
      <c r="Y165" s="19" t="str">
        <f>+VLOOKUP(Ingresos_Historicos[[#This Row],[contenido]],Estructura!$E$4:$G$18,3,0)</f>
        <v>C-301</v>
      </c>
      <c r="Z165" s="19" t="str">
        <f>+VLOOKUP(Ingresos_Historicos[[#This Row],[Filtro Integrado]],Estructura!$M$4:$O$367,3,0)</f>
        <v>FI-303</v>
      </c>
      <c r="AA165" s="19" t="str">
        <f>+VLOOKUP(Ingresos_Historicos[[#This Row],[Muestra]],Estructura!$Q$4:$S$194,3,0)</f>
        <v>M-306</v>
      </c>
    </row>
    <row r="166" spans="1:27" ht="40.799999999999997" x14ac:dyDescent="0.3">
      <c r="A166" s="71" t="s">
        <v>552</v>
      </c>
      <c r="B166" s="12">
        <f t="shared" si="33"/>
        <v>300</v>
      </c>
      <c r="C166" s="13" t="str">
        <f t="shared" si="33"/>
        <v>Violencia contra la mujer</v>
      </c>
      <c r="D166" s="13" t="str">
        <f t="shared" si="33"/>
        <v>Mujeres</v>
      </c>
      <c r="E166" s="39">
        <v>55</v>
      </c>
      <c r="F166" s="13" t="str">
        <f t="shared" si="35"/>
        <v>Sentencias por delito de abuso sexual</v>
      </c>
      <c r="G166" s="55" t="str">
        <f t="shared" si="35"/>
        <v>Abuso Sexual</v>
      </c>
      <c r="H166" s="38" t="s">
        <v>17</v>
      </c>
      <c r="I166" s="37" t="s">
        <v>270</v>
      </c>
      <c r="J166" s="12" t="s">
        <v>398</v>
      </c>
      <c r="K166" s="12" t="str">
        <f t="shared" si="34"/>
        <v>Sentencias Dictadas por Delitos de Abuso Sexual</v>
      </c>
      <c r="L166" s="12" t="str">
        <f t="shared" si="34"/>
        <v>Periodo 2013-2019</v>
      </c>
      <c r="M166" s="12" t="str">
        <f t="shared" si="34"/>
        <v>Número de sentencias</v>
      </c>
      <c r="N166" s="33" t="s">
        <v>5964</v>
      </c>
      <c r="O166" s="27" t="str">
        <f>"Sentencias Dictadas por Delitos de Abuso Sexual en el  Juzgado de Garantía de "&amp;[1]!Ingresos_Historicos[[#This Row],[territorio]]&amp;" para el Periodo 2013-2019"</f>
        <v>Sentencias Dictadas por Delitos de Abuso Sexual en el  Juzgado de Garantía de Graneros para el Periodo 2013-2019</v>
      </c>
      <c r="P166"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Graneros para el Periodo 2013-2019 de acuerdo a datos provenientes del Poder Judicial de Chile.</v>
      </c>
      <c r="Q166" s="14" t="str">
        <f t="shared" si="25"/>
        <v>Gráfico de Evolución</v>
      </c>
      <c r="R166" s="77" t="s">
        <v>6069</v>
      </c>
      <c r="S166" s="15" t="s">
        <v>6543</v>
      </c>
      <c r="T166" s="65" t="s">
        <v>5916</v>
      </c>
      <c r="U166" s="24" t="s">
        <v>397</v>
      </c>
      <c r="V166" s="19" t="str">
        <f>+Ingresos_Historicos[[#This Row],[idcoleccion]]&amp;"-"&amp;Ingresos_Historicos[[#This Row],[id]]</f>
        <v>300-0156</v>
      </c>
      <c r="W166" s="19" t="e">
        <f>+VLOOKUP(Ingresos_Historicos[[#This Row],[Filtro URL]],Estructura!$X$4:$Y$366,2,0)</f>
        <v>#N/A</v>
      </c>
      <c r="X166" s="19" t="str">
        <f>+VLOOKUP(Ingresos_Historicos[[#This Row],[tema]],Estructura!$A$4:$C$18,3,0)</f>
        <v>T-306</v>
      </c>
      <c r="Y166" s="19" t="str">
        <f>+VLOOKUP(Ingresos_Historicos[[#This Row],[contenido]],Estructura!$E$4:$G$18,3,0)</f>
        <v>C-301</v>
      </c>
      <c r="Z166" s="19" t="str">
        <f>+VLOOKUP(Ingresos_Historicos[[#This Row],[Filtro Integrado]],Estructura!$M$4:$O$367,3,0)</f>
        <v>FI-303</v>
      </c>
      <c r="AA166" s="19" t="str">
        <f>+VLOOKUP(Ingresos_Historicos[[#This Row],[Muestra]],Estructura!$Q$4:$S$194,3,0)</f>
        <v>M-306</v>
      </c>
    </row>
    <row r="167" spans="1:27" ht="40.799999999999997" x14ac:dyDescent="0.3">
      <c r="A167" s="71" t="s">
        <v>553</v>
      </c>
      <c r="B167" s="12">
        <f t="shared" si="33"/>
        <v>300</v>
      </c>
      <c r="C167" s="13" t="str">
        <f t="shared" si="33"/>
        <v>Violencia contra la mujer</v>
      </c>
      <c r="D167" s="13" t="str">
        <f t="shared" si="33"/>
        <v>Mujeres</v>
      </c>
      <c r="E167" s="39">
        <v>56</v>
      </c>
      <c r="F167" s="13" t="str">
        <f t="shared" si="35"/>
        <v>Sentencias por delito de abuso sexual</v>
      </c>
      <c r="G167" s="55" t="str">
        <f t="shared" si="35"/>
        <v>Abuso Sexual</v>
      </c>
      <c r="H167" s="38" t="s">
        <v>17</v>
      </c>
      <c r="I167" s="37" t="s">
        <v>251</v>
      </c>
      <c r="J167" s="12" t="s">
        <v>398</v>
      </c>
      <c r="K167" s="12" t="str">
        <f t="shared" si="34"/>
        <v>Sentencias Dictadas por Delitos de Abuso Sexual</v>
      </c>
      <c r="L167" s="12" t="str">
        <f t="shared" si="34"/>
        <v>Periodo 2013-2019</v>
      </c>
      <c r="M167" s="12" t="str">
        <f t="shared" si="34"/>
        <v>Número de sentencias</v>
      </c>
      <c r="N167" s="33" t="s">
        <v>5964</v>
      </c>
      <c r="O167" s="27" t="str">
        <f>"Sentencias Dictadas por Delitos de Abuso Sexual en el  Juzgado de Garantía de "&amp;[1]!Ingresos_Historicos[[#This Row],[territorio]]&amp;" para el Periodo 2013-2019"</f>
        <v>Sentencias Dictadas por Delitos de Abuso Sexual en el  Juzgado de Garantía de Rancagua para el Periodo 2013-2019</v>
      </c>
      <c r="P16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Rancagua para el Periodo 2013-2019 de acuerdo a datos provenientes del Poder Judicial de Chile.</v>
      </c>
      <c r="Q167" s="14" t="str">
        <f t="shared" si="25"/>
        <v>Gráfico de Evolución</v>
      </c>
      <c r="R167" s="77" t="s">
        <v>6070</v>
      </c>
      <c r="S167" s="15" t="s">
        <v>6544</v>
      </c>
      <c r="T167" s="65" t="s">
        <v>5916</v>
      </c>
      <c r="U167" s="24" t="s">
        <v>397</v>
      </c>
      <c r="V167" s="19" t="str">
        <f>+Ingresos_Historicos[[#This Row],[idcoleccion]]&amp;"-"&amp;Ingresos_Historicos[[#This Row],[id]]</f>
        <v>300-0157</v>
      </c>
      <c r="W167" s="19" t="e">
        <f>+VLOOKUP(Ingresos_Historicos[[#This Row],[Filtro URL]],Estructura!$X$4:$Y$366,2,0)</f>
        <v>#N/A</v>
      </c>
      <c r="X167" s="19" t="str">
        <f>+VLOOKUP(Ingresos_Historicos[[#This Row],[tema]],Estructura!$A$4:$C$18,3,0)</f>
        <v>T-306</v>
      </c>
      <c r="Y167" s="19" t="str">
        <f>+VLOOKUP(Ingresos_Historicos[[#This Row],[contenido]],Estructura!$E$4:$G$18,3,0)</f>
        <v>C-301</v>
      </c>
      <c r="Z167" s="19" t="str">
        <f>+VLOOKUP(Ingresos_Historicos[[#This Row],[Filtro Integrado]],Estructura!$M$4:$O$367,3,0)</f>
        <v>FI-303</v>
      </c>
      <c r="AA167" s="19" t="str">
        <f>+VLOOKUP(Ingresos_Historicos[[#This Row],[Muestra]],Estructura!$Q$4:$S$194,3,0)</f>
        <v>M-306</v>
      </c>
    </row>
    <row r="168" spans="1:27" ht="40.799999999999997" x14ac:dyDescent="0.3">
      <c r="A168" s="71" t="s">
        <v>554</v>
      </c>
      <c r="B168" s="12">
        <f t="shared" si="33"/>
        <v>300</v>
      </c>
      <c r="C168" s="13" t="str">
        <f t="shared" si="33"/>
        <v>Violencia contra la mujer</v>
      </c>
      <c r="D168" s="13" t="str">
        <f t="shared" si="33"/>
        <v>Mujeres</v>
      </c>
      <c r="E168" s="39">
        <v>57</v>
      </c>
      <c r="F168" s="13" t="str">
        <f t="shared" si="35"/>
        <v>Sentencias por delito de abuso sexual</v>
      </c>
      <c r="G168" s="55" t="str">
        <f t="shared" si="35"/>
        <v>Abuso Sexual</v>
      </c>
      <c r="H168" s="38" t="s">
        <v>17</v>
      </c>
      <c r="I168" s="37" t="s">
        <v>259</v>
      </c>
      <c r="J168" s="12" t="s">
        <v>398</v>
      </c>
      <c r="K168" s="12" t="str">
        <f t="shared" si="34"/>
        <v>Sentencias Dictadas por Delitos de Abuso Sexual</v>
      </c>
      <c r="L168" s="12" t="str">
        <f t="shared" si="34"/>
        <v>Periodo 2013-2019</v>
      </c>
      <c r="M168" s="12" t="str">
        <f t="shared" si="34"/>
        <v>Número de sentencias</v>
      </c>
      <c r="N168" s="33" t="s">
        <v>5964</v>
      </c>
      <c r="O168" s="27" t="str">
        <f>"Sentencias Dictadas por Delitos de Abuso Sexual en el  Juzgado de Garantía de "&amp;[1]!Ingresos_Historicos[[#This Row],[territorio]]&amp;" para el Periodo 2013-2019"</f>
        <v>Sentencias Dictadas por Delitos de Abuso Sexual en el  Juzgado de Garantía de Rengo para el Periodo 2013-2019</v>
      </c>
      <c r="P16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Rengo para el Periodo 2013-2019 de acuerdo a datos provenientes del Poder Judicial de Chile.</v>
      </c>
      <c r="Q168" s="14" t="str">
        <f t="shared" si="25"/>
        <v>Gráfico de Evolución</v>
      </c>
      <c r="R168" s="77" t="s">
        <v>6071</v>
      </c>
      <c r="S168" s="15" t="s">
        <v>6545</v>
      </c>
      <c r="T168" s="65" t="s">
        <v>5916</v>
      </c>
      <c r="U168" s="24" t="s">
        <v>397</v>
      </c>
      <c r="V168" s="19" t="str">
        <f>+Ingresos_Historicos[[#This Row],[idcoleccion]]&amp;"-"&amp;Ingresos_Historicos[[#This Row],[id]]</f>
        <v>300-0158</v>
      </c>
      <c r="W168" s="19" t="e">
        <f>+VLOOKUP(Ingresos_Historicos[[#This Row],[Filtro URL]],Estructura!$X$4:$Y$366,2,0)</f>
        <v>#N/A</v>
      </c>
      <c r="X168" s="19" t="str">
        <f>+VLOOKUP(Ingresos_Historicos[[#This Row],[tema]],Estructura!$A$4:$C$18,3,0)</f>
        <v>T-306</v>
      </c>
      <c r="Y168" s="19" t="str">
        <f>+VLOOKUP(Ingresos_Historicos[[#This Row],[contenido]],Estructura!$E$4:$G$18,3,0)</f>
        <v>C-301</v>
      </c>
      <c r="Z168" s="19" t="str">
        <f>+VLOOKUP(Ingresos_Historicos[[#This Row],[Filtro Integrado]],Estructura!$M$4:$O$367,3,0)</f>
        <v>FI-303</v>
      </c>
      <c r="AA168" s="19" t="str">
        <f>+VLOOKUP(Ingresos_Historicos[[#This Row],[Muestra]],Estructura!$Q$4:$S$194,3,0)</f>
        <v>M-306</v>
      </c>
    </row>
    <row r="169" spans="1:27" ht="51" x14ac:dyDescent="0.3">
      <c r="A169" s="71" t="s">
        <v>555</v>
      </c>
      <c r="B169" s="12">
        <f t="shared" si="33"/>
        <v>300</v>
      </c>
      <c r="C169" s="13" t="str">
        <f t="shared" si="33"/>
        <v>Violencia contra la mujer</v>
      </c>
      <c r="D169" s="13" t="str">
        <f t="shared" si="33"/>
        <v>Mujeres</v>
      </c>
      <c r="E169" s="39">
        <v>58</v>
      </c>
      <c r="F169" s="13" t="str">
        <f t="shared" si="35"/>
        <v>Sentencias por delito de abuso sexual</v>
      </c>
      <c r="G169" s="55" t="str">
        <f t="shared" si="35"/>
        <v>Abuso Sexual</v>
      </c>
      <c r="H169" s="38" t="s">
        <v>17</v>
      </c>
      <c r="I169" s="37" t="s">
        <v>6072</v>
      </c>
      <c r="J169" s="12" t="s">
        <v>398</v>
      </c>
      <c r="K169" s="12" t="str">
        <f t="shared" si="34"/>
        <v>Sentencias Dictadas por Delitos de Abuso Sexual</v>
      </c>
      <c r="L169" s="12" t="str">
        <f t="shared" si="34"/>
        <v>Periodo 2013-2019</v>
      </c>
      <c r="M169" s="12" t="str">
        <f t="shared" si="34"/>
        <v>Número de sentencias</v>
      </c>
      <c r="N169" s="33" t="s">
        <v>5964</v>
      </c>
      <c r="O169" s="27" t="str">
        <f>"Sentencias Dictadas por Delitos de Abuso Sexual en el  Juzgado de Garantía de "&amp;[1]!Ingresos_Historicos[[#This Row],[territorio]]&amp;" para el Periodo 2013-2019"</f>
        <v>Sentencias Dictadas por Delitos de Abuso Sexual en el  Juzgado de Garantía de San Fernando para el Periodo 2013-2019</v>
      </c>
      <c r="P16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 Fernando para el Periodo 2013-2019 de acuerdo a datos provenientes del Poder Judicial de Chile.</v>
      </c>
      <c r="Q169" s="14" t="str">
        <f t="shared" si="25"/>
        <v>Gráfico de Evolución</v>
      </c>
      <c r="R169" s="77" t="s">
        <v>6073</v>
      </c>
      <c r="S169" s="15" t="s">
        <v>6546</v>
      </c>
      <c r="T169" s="65" t="s">
        <v>5916</v>
      </c>
      <c r="U169" s="24" t="s">
        <v>397</v>
      </c>
      <c r="V169" s="19" t="str">
        <f>+Ingresos_Historicos[[#This Row],[idcoleccion]]&amp;"-"&amp;Ingresos_Historicos[[#This Row],[id]]</f>
        <v>300-0159</v>
      </c>
      <c r="W169" s="19" t="e">
        <f>+VLOOKUP(Ingresos_Historicos[[#This Row],[Filtro URL]],Estructura!$X$4:$Y$366,2,0)</f>
        <v>#N/A</v>
      </c>
      <c r="X169" s="19" t="str">
        <f>+VLOOKUP(Ingresos_Historicos[[#This Row],[tema]],Estructura!$A$4:$C$18,3,0)</f>
        <v>T-306</v>
      </c>
      <c r="Y169" s="19" t="str">
        <f>+VLOOKUP(Ingresos_Historicos[[#This Row],[contenido]],Estructura!$E$4:$G$18,3,0)</f>
        <v>C-301</v>
      </c>
      <c r="Z169" s="19" t="str">
        <f>+VLOOKUP(Ingresos_Historicos[[#This Row],[Filtro Integrado]],Estructura!$M$4:$O$367,3,0)</f>
        <v>FI-303</v>
      </c>
      <c r="AA169" s="19" t="str">
        <f>+VLOOKUP(Ingresos_Historicos[[#This Row],[Muestra]],Estructura!$Q$4:$S$194,3,0)</f>
        <v>M-306</v>
      </c>
    </row>
    <row r="170" spans="1:27" ht="51" x14ac:dyDescent="0.3">
      <c r="A170" s="71" t="s">
        <v>556</v>
      </c>
      <c r="B170" s="12">
        <f t="shared" si="33"/>
        <v>300</v>
      </c>
      <c r="C170" s="13" t="str">
        <f t="shared" si="33"/>
        <v>Violencia contra la mujer</v>
      </c>
      <c r="D170" s="13" t="str">
        <f t="shared" si="33"/>
        <v>Mujeres</v>
      </c>
      <c r="E170" s="39">
        <v>59</v>
      </c>
      <c r="F170" s="13" t="str">
        <f t="shared" si="35"/>
        <v>Sentencias por delito de abuso sexual</v>
      </c>
      <c r="G170" s="55" t="str">
        <f t="shared" si="35"/>
        <v>Abuso Sexual</v>
      </c>
      <c r="H170" s="38" t="s">
        <v>17</v>
      </c>
      <c r="I170" s="37" t="s">
        <v>6074</v>
      </c>
      <c r="J170" s="12" t="s">
        <v>398</v>
      </c>
      <c r="K170" s="12" t="str">
        <f t="shared" si="34"/>
        <v>Sentencias Dictadas por Delitos de Abuso Sexual</v>
      </c>
      <c r="L170" s="12" t="str">
        <f t="shared" si="34"/>
        <v>Periodo 2013-2019</v>
      </c>
      <c r="M170" s="12" t="str">
        <f t="shared" si="34"/>
        <v>Número de sentencias</v>
      </c>
      <c r="N170" s="33" t="s">
        <v>5964</v>
      </c>
      <c r="O170" s="27" t="str">
        <f>"Sentencias Dictadas por Delitos de Abuso Sexual en el  Juzgado de Garantía de "&amp;[1]!Ingresos_Historicos[[#This Row],[territorio]]&amp;" para el Periodo 2013-2019"</f>
        <v>Sentencias Dictadas por Delitos de Abuso Sexual en el  Juzgado de Garantía de San Vicente para el Periodo 2013-2019</v>
      </c>
      <c r="P17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 Vicente para el Periodo 2013-2019 de acuerdo a datos provenientes del Poder Judicial de Chile.</v>
      </c>
      <c r="Q170" s="14" t="str">
        <f t="shared" si="25"/>
        <v>Gráfico de Evolución</v>
      </c>
      <c r="R170" s="77" t="s">
        <v>6075</v>
      </c>
      <c r="S170" s="15" t="s">
        <v>6547</v>
      </c>
      <c r="T170" s="65" t="s">
        <v>5917</v>
      </c>
      <c r="U170" s="24" t="s">
        <v>397</v>
      </c>
      <c r="V170" s="19" t="str">
        <f>+Ingresos_Historicos[[#This Row],[idcoleccion]]&amp;"-"&amp;Ingresos_Historicos[[#This Row],[id]]</f>
        <v>300-0160</v>
      </c>
      <c r="W170" s="19" t="e">
        <f>+VLOOKUP(Ingresos_Historicos[[#This Row],[Filtro URL]],Estructura!$X$4:$Y$366,2,0)</f>
        <v>#N/A</v>
      </c>
      <c r="X170" s="19" t="str">
        <f>+VLOOKUP(Ingresos_Historicos[[#This Row],[tema]],Estructura!$A$4:$C$18,3,0)</f>
        <v>T-306</v>
      </c>
      <c r="Y170" s="19" t="str">
        <f>+VLOOKUP(Ingresos_Historicos[[#This Row],[contenido]],Estructura!$E$4:$G$18,3,0)</f>
        <v>C-301</v>
      </c>
      <c r="Z170" s="19" t="str">
        <f>+VLOOKUP(Ingresos_Historicos[[#This Row],[Filtro Integrado]],Estructura!$M$4:$O$367,3,0)</f>
        <v>FI-303</v>
      </c>
      <c r="AA170" s="19" t="str">
        <f>+VLOOKUP(Ingresos_Historicos[[#This Row],[Muestra]],Estructura!$Q$4:$S$194,3,0)</f>
        <v>M-306</v>
      </c>
    </row>
    <row r="171" spans="1:27" ht="40.799999999999997" x14ac:dyDescent="0.3">
      <c r="A171" s="71" t="s">
        <v>557</v>
      </c>
      <c r="B171" s="12">
        <f t="shared" si="33"/>
        <v>300</v>
      </c>
      <c r="C171" s="13" t="str">
        <f t="shared" si="33"/>
        <v>Violencia contra la mujer</v>
      </c>
      <c r="D171" s="13" t="str">
        <f t="shared" si="33"/>
        <v>Mujeres</v>
      </c>
      <c r="E171" s="39">
        <v>60</v>
      </c>
      <c r="F171" s="13" t="str">
        <f t="shared" si="35"/>
        <v>Sentencias por delito de abuso sexual</v>
      </c>
      <c r="G171" s="55" t="str">
        <f t="shared" si="35"/>
        <v>Abuso Sexual</v>
      </c>
      <c r="H171" s="38" t="s">
        <v>17</v>
      </c>
      <c r="I171" s="37" t="s">
        <v>290</v>
      </c>
      <c r="J171" s="12" t="s">
        <v>398</v>
      </c>
      <c r="K171" s="12" t="str">
        <f t="shared" si="34"/>
        <v>Sentencias Dictadas por Delitos de Abuso Sexual</v>
      </c>
      <c r="L171" s="12" t="str">
        <f t="shared" si="34"/>
        <v>Periodo 2013-2019</v>
      </c>
      <c r="M171" s="12" t="str">
        <f t="shared" si="34"/>
        <v>Número de sentencias</v>
      </c>
      <c r="N171" s="33" t="s">
        <v>5964</v>
      </c>
      <c r="O171" s="27" t="str">
        <f>"Sentencias Dictadas por Delitos de Abuso Sexual en el  Juzgado de Garantía de "&amp;[1]!Ingresos_Historicos[[#This Row],[territorio]]&amp;" para el Periodo 2013-2019"</f>
        <v>Sentencias Dictadas por Delitos de Abuso Sexual en el  Juzgado de Garantía de Santa Cruz para el Periodo 2013-2019</v>
      </c>
      <c r="P17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Santa Cruz para el Periodo 2013-2019 de acuerdo a datos provenientes del Poder Judicial de Chile.</v>
      </c>
      <c r="Q171" s="14" t="str">
        <f t="shared" si="25"/>
        <v>Gráfico de Evolución</v>
      </c>
      <c r="R171" s="77" t="s">
        <v>6076</v>
      </c>
      <c r="S171" s="15" t="s">
        <v>6548</v>
      </c>
      <c r="T171" s="65" t="s">
        <v>5918</v>
      </c>
      <c r="U171" s="24" t="s">
        <v>397</v>
      </c>
      <c r="V171" s="19" t="str">
        <f>+Ingresos_Historicos[[#This Row],[idcoleccion]]&amp;"-"&amp;Ingresos_Historicos[[#This Row],[id]]</f>
        <v>300-0161</v>
      </c>
      <c r="W171" s="19" t="e">
        <f>+VLOOKUP(Ingresos_Historicos[[#This Row],[Filtro URL]],Estructura!$X$4:$Y$366,2,0)</f>
        <v>#N/A</v>
      </c>
      <c r="X171" s="19" t="str">
        <f>+VLOOKUP(Ingresos_Historicos[[#This Row],[tema]],Estructura!$A$4:$C$18,3,0)</f>
        <v>T-306</v>
      </c>
      <c r="Y171" s="19" t="str">
        <f>+VLOOKUP(Ingresos_Historicos[[#This Row],[contenido]],Estructura!$E$4:$G$18,3,0)</f>
        <v>C-301</v>
      </c>
      <c r="Z171" s="19" t="str">
        <f>+VLOOKUP(Ingresos_Historicos[[#This Row],[Filtro Integrado]],Estructura!$M$4:$O$367,3,0)</f>
        <v>FI-303</v>
      </c>
      <c r="AA171" s="19" t="str">
        <f>+VLOOKUP(Ingresos_Historicos[[#This Row],[Muestra]],Estructura!$Q$4:$S$194,3,0)</f>
        <v>M-306</v>
      </c>
    </row>
    <row r="172" spans="1:27" ht="40.799999999999997" x14ac:dyDescent="0.3">
      <c r="A172" s="71" t="s">
        <v>558</v>
      </c>
      <c r="B172" s="12">
        <f t="shared" si="33"/>
        <v>300</v>
      </c>
      <c r="C172" s="13" t="str">
        <f t="shared" si="33"/>
        <v>Violencia contra la mujer</v>
      </c>
      <c r="D172" s="13" t="str">
        <f t="shared" si="33"/>
        <v>Mujeres</v>
      </c>
      <c r="E172" s="39">
        <v>61</v>
      </c>
      <c r="F172" s="13" t="str">
        <f t="shared" si="35"/>
        <v>Sentencias por delito de abuso sexual</v>
      </c>
      <c r="G172" s="55" t="str">
        <f t="shared" si="35"/>
        <v>Abuso Sexual</v>
      </c>
      <c r="H172" s="38" t="s">
        <v>17</v>
      </c>
      <c r="I172" s="37" t="s">
        <v>300</v>
      </c>
      <c r="J172" s="12" t="s">
        <v>398</v>
      </c>
      <c r="K172" s="12" t="str">
        <f t="shared" si="34"/>
        <v>Sentencias Dictadas por Delitos de Abuso Sexual</v>
      </c>
      <c r="L172" s="12" t="str">
        <f t="shared" si="34"/>
        <v>Periodo 2013-2019</v>
      </c>
      <c r="M172" s="12" t="str">
        <f t="shared" si="34"/>
        <v>Número de sentencias</v>
      </c>
      <c r="N172" s="33" t="s">
        <v>5964</v>
      </c>
      <c r="O172" s="27" t="str">
        <f>"Sentencias Dictadas por Delitos de Abuso Sexual en el 10° Juzgado de Garantía de "&amp;[1]!Ingresos_Historicos[[#This Row],[territorio]]&amp;" para el Periodo 2013-2019"</f>
        <v>Sentencias Dictadas por Delitos de Abuso Sexual en el 10° Juzgado de Garantía de Cauquenes para el Periodo 2013-2019</v>
      </c>
      <c r="P172" s="42" t="str">
        <f>"El gráfico muestra la evolución anual de la frecuencia de Sentencias Dictadas por Delitos de Abuso Sexual en el 10° Juzgado de Garantía de "&amp;[1]!Ingresos_Historicos[[#This Row],[territorio]]&amp;" para el Periodo 2013-2019 de acuerdo a datos provenientes del Poder Judicial de Chile."</f>
        <v>El gráfico muestra la evolución anual de la frecuencia de Sentencias Dictadas por Delitos de Abuso Sexual en el 10° Juzgado de Garantía de Cauquenes para el Periodo 2013-2019 de acuerdo a datos provenientes del Poder Judicial de Chile.</v>
      </c>
      <c r="Q172" s="14" t="str">
        <f t="shared" si="25"/>
        <v>Gráfico de Evolución</v>
      </c>
      <c r="R172" s="77" t="s">
        <v>6077</v>
      </c>
      <c r="S172" s="15" t="s">
        <v>6549</v>
      </c>
      <c r="T172" s="65" t="s">
        <v>5919</v>
      </c>
      <c r="U172" s="24" t="s">
        <v>397</v>
      </c>
      <c r="V172" s="19" t="str">
        <f>+Ingresos_Historicos[[#This Row],[idcoleccion]]&amp;"-"&amp;Ingresos_Historicos[[#This Row],[id]]</f>
        <v>300-0162</v>
      </c>
      <c r="W172" s="19" t="e">
        <f>+VLOOKUP(Ingresos_Historicos[[#This Row],[Filtro URL]],Estructura!$X$4:$Y$366,2,0)</f>
        <v>#N/A</v>
      </c>
      <c r="X172" s="19" t="str">
        <f>+VLOOKUP(Ingresos_Historicos[[#This Row],[tema]],Estructura!$A$4:$C$18,3,0)</f>
        <v>T-306</v>
      </c>
      <c r="Y172" s="19" t="str">
        <f>+VLOOKUP(Ingresos_Historicos[[#This Row],[contenido]],Estructura!$E$4:$G$18,3,0)</f>
        <v>C-301</v>
      </c>
      <c r="Z172" s="19" t="str">
        <f>+VLOOKUP(Ingresos_Historicos[[#This Row],[Filtro Integrado]],Estructura!$M$4:$O$367,3,0)</f>
        <v>FI-303</v>
      </c>
      <c r="AA172" s="19" t="str">
        <f>+VLOOKUP(Ingresos_Historicos[[#This Row],[Muestra]],Estructura!$Q$4:$S$194,3,0)</f>
        <v>M-306</v>
      </c>
    </row>
    <row r="173" spans="1:27" ht="51" x14ac:dyDescent="0.3">
      <c r="A173" s="71" t="s">
        <v>559</v>
      </c>
      <c r="B173" s="12">
        <f t="shared" si="33"/>
        <v>300</v>
      </c>
      <c r="C173" s="13" t="str">
        <f t="shared" si="33"/>
        <v>Violencia contra la mujer</v>
      </c>
      <c r="D173" s="13" t="str">
        <f t="shared" si="33"/>
        <v>Mujeres</v>
      </c>
      <c r="E173" s="39">
        <v>62</v>
      </c>
      <c r="F173" s="13" t="str">
        <f t="shared" si="35"/>
        <v>Sentencias por delito de abuso sexual</v>
      </c>
      <c r="G173" s="55" t="str">
        <f t="shared" si="35"/>
        <v>Abuso Sexual</v>
      </c>
      <c r="H173" s="38" t="s">
        <v>17</v>
      </c>
      <c r="I173" s="37" t="s">
        <v>300</v>
      </c>
      <c r="J173" s="12" t="s">
        <v>398</v>
      </c>
      <c r="K173" s="12" t="str">
        <f t="shared" si="34"/>
        <v>Sentencias Dictadas por Delitos de Abuso Sexual</v>
      </c>
      <c r="L173" s="12" t="str">
        <f t="shared" si="34"/>
        <v>Periodo 2013-2019</v>
      </c>
      <c r="M173" s="12" t="str">
        <f t="shared" si="34"/>
        <v>Número de sentencias</v>
      </c>
      <c r="N173" s="33" t="s">
        <v>5964</v>
      </c>
      <c r="O173" s="27" t="str">
        <f>"Sentencias Dictadas por Delitos de Abuso Sexual en el 11° Juzgado de Garantía de "&amp;[1]!Ingresos_Historicos[[#This Row],[territorio]]&amp;" para el Periodo 2013-2019"</f>
        <v>Sentencias Dictadas por Delitos de Abuso Sexual en el 11° Juzgado de Garantía de Constitucion para el Periodo 2013-2019</v>
      </c>
      <c r="P173" s="42" t="str">
        <f>"El gráfico muestra la evolución anual de la frecuencia de Sentencias Dictadas por Delitos de Abuso Sexual en el 11° Juzgado de Garantía de "&amp;[1]!Ingresos_Historicos[[#This Row],[territorio]]&amp;" para el Periodo 2013-2019 de acuerdo a datos provenientes del Poder Judicial de Chile."</f>
        <v>El gráfico muestra la evolución anual de la frecuencia de Sentencias Dictadas por Delitos de Abuso Sexual en el 11° Juzgado de Garantía de Constitucion para el Periodo 2013-2019 de acuerdo a datos provenientes del Poder Judicial de Chile.</v>
      </c>
      <c r="Q173" s="14" t="str">
        <f t="shared" si="25"/>
        <v>Gráfico de Evolución</v>
      </c>
      <c r="R173" s="77" t="s">
        <v>6077</v>
      </c>
      <c r="S173" s="15" t="s">
        <v>6550</v>
      </c>
      <c r="T173" s="65" t="s">
        <v>5919</v>
      </c>
      <c r="U173" s="24" t="s">
        <v>397</v>
      </c>
      <c r="V173" s="19" t="str">
        <f>+Ingresos_Historicos[[#This Row],[idcoleccion]]&amp;"-"&amp;Ingresos_Historicos[[#This Row],[id]]</f>
        <v>300-0163</v>
      </c>
      <c r="W173" s="19" t="e">
        <f>+VLOOKUP(Ingresos_Historicos[[#This Row],[Filtro URL]],Estructura!$X$4:$Y$366,2,0)</f>
        <v>#N/A</v>
      </c>
      <c r="X173" s="19" t="str">
        <f>+VLOOKUP(Ingresos_Historicos[[#This Row],[tema]],Estructura!$A$4:$C$18,3,0)</f>
        <v>T-306</v>
      </c>
      <c r="Y173" s="19" t="str">
        <f>+VLOOKUP(Ingresos_Historicos[[#This Row],[contenido]],Estructura!$E$4:$G$18,3,0)</f>
        <v>C-301</v>
      </c>
      <c r="Z173" s="19" t="str">
        <f>+VLOOKUP(Ingresos_Historicos[[#This Row],[Filtro Integrado]],Estructura!$M$4:$O$367,3,0)</f>
        <v>FI-303</v>
      </c>
      <c r="AA173" s="19" t="str">
        <f>+VLOOKUP(Ingresos_Historicos[[#This Row],[Muestra]],Estructura!$Q$4:$S$194,3,0)</f>
        <v>M-306</v>
      </c>
    </row>
    <row r="174" spans="1:27" ht="40.799999999999997" x14ac:dyDescent="0.3">
      <c r="A174" s="71" t="s">
        <v>560</v>
      </c>
      <c r="B174" s="12">
        <f t="shared" si="33"/>
        <v>300</v>
      </c>
      <c r="C174" s="13" t="str">
        <f t="shared" si="33"/>
        <v>Violencia contra la mujer</v>
      </c>
      <c r="D174" s="13" t="str">
        <f t="shared" si="33"/>
        <v>Mujeres</v>
      </c>
      <c r="E174" s="39">
        <v>63</v>
      </c>
      <c r="F174" s="13" t="str">
        <f t="shared" si="35"/>
        <v>Sentencias por delito de abuso sexual</v>
      </c>
      <c r="G174" s="55" t="str">
        <f t="shared" si="35"/>
        <v>Abuso Sexual</v>
      </c>
      <c r="H174" s="38" t="s">
        <v>17</v>
      </c>
      <c r="I174" s="37" t="s">
        <v>300</v>
      </c>
      <c r="J174" s="12" t="s">
        <v>398</v>
      </c>
      <c r="K174" s="12" t="str">
        <f t="shared" si="34"/>
        <v>Sentencias Dictadas por Delitos de Abuso Sexual</v>
      </c>
      <c r="L174" s="12" t="str">
        <f t="shared" si="34"/>
        <v>Periodo 2013-2019</v>
      </c>
      <c r="M174" s="12" t="str">
        <f t="shared" si="34"/>
        <v>Número de sentencias</v>
      </c>
      <c r="N174" s="33" t="s">
        <v>5964</v>
      </c>
      <c r="O174" s="27" t="str">
        <f>"Sentencias Dictadas por Delitos de Abuso Sexual en el 12° Juzgado de Garantía de "&amp;[1]!Ingresos_Historicos[[#This Row],[territorio]]&amp;" para el Periodo 2013-2019"</f>
        <v>Sentencias Dictadas por Delitos de Abuso Sexual en el 12° Juzgado de Garantía de Curico para el Periodo 2013-2019</v>
      </c>
      <c r="P174" s="42" t="str">
        <f>"El gráfico muestra la evolución anual de la frecuencia de Sentencias Dictadas por Delitos de Abuso Sexual en el 12° Juzgado de Garantía de "&amp;[1]!Ingresos_Historicos[[#This Row],[territorio]]&amp;" para el Periodo 2013-2019 de acuerdo a datos provenientes del Poder Judicial de Chile."</f>
        <v>El gráfico muestra la evolución anual de la frecuencia de Sentencias Dictadas por Delitos de Abuso Sexual en el 12° Juzgado de Garantía de Curico para el Periodo 2013-2019 de acuerdo a datos provenientes del Poder Judicial de Chile.</v>
      </c>
      <c r="Q174" s="14" t="str">
        <f t="shared" si="25"/>
        <v>Gráfico de Evolución</v>
      </c>
      <c r="R174" s="77" t="s">
        <v>6077</v>
      </c>
      <c r="S174" s="15" t="s">
        <v>6551</v>
      </c>
      <c r="T174" s="65" t="s">
        <v>5919</v>
      </c>
      <c r="U174" s="24" t="s">
        <v>397</v>
      </c>
      <c r="V174" s="19" t="str">
        <f>+Ingresos_Historicos[[#This Row],[idcoleccion]]&amp;"-"&amp;Ingresos_Historicos[[#This Row],[id]]</f>
        <v>300-0164</v>
      </c>
      <c r="W174" s="19" t="e">
        <f>+VLOOKUP(Ingresos_Historicos[[#This Row],[Filtro URL]],Estructura!$X$4:$Y$366,2,0)</f>
        <v>#N/A</v>
      </c>
      <c r="X174" s="19" t="str">
        <f>+VLOOKUP(Ingresos_Historicos[[#This Row],[tema]],Estructura!$A$4:$C$18,3,0)</f>
        <v>T-306</v>
      </c>
      <c r="Y174" s="19" t="str">
        <f>+VLOOKUP(Ingresos_Historicos[[#This Row],[contenido]],Estructura!$E$4:$G$18,3,0)</f>
        <v>C-301</v>
      </c>
      <c r="Z174" s="19" t="str">
        <f>+VLOOKUP(Ingresos_Historicos[[#This Row],[Filtro Integrado]],Estructura!$M$4:$O$367,3,0)</f>
        <v>FI-303</v>
      </c>
      <c r="AA174" s="19" t="str">
        <f>+VLOOKUP(Ingresos_Historicos[[#This Row],[Muestra]],Estructura!$Q$4:$S$194,3,0)</f>
        <v>M-306</v>
      </c>
    </row>
    <row r="175" spans="1:27" ht="40.799999999999997" x14ac:dyDescent="0.3">
      <c r="A175" s="71" t="s">
        <v>561</v>
      </c>
      <c r="B175" s="12">
        <f t="shared" ref="B175:D190" si="36">+B174</f>
        <v>300</v>
      </c>
      <c r="C175" s="13" t="str">
        <f t="shared" si="36"/>
        <v>Violencia contra la mujer</v>
      </c>
      <c r="D175" s="13" t="str">
        <f t="shared" si="36"/>
        <v>Mujeres</v>
      </c>
      <c r="E175" s="39">
        <v>64</v>
      </c>
      <c r="F175" s="13" t="str">
        <f t="shared" si="35"/>
        <v>Sentencias por delito de abuso sexual</v>
      </c>
      <c r="G175" s="55" t="str">
        <f t="shared" si="35"/>
        <v>Abuso Sexual</v>
      </c>
      <c r="H175" s="38" t="s">
        <v>17</v>
      </c>
      <c r="I175" s="37" t="s">
        <v>300</v>
      </c>
      <c r="J175" s="12" t="s">
        <v>398</v>
      </c>
      <c r="K175" s="12" t="str">
        <f t="shared" si="34"/>
        <v>Sentencias Dictadas por Delitos de Abuso Sexual</v>
      </c>
      <c r="L175" s="12" t="str">
        <f t="shared" si="34"/>
        <v>Periodo 2013-2019</v>
      </c>
      <c r="M175" s="12" t="str">
        <f t="shared" si="34"/>
        <v>Número de sentencias</v>
      </c>
      <c r="N175" s="33" t="s">
        <v>5964</v>
      </c>
      <c r="O175" s="27" t="str">
        <f>"Sentencias Dictadas por Delitos de Abuso Sexual en el 13° Juzgado de Garantía de "&amp;[1]!Ingresos_Historicos[[#This Row],[territorio]]&amp;" para el Periodo 2013-2019"</f>
        <v>Sentencias Dictadas por Delitos de Abuso Sexual en el 13° Juzgado de Garantía de Linares para el Periodo 2013-2019</v>
      </c>
      <c r="P175" s="42" t="str">
        <f>"El gráfico muestra la evolución anual de la frecuencia de Sentencias Dictadas por Delitos de Abuso Sexual en el 13° Juzgado de Garantía de "&amp;[1]!Ingresos_Historicos[[#This Row],[territorio]]&amp;" para el Periodo 2013-2019 de acuerdo a datos provenientes del Poder Judicial de Chile."</f>
        <v>El gráfico muestra la evolución anual de la frecuencia de Sentencias Dictadas por Delitos de Abuso Sexual en el 13° Juzgado de Garantía de Linares para el Periodo 2013-2019 de acuerdo a datos provenientes del Poder Judicial de Chile.</v>
      </c>
      <c r="Q175" s="14" t="str">
        <f t="shared" si="25"/>
        <v>Gráfico de Evolución</v>
      </c>
      <c r="R175" s="77" t="s">
        <v>6077</v>
      </c>
      <c r="S175" s="15" t="s">
        <v>6552</v>
      </c>
      <c r="T175" s="65" t="s">
        <v>5919</v>
      </c>
      <c r="U175" s="24" t="s">
        <v>397</v>
      </c>
      <c r="V175" s="19" t="str">
        <f>+Ingresos_Historicos[[#This Row],[idcoleccion]]&amp;"-"&amp;Ingresos_Historicos[[#This Row],[id]]</f>
        <v>300-0165</v>
      </c>
      <c r="W175" s="19" t="e">
        <f>+VLOOKUP(Ingresos_Historicos[[#This Row],[Filtro URL]],Estructura!$X$4:$Y$366,2,0)</f>
        <v>#N/A</v>
      </c>
      <c r="X175" s="19" t="str">
        <f>+VLOOKUP(Ingresos_Historicos[[#This Row],[tema]],Estructura!$A$4:$C$18,3,0)</f>
        <v>T-306</v>
      </c>
      <c r="Y175" s="19" t="str">
        <f>+VLOOKUP(Ingresos_Historicos[[#This Row],[contenido]],Estructura!$E$4:$G$18,3,0)</f>
        <v>C-301</v>
      </c>
      <c r="Z175" s="19" t="str">
        <f>+VLOOKUP(Ingresos_Historicos[[#This Row],[Filtro Integrado]],Estructura!$M$4:$O$367,3,0)</f>
        <v>FI-303</v>
      </c>
      <c r="AA175" s="19" t="str">
        <f>+VLOOKUP(Ingresos_Historicos[[#This Row],[Muestra]],Estructura!$Q$4:$S$194,3,0)</f>
        <v>M-306</v>
      </c>
    </row>
    <row r="176" spans="1:27" ht="40.799999999999997" x14ac:dyDescent="0.3">
      <c r="A176" s="71" t="s">
        <v>562</v>
      </c>
      <c r="B176" s="12">
        <f t="shared" si="36"/>
        <v>300</v>
      </c>
      <c r="C176" s="13" t="str">
        <f t="shared" si="36"/>
        <v>Violencia contra la mujer</v>
      </c>
      <c r="D176" s="13" t="str">
        <f t="shared" si="36"/>
        <v>Mujeres</v>
      </c>
      <c r="E176" s="39">
        <v>65</v>
      </c>
      <c r="F176" s="13" t="str">
        <f t="shared" si="35"/>
        <v>Sentencias por delito de abuso sexual</v>
      </c>
      <c r="G176" s="55" t="str">
        <f t="shared" si="35"/>
        <v>Abuso Sexual</v>
      </c>
      <c r="H176" s="38" t="s">
        <v>17</v>
      </c>
      <c r="I176" s="37" t="s">
        <v>300</v>
      </c>
      <c r="J176" s="12" t="s">
        <v>398</v>
      </c>
      <c r="K176" s="12" t="str">
        <f t="shared" ref="K176:M191" si="37">+K175</f>
        <v>Sentencias Dictadas por Delitos de Abuso Sexual</v>
      </c>
      <c r="L176" s="12" t="str">
        <f t="shared" si="37"/>
        <v>Periodo 2013-2019</v>
      </c>
      <c r="M176" s="12" t="str">
        <f t="shared" si="37"/>
        <v>Número de sentencias</v>
      </c>
      <c r="N176" s="33" t="s">
        <v>5964</v>
      </c>
      <c r="O176" s="27" t="str">
        <f>"Sentencias Dictadas por Delitos de Abuso Sexual en el 14° Juzgado de Garantía de "&amp;[1]!Ingresos_Historicos[[#This Row],[territorio]]&amp;" para el Periodo 2013-2019"</f>
        <v>Sentencias Dictadas por Delitos de Abuso Sexual en el 14° Juzgado de Garantía de Molina para el Periodo 2013-2019</v>
      </c>
      <c r="P176" s="42" t="str">
        <f>"El gráfico muestra la evolución anual de la frecuencia de Sentencias Dictadas por Delitos de Abuso Sexual en el 14° Juzgado de Garantía de "&amp;[1]!Ingresos_Historicos[[#This Row],[territorio]]&amp;" para el Periodo 2013-2019 de acuerdo a datos provenientes del Poder Judicial de Chile."</f>
        <v>El gráfico muestra la evolución anual de la frecuencia de Sentencias Dictadas por Delitos de Abuso Sexual en el 14° Juzgado de Garantía de Molina para el Periodo 2013-2019 de acuerdo a datos provenientes del Poder Judicial de Chile.</v>
      </c>
      <c r="Q176" s="14" t="str">
        <f t="shared" ref="Q176:Q239" si="38">+Q175</f>
        <v>Gráfico de Evolución</v>
      </c>
      <c r="R176" s="77" t="s">
        <v>6077</v>
      </c>
      <c r="S176" s="15" t="s">
        <v>6553</v>
      </c>
      <c r="T176" s="65" t="s">
        <v>5919</v>
      </c>
      <c r="U176" s="24" t="s">
        <v>397</v>
      </c>
      <c r="V176" s="19" t="str">
        <f>+Ingresos_Historicos[[#This Row],[idcoleccion]]&amp;"-"&amp;Ingresos_Historicos[[#This Row],[id]]</f>
        <v>300-0166</v>
      </c>
      <c r="W176" s="19" t="e">
        <f>+VLOOKUP(Ingresos_Historicos[[#This Row],[Filtro URL]],Estructura!$X$4:$Y$366,2,0)</f>
        <v>#N/A</v>
      </c>
      <c r="X176" s="19" t="str">
        <f>+VLOOKUP(Ingresos_Historicos[[#This Row],[tema]],Estructura!$A$4:$C$18,3,0)</f>
        <v>T-306</v>
      </c>
      <c r="Y176" s="19" t="str">
        <f>+VLOOKUP(Ingresos_Historicos[[#This Row],[contenido]],Estructura!$E$4:$G$18,3,0)</f>
        <v>C-301</v>
      </c>
      <c r="Z176" s="19" t="str">
        <f>+VLOOKUP(Ingresos_Historicos[[#This Row],[Filtro Integrado]],Estructura!$M$4:$O$367,3,0)</f>
        <v>FI-303</v>
      </c>
      <c r="AA176" s="19" t="str">
        <f>+VLOOKUP(Ingresos_Historicos[[#This Row],[Muestra]],Estructura!$Q$4:$S$194,3,0)</f>
        <v>M-306</v>
      </c>
    </row>
    <row r="177" spans="1:27" ht="40.799999999999997" x14ac:dyDescent="0.3">
      <c r="A177" s="71" t="s">
        <v>563</v>
      </c>
      <c r="B177" s="12">
        <f t="shared" si="36"/>
        <v>300</v>
      </c>
      <c r="C177" s="13" t="str">
        <f t="shared" si="36"/>
        <v>Violencia contra la mujer</v>
      </c>
      <c r="D177" s="13" t="str">
        <f t="shared" si="36"/>
        <v>Mujeres</v>
      </c>
      <c r="E177" s="39">
        <v>66</v>
      </c>
      <c r="F177" s="13" t="str">
        <f t="shared" ref="F177:G192" si="39">+F176</f>
        <v>Sentencias por delito de abuso sexual</v>
      </c>
      <c r="G177" s="55" t="str">
        <f t="shared" si="39"/>
        <v>Abuso Sexual</v>
      </c>
      <c r="H177" s="38" t="s">
        <v>17</v>
      </c>
      <c r="I177" s="37" t="s">
        <v>300</v>
      </c>
      <c r="J177" s="12" t="s">
        <v>398</v>
      </c>
      <c r="K177" s="12" t="str">
        <f t="shared" si="37"/>
        <v>Sentencias Dictadas por Delitos de Abuso Sexual</v>
      </c>
      <c r="L177" s="12" t="str">
        <f t="shared" si="37"/>
        <v>Periodo 2013-2019</v>
      </c>
      <c r="M177" s="12" t="str">
        <f t="shared" si="37"/>
        <v>Número de sentencias</v>
      </c>
      <c r="N177" s="33" t="s">
        <v>5964</v>
      </c>
      <c r="O177" s="27" t="str">
        <f>"Sentencias Dictadas por Delitos de Abuso Sexual en el 15° Juzgado de Garantía de "&amp;[1]!Ingresos_Historicos[[#This Row],[territorio]]&amp;" para el Periodo 2013-2019"</f>
        <v>Sentencias Dictadas por Delitos de Abuso Sexual en el 15° Juzgado de Garantía de Parral para el Periodo 2013-2019</v>
      </c>
      <c r="P177" s="42" t="str">
        <f>"El gráfico muestra la evolución anual de la frecuencia de Sentencias Dictadas por Delitos de Abuso Sexual en el 15° Juzgado de Garantía de "&amp;[1]!Ingresos_Historicos[[#This Row],[territorio]]&amp;" para el Periodo 2013-2019 de acuerdo a datos provenientes del Poder Judicial de Chile."</f>
        <v>El gráfico muestra la evolución anual de la frecuencia de Sentencias Dictadas por Delitos de Abuso Sexual en el 15° Juzgado de Garantía de Parral para el Periodo 2013-2019 de acuerdo a datos provenientes del Poder Judicial de Chile.</v>
      </c>
      <c r="Q177" s="14" t="str">
        <f t="shared" si="38"/>
        <v>Gráfico de Evolución</v>
      </c>
      <c r="R177" s="77" t="s">
        <v>6077</v>
      </c>
      <c r="S177" s="15" t="s">
        <v>6554</v>
      </c>
      <c r="T177" s="65" t="s">
        <v>5919</v>
      </c>
      <c r="U177" s="24" t="s">
        <v>397</v>
      </c>
      <c r="V177" s="19" t="str">
        <f>+Ingresos_Historicos[[#This Row],[idcoleccion]]&amp;"-"&amp;Ingresos_Historicos[[#This Row],[id]]</f>
        <v>300-0167</v>
      </c>
      <c r="W177" s="19" t="e">
        <f>+VLOOKUP(Ingresos_Historicos[[#This Row],[Filtro URL]],Estructura!$X$4:$Y$366,2,0)</f>
        <v>#N/A</v>
      </c>
      <c r="X177" s="19" t="str">
        <f>+VLOOKUP(Ingresos_Historicos[[#This Row],[tema]],Estructura!$A$4:$C$18,3,0)</f>
        <v>T-306</v>
      </c>
      <c r="Y177" s="19" t="str">
        <f>+VLOOKUP(Ingresos_Historicos[[#This Row],[contenido]],Estructura!$E$4:$G$18,3,0)</f>
        <v>C-301</v>
      </c>
      <c r="Z177" s="19" t="str">
        <f>+VLOOKUP(Ingresos_Historicos[[#This Row],[Filtro Integrado]],Estructura!$M$4:$O$367,3,0)</f>
        <v>FI-303</v>
      </c>
      <c r="AA177" s="19" t="str">
        <f>+VLOOKUP(Ingresos_Historicos[[#This Row],[Muestra]],Estructura!$Q$4:$S$194,3,0)</f>
        <v>M-306</v>
      </c>
    </row>
    <row r="178" spans="1:27" ht="40.799999999999997" x14ac:dyDescent="0.3">
      <c r="A178" s="71" t="s">
        <v>564</v>
      </c>
      <c r="B178" s="12">
        <f t="shared" si="36"/>
        <v>300</v>
      </c>
      <c r="C178" s="13" t="str">
        <f t="shared" si="36"/>
        <v>Violencia contra la mujer</v>
      </c>
      <c r="D178" s="13" t="str">
        <f t="shared" si="36"/>
        <v>Mujeres</v>
      </c>
      <c r="E178" s="39">
        <v>67</v>
      </c>
      <c r="F178" s="13" t="str">
        <f t="shared" si="39"/>
        <v>Sentencias por delito de abuso sexual</v>
      </c>
      <c r="G178" s="55" t="str">
        <f t="shared" si="39"/>
        <v>Abuso Sexual</v>
      </c>
      <c r="H178" s="38" t="s">
        <v>17</v>
      </c>
      <c r="I178" s="37" t="s">
        <v>300</v>
      </c>
      <c r="J178" s="12" t="s">
        <v>398</v>
      </c>
      <c r="K178" s="12" t="str">
        <f t="shared" si="37"/>
        <v>Sentencias Dictadas por Delitos de Abuso Sexual</v>
      </c>
      <c r="L178" s="12" t="str">
        <f t="shared" si="37"/>
        <v>Periodo 2013-2019</v>
      </c>
      <c r="M178" s="12" t="str">
        <f t="shared" si="37"/>
        <v>Número de sentencias</v>
      </c>
      <c r="N178" s="33" t="s">
        <v>5964</v>
      </c>
      <c r="O178" s="27" t="str">
        <f>"Sentencias Dictadas por Delitos de Abuso Sexual en el 1° Juzgado de Garantía de "&amp;[1]!Ingresos_Historicos[[#This Row],[territorio]]&amp;" para el Periodo 2013-2019"</f>
        <v>Sentencias Dictadas por Delitos de Abuso Sexual en el 1° Juzgado de Garantía de San Javier para el Periodo 2013-2019</v>
      </c>
      <c r="P178" s="42" t="str">
        <f>"El gráfico muestra la evolución anual de la frecuencia de Sentencias Dictadas por Delitos de Abuso Sexual en el 1° Juzgado de Garantía de "&amp;[1]!Ingresos_Historicos[[#This Row],[territorio]]&amp;" para el Periodo 2013-2019 de acuerdo a datos provenientes del Poder Judicial de Chile."</f>
        <v>El gráfico muestra la evolución anual de la frecuencia de Sentencias Dictadas por Delitos de Abuso Sexual en el 1° Juzgado de Garantía de San Javier para el Periodo 2013-2019 de acuerdo a datos provenientes del Poder Judicial de Chile.</v>
      </c>
      <c r="Q178" s="14" t="str">
        <f t="shared" si="38"/>
        <v>Gráfico de Evolución</v>
      </c>
      <c r="R178" s="77" t="s">
        <v>6077</v>
      </c>
      <c r="S178" s="15" t="s">
        <v>6555</v>
      </c>
      <c r="T178" s="65" t="s">
        <v>5919</v>
      </c>
      <c r="U178" s="24" t="s">
        <v>397</v>
      </c>
      <c r="V178" s="19" t="str">
        <f>+Ingresos_Historicos[[#This Row],[idcoleccion]]&amp;"-"&amp;Ingresos_Historicos[[#This Row],[id]]</f>
        <v>300-0168</v>
      </c>
      <c r="W178" s="19" t="e">
        <f>+VLOOKUP(Ingresos_Historicos[[#This Row],[Filtro URL]],Estructura!$X$4:$Y$366,2,0)</f>
        <v>#N/A</v>
      </c>
      <c r="X178" s="19" t="str">
        <f>+VLOOKUP(Ingresos_Historicos[[#This Row],[tema]],Estructura!$A$4:$C$18,3,0)</f>
        <v>T-306</v>
      </c>
      <c r="Y178" s="19" t="str">
        <f>+VLOOKUP(Ingresos_Historicos[[#This Row],[contenido]],Estructura!$E$4:$G$18,3,0)</f>
        <v>C-301</v>
      </c>
      <c r="Z178" s="19" t="str">
        <f>+VLOOKUP(Ingresos_Historicos[[#This Row],[Filtro Integrado]],Estructura!$M$4:$O$367,3,0)</f>
        <v>FI-303</v>
      </c>
      <c r="AA178" s="19" t="str">
        <f>+VLOOKUP(Ingresos_Historicos[[#This Row],[Muestra]],Estructura!$Q$4:$S$194,3,0)</f>
        <v>M-306</v>
      </c>
    </row>
    <row r="179" spans="1:27" ht="40.799999999999997" x14ac:dyDescent="0.3">
      <c r="A179" s="71" t="s">
        <v>565</v>
      </c>
      <c r="B179" s="12">
        <f t="shared" si="36"/>
        <v>300</v>
      </c>
      <c r="C179" s="13" t="str">
        <f t="shared" si="36"/>
        <v>Violencia contra la mujer</v>
      </c>
      <c r="D179" s="13" t="str">
        <f t="shared" si="36"/>
        <v>Mujeres</v>
      </c>
      <c r="E179" s="39">
        <v>68</v>
      </c>
      <c r="F179" s="13" t="str">
        <f t="shared" si="39"/>
        <v>Sentencias por delito de abuso sexual</v>
      </c>
      <c r="G179" s="55" t="str">
        <f t="shared" si="39"/>
        <v>Abuso Sexual</v>
      </c>
      <c r="H179" s="38" t="s">
        <v>17</v>
      </c>
      <c r="I179" s="37" t="s">
        <v>300</v>
      </c>
      <c r="J179" s="12" t="s">
        <v>398</v>
      </c>
      <c r="K179" s="12" t="str">
        <f t="shared" si="37"/>
        <v>Sentencias Dictadas por Delitos de Abuso Sexual</v>
      </c>
      <c r="L179" s="12" t="str">
        <f t="shared" si="37"/>
        <v>Periodo 2013-2019</v>
      </c>
      <c r="M179" s="12" t="str">
        <f t="shared" si="37"/>
        <v>Número de sentencias</v>
      </c>
      <c r="N179" s="33" t="s">
        <v>5964</v>
      </c>
      <c r="O179" s="27" t="str">
        <f>"Sentencias Dictadas por Delitos de Abuso Sexual en el 2° Juzgado de Garantía de "&amp;[1]!Ingresos_Historicos[[#This Row],[territorio]]&amp;" para el Periodo 2013-2019"</f>
        <v>Sentencias Dictadas por Delitos de Abuso Sexual en el 2° Juzgado de Garantía de Talca para el Periodo 2013-2019</v>
      </c>
      <c r="P179" s="42" t="str">
        <f>"El gráfico muestra la evolución anual de la frecuencia de Sentencias Dictadas por Delitos de Abuso Sexual en el 2° Juzgado de Garantía de "&amp;[1]!Ingresos_Historicos[[#This Row],[territorio]]&amp;" para el Periodo 2013-2019 de acuerdo a datos provenientes del Poder Judicial de Chile."</f>
        <v>El gráfico muestra la evolución anual de la frecuencia de Sentencias Dictadas por Delitos de Abuso Sexual en el 2° Juzgado de Garantía de Talca para el Periodo 2013-2019 de acuerdo a datos provenientes del Poder Judicial de Chile.</v>
      </c>
      <c r="Q179" s="14" t="str">
        <f t="shared" si="38"/>
        <v>Gráfico de Evolución</v>
      </c>
      <c r="R179" s="77" t="s">
        <v>6077</v>
      </c>
      <c r="S179" s="15" t="s">
        <v>6556</v>
      </c>
      <c r="T179" s="65" t="s">
        <v>5919</v>
      </c>
      <c r="U179" s="24" t="s">
        <v>397</v>
      </c>
      <c r="V179" s="19" t="str">
        <f>+Ingresos_Historicos[[#This Row],[idcoleccion]]&amp;"-"&amp;Ingresos_Historicos[[#This Row],[id]]</f>
        <v>300-0169</v>
      </c>
      <c r="W179" s="19" t="e">
        <f>+VLOOKUP(Ingresos_Historicos[[#This Row],[Filtro URL]],Estructura!$X$4:$Y$366,2,0)</f>
        <v>#N/A</v>
      </c>
      <c r="X179" s="19" t="str">
        <f>+VLOOKUP(Ingresos_Historicos[[#This Row],[tema]],Estructura!$A$4:$C$18,3,0)</f>
        <v>T-306</v>
      </c>
      <c r="Y179" s="19" t="str">
        <f>+VLOOKUP(Ingresos_Historicos[[#This Row],[contenido]],Estructura!$E$4:$G$18,3,0)</f>
        <v>C-301</v>
      </c>
      <c r="Z179" s="19" t="str">
        <f>+VLOOKUP(Ingresos_Historicos[[#This Row],[Filtro Integrado]],Estructura!$M$4:$O$367,3,0)</f>
        <v>FI-303</v>
      </c>
      <c r="AA179" s="19" t="str">
        <f>+VLOOKUP(Ingresos_Historicos[[#This Row],[Muestra]],Estructura!$Q$4:$S$194,3,0)</f>
        <v>M-306</v>
      </c>
    </row>
    <row r="180" spans="1:27" ht="40.799999999999997" x14ac:dyDescent="0.3">
      <c r="A180" s="71" t="s">
        <v>566</v>
      </c>
      <c r="B180" s="12">
        <f t="shared" si="36"/>
        <v>300</v>
      </c>
      <c r="C180" s="13" t="str">
        <f t="shared" si="36"/>
        <v>Violencia contra la mujer</v>
      </c>
      <c r="D180" s="13" t="str">
        <f t="shared" si="36"/>
        <v>Mujeres</v>
      </c>
      <c r="E180" s="39">
        <v>69</v>
      </c>
      <c r="F180" s="13" t="str">
        <f t="shared" si="39"/>
        <v>Sentencias por delito de abuso sexual</v>
      </c>
      <c r="G180" s="55" t="str">
        <f t="shared" si="39"/>
        <v>Abuso Sexual</v>
      </c>
      <c r="H180" s="38" t="s">
        <v>17</v>
      </c>
      <c r="I180" s="37" t="s">
        <v>300</v>
      </c>
      <c r="J180" s="12" t="s">
        <v>398</v>
      </c>
      <c r="K180" s="12" t="str">
        <f t="shared" si="37"/>
        <v>Sentencias Dictadas por Delitos de Abuso Sexual</v>
      </c>
      <c r="L180" s="12" t="str">
        <f t="shared" si="37"/>
        <v>Periodo 2013-2019</v>
      </c>
      <c r="M180" s="12" t="str">
        <f t="shared" si="37"/>
        <v>Número de sentencias</v>
      </c>
      <c r="N180" s="33" t="s">
        <v>5964</v>
      </c>
      <c r="O180" s="27" t="str">
        <f>"Sentencias Dictadas por Delitos de Abuso Sexual en el 3° Juzgado de Garantía de "&amp;[1]!Ingresos_Historicos[[#This Row],[territorio]]&amp;" para el Periodo 2013-2019"</f>
        <v>Sentencias Dictadas por Delitos de Abuso Sexual en el 3° Juzgado de Garantía de Arauco para el Periodo 2013-2019</v>
      </c>
      <c r="P180" s="42" t="str">
        <f>"El gráfico muestra la evolución anual de la frecuencia de Sentencias Dictadas por Delitos de Abuso Sexual en el 3° Juzgado de Garantía de "&amp;[1]!Ingresos_Historicos[[#This Row],[territorio]]&amp;" para el Periodo 2013-2019 de acuerdo a datos provenientes del Poder Judicial de Chile."</f>
        <v>El gráfico muestra la evolución anual de la frecuencia de Sentencias Dictadas por Delitos de Abuso Sexual en el 3° Juzgado de Garantía de Arauco para el Periodo 2013-2019 de acuerdo a datos provenientes del Poder Judicial de Chile.</v>
      </c>
      <c r="Q180" s="14" t="str">
        <f t="shared" si="38"/>
        <v>Gráfico de Evolución</v>
      </c>
      <c r="R180" s="77" t="s">
        <v>6077</v>
      </c>
      <c r="S180" s="15" t="s">
        <v>6557</v>
      </c>
      <c r="T180" s="65" t="s">
        <v>5919</v>
      </c>
      <c r="U180" s="24" t="s">
        <v>397</v>
      </c>
      <c r="V180" s="19" t="str">
        <f>+Ingresos_Historicos[[#This Row],[idcoleccion]]&amp;"-"&amp;Ingresos_Historicos[[#This Row],[id]]</f>
        <v>300-0170</v>
      </c>
      <c r="W180" s="19" t="e">
        <f>+VLOOKUP(Ingresos_Historicos[[#This Row],[Filtro URL]],Estructura!$X$4:$Y$366,2,0)</f>
        <v>#N/A</v>
      </c>
      <c r="X180" s="19" t="str">
        <f>+VLOOKUP(Ingresos_Historicos[[#This Row],[tema]],Estructura!$A$4:$C$18,3,0)</f>
        <v>T-306</v>
      </c>
      <c r="Y180" s="19" t="str">
        <f>+VLOOKUP(Ingresos_Historicos[[#This Row],[contenido]],Estructura!$E$4:$G$18,3,0)</f>
        <v>C-301</v>
      </c>
      <c r="Z180" s="19" t="str">
        <f>+VLOOKUP(Ingresos_Historicos[[#This Row],[Filtro Integrado]],Estructura!$M$4:$O$367,3,0)</f>
        <v>FI-303</v>
      </c>
      <c r="AA180" s="19" t="str">
        <f>+VLOOKUP(Ingresos_Historicos[[#This Row],[Muestra]],Estructura!$Q$4:$S$194,3,0)</f>
        <v>M-306</v>
      </c>
    </row>
    <row r="181" spans="1:27" ht="40.799999999999997" x14ac:dyDescent="0.3">
      <c r="A181" s="71" t="s">
        <v>567</v>
      </c>
      <c r="B181" s="12">
        <f t="shared" si="36"/>
        <v>300</v>
      </c>
      <c r="C181" s="13" t="str">
        <f t="shared" si="36"/>
        <v>Violencia contra la mujer</v>
      </c>
      <c r="D181" s="13" t="str">
        <f t="shared" si="36"/>
        <v>Mujeres</v>
      </c>
      <c r="E181" s="39">
        <v>70</v>
      </c>
      <c r="F181" s="13" t="str">
        <f t="shared" si="39"/>
        <v>Sentencias por delito de abuso sexual</v>
      </c>
      <c r="G181" s="55" t="str">
        <f t="shared" si="39"/>
        <v>Abuso Sexual</v>
      </c>
      <c r="H181" s="38" t="s">
        <v>17</v>
      </c>
      <c r="I181" s="37" t="s">
        <v>300</v>
      </c>
      <c r="J181" s="12" t="s">
        <v>398</v>
      </c>
      <c r="K181" s="12" t="str">
        <f t="shared" si="37"/>
        <v>Sentencias Dictadas por Delitos de Abuso Sexual</v>
      </c>
      <c r="L181" s="12" t="str">
        <f t="shared" si="37"/>
        <v>Periodo 2013-2019</v>
      </c>
      <c r="M181" s="12" t="str">
        <f t="shared" si="37"/>
        <v>Número de sentencias</v>
      </c>
      <c r="N181" s="33" t="s">
        <v>5964</v>
      </c>
      <c r="O181" s="27" t="str">
        <f>"Sentencias Dictadas por Delitos de Abuso Sexual en el 4° Juzgado de Garantía de "&amp;[1]!Ingresos_Historicos[[#This Row],[territorio]]&amp;" para el Periodo 2013-2019"</f>
        <v>Sentencias Dictadas por Delitos de Abuso Sexual en el 4° Juzgado de Garantía de Cañete para el Periodo 2013-2019</v>
      </c>
      <c r="P181" s="42" t="str">
        <f>"El gráfico muestra la evolución anual de la frecuencia de Sentencias Dictadas por Delitos de Abuso Sexual en el 4° Juzgado de Garantía de "&amp;[1]!Ingresos_Historicos[[#This Row],[territorio]]&amp;" para el Periodo 2013-2019 de acuerdo a datos provenientes del Poder Judicial de Chile."</f>
        <v>El gráfico muestra la evolución anual de la frecuencia de Sentencias Dictadas por Delitos de Abuso Sexual en el 4° Juzgado de Garantía de Cañete para el Periodo 2013-2019 de acuerdo a datos provenientes del Poder Judicial de Chile.</v>
      </c>
      <c r="Q181" s="14" t="str">
        <f t="shared" si="38"/>
        <v>Gráfico de Evolución</v>
      </c>
      <c r="R181" s="77" t="s">
        <v>6077</v>
      </c>
      <c r="S181" s="15" t="s">
        <v>6558</v>
      </c>
      <c r="T181" s="65" t="s">
        <v>5919</v>
      </c>
      <c r="U181" s="24" t="s">
        <v>397</v>
      </c>
      <c r="V181" s="19" t="str">
        <f>+Ingresos_Historicos[[#This Row],[idcoleccion]]&amp;"-"&amp;Ingresos_Historicos[[#This Row],[id]]</f>
        <v>300-0171</v>
      </c>
      <c r="W181" s="19" t="e">
        <f>+VLOOKUP(Ingresos_Historicos[[#This Row],[Filtro URL]],Estructura!$X$4:$Y$366,2,0)</f>
        <v>#N/A</v>
      </c>
      <c r="X181" s="19" t="str">
        <f>+VLOOKUP(Ingresos_Historicos[[#This Row],[tema]],Estructura!$A$4:$C$18,3,0)</f>
        <v>T-306</v>
      </c>
      <c r="Y181" s="19" t="str">
        <f>+VLOOKUP(Ingresos_Historicos[[#This Row],[contenido]],Estructura!$E$4:$G$18,3,0)</f>
        <v>C-301</v>
      </c>
      <c r="Z181" s="19" t="str">
        <f>+VLOOKUP(Ingresos_Historicos[[#This Row],[Filtro Integrado]],Estructura!$M$4:$O$367,3,0)</f>
        <v>FI-303</v>
      </c>
      <c r="AA181" s="19" t="str">
        <f>+VLOOKUP(Ingresos_Historicos[[#This Row],[Muestra]],Estructura!$Q$4:$S$194,3,0)</f>
        <v>M-306</v>
      </c>
    </row>
    <row r="182" spans="1:27" ht="51" x14ac:dyDescent="0.3">
      <c r="A182" s="71" t="s">
        <v>568</v>
      </c>
      <c r="B182" s="12">
        <f t="shared" si="36"/>
        <v>300</v>
      </c>
      <c r="C182" s="13" t="str">
        <f t="shared" si="36"/>
        <v>Violencia contra la mujer</v>
      </c>
      <c r="D182" s="13" t="str">
        <f t="shared" si="36"/>
        <v>Mujeres</v>
      </c>
      <c r="E182" s="39">
        <v>71</v>
      </c>
      <c r="F182" s="13" t="str">
        <f t="shared" si="39"/>
        <v>Sentencias por delito de abuso sexual</v>
      </c>
      <c r="G182" s="55" t="str">
        <f t="shared" si="39"/>
        <v>Abuso Sexual</v>
      </c>
      <c r="H182" s="38" t="s">
        <v>17</v>
      </c>
      <c r="I182" s="37" t="s">
        <v>300</v>
      </c>
      <c r="J182" s="12" t="s">
        <v>398</v>
      </c>
      <c r="K182" s="12" t="str">
        <f t="shared" si="37"/>
        <v>Sentencias Dictadas por Delitos de Abuso Sexual</v>
      </c>
      <c r="L182" s="12" t="str">
        <f t="shared" si="37"/>
        <v>Periodo 2013-2019</v>
      </c>
      <c r="M182" s="12" t="str">
        <f t="shared" si="37"/>
        <v>Número de sentencias</v>
      </c>
      <c r="N182" s="33" t="s">
        <v>5964</v>
      </c>
      <c r="O182" s="27" t="str">
        <f>"Sentencias Dictadas por Delitos de Abuso Sexual en el 5° Juzgado de Garantía de "&amp;[1]!Ingresos_Historicos[[#This Row],[territorio]]&amp;" para el Periodo 2013-2019"</f>
        <v>Sentencias Dictadas por Delitos de Abuso Sexual en el 5° Juzgado de Garantía de Chiguayante para el Periodo 2013-2019</v>
      </c>
      <c r="P182" s="42" t="str">
        <f>"El gráfico muestra la evolución anual de la frecuencia de Sentencias Dictadas por Delitos de Abuso Sexual en el 5° Juzgado de Garantía de "&amp;[1]!Ingresos_Historicos[[#This Row],[territorio]]&amp;" para el Periodo 2013-2019 de acuerdo a datos provenientes del Poder Judicial de Chile."</f>
        <v>El gráfico muestra la evolución anual de la frecuencia de Sentencias Dictadas por Delitos de Abuso Sexual en el 5° Juzgado de Garantía de Chiguayante para el Periodo 2013-2019 de acuerdo a datos provenientes del Poder Judicial de Chile.</v>
      </c>
      <c r="Q182" s="14" t="str">
        <f t="shared" si="38"/>
        <v>Gráfico de Evolución</v>
      </c>
      <c r="R182" s="77" t="s">
        <v>6077</v>
      </c>
      <c r="S182" s="15" t="s">
        <v>6559</v>
      </c>
      <c r="T182" s="65" t="s">
        <v>5919</v>
      </c>
      <c r="U182" s="24" t="s">
        <v>397</v>
      </c>
      <c r="V182" s="19" t="str">
        <f>+Ingresos_Historicos[[#This Row],[idcoleccion]]&amp;"-"&amp;Ingresos_Historicos[[#This Row],[id]]</f>
        <v>300-0172</v>
      </c>
      <c r="W182" s="19" t="e">
        <f>+VLOOKUP(Ingresos_Historicos[[#This Row],[Filtro URL]],Estructura!$X$4:$Y$366,2,0)</f>
        <v>#N/A</v>
      </c>
      <c r="X182" s="19" t="str">
        <f>+VLOOKUP(Ingresos_Historicos[[#This Row],[tema]],Estructura!$A$4:$C$18,3,0)</f>
        <v>T-306</v>
      </c>
      <c r="Y182" s="19" t="str">
        <f>+VLOOKUP(Ingresos_Historicos[[#This Row],[contenido]],Estructura!$E$4:$G$18,3,0)</f>
        <v>C-301</v>
      </c>
      <c r="Z182" s="19" t="str">
        <f>+VLOOKUP(Ingresos_Historicos[[#This Row],[Filtro Integrado]],Estructura!$M$4:$O$367,3,0)</f>
        <v>FI-303</v>
      </c>
      <c r="AA182" s="19" t="str">
        <f>+VLOOKUP(Ingresos_Historicos[[#This Row],[Muestra]],Estructura!$Q$4:$S$194,3,0)</f>
        <v>M-306</v>
      </c>
    </row>
    <row r="183" spans="1:27" ht="51" x14ac:dyDescent="0.3">
      <c r="A183" s="71" t="s">
        <v>569</v>
      </c>
      <c r="B183" s="12">
        <f t="shared" si="36"/>
        <v>300</v>
      </c>
      <c r="C183" s="13" t="str">
        <f t="shared" si="36"/>
        <v>Violencia contra la mujer</v>
      </c>
      <c r="D183" s="13" t="str">
        <f t="shared" si="36"/>
        <v>Mujeres</v>
      </c>
      <c r="E183" s="39">
        <v>72</v>
      </c>
      <c r="F183" s="13" t="str">
        <f t="shared" si="39"/>
        <v>Sentencias por delito de abuso sexual</v>
      </c>
      <c r="G183" s="55" t="str">
        <f t="shared" si="39"/>
        <v>Abuso Sexual</v>
      </c>
      <c r="H183" s="38" t="s">
        <v>17</v>
      </c>
      <c r="I183" s="37" t="s">
        <v>300</v>
      </c>
      <c r="J183" s="12" t="s">
        <v>398</v>
      </c>
      <c r="K183" s="12" t="str">
        <f t="shared" si="37"/>
        <v>Sentencias Dictadas por Delitos de Abuso Sexual</v>
      </c>
      <c r="L183" s="12" t="str">
        <f t="shared" si="37"/>
        <v>Periodo 2013-2019</v>
      </c>
      <c r="M183" s="12" t="str">
        <f t="shared" si="37"/>
        <v>Número de sentencias</v>
      </c>
      <c r="N183" s="33" t="s">
        <v>5964</v>
      </c>
      <c r="O183" s="27" t="str">
        <f>"Sentencias Dictadas por Delitos de Abuso Sexual en el 6° Juzgado de Garantía de "&amp;[1]!Ingresos_Historicos[[#This Row],[territorio]]&amp;" para el Periodo 2013-2019"</f>
        <v>Sentencias Dictadas por Delitos de Abuso Sexual en el 6° Juzgado de Garantía de Concepcion para el Periodo 2013-2019</v>
      </c>
      <c r="P183" s="42" t="str">
        <f>"El gráfico muestra la evolución anual de la frecuencia de Sentencias Dictadas por Delitos de Abuso Sexual en el 6° Juzgado de Garantía de "&amp;[1]!Ingresos_Historicos[[#This Row],[territorio]]&amp;" para el Periodo 2013-2019 de acuerdo a datos provenientes del Poder Judicial de Chile."</f>
        <v>El gráfico muestra la evolución anual de la frecuencia de Sentencias Dictadas por Delitos de Abuso Sexual en el 6° Juzgado de Garantía de Concepcion para el Periodo 2013-2019 de acuerdo a datos provenientes del Poder Judicial de Chile.</v>
      </c>
      <c r="Q183" s="14" t="str">
        <f t="shared" si="38"/>
        <v>Gráfico de Evolución</v>
      </c>
      <c r="R183" s="77" t="s">
        <v>6077</v>
      </c>
      <c r="S183" s="15" t="s">
        <v>6560</v>
      </c>
      <c r="T183" s="65" t="s">
        <v>5919</v>
      </c>
      <c r="U183" s="24" t="s">
        <v>397</v>
      </c>
      <c r="V183" s="19" t="str">
        <f>+Ingresos_Historicos[[#This Row],[idcoleccion]]&amp;"-"&amp;Ingresos_Historicos[[#This Row],[id]]</f>
        <v>300-0173</v>
      </c>
      <c r="W183" s="19" t="e">
        <f>+VLOOKUP(Ingresos_Historicos[[#This Row],[Filtro URL]],Estructura!$X$4:$Y$366,2,0)</f>
        <v>#N/A</v>
      </c>
      <c r="X183" s="19" t="str">
        <f>+VLOOKUP(Ingresos_Historicos[[#This Row],[tema]],Estructura!$A$4:$C$18,3,0)</f>
        <v>T-306</v>
      </c>
      <c r="Y183" s="19" t="str">
        <f>+VLOOKUP(Ingresos_Historicos[[#This Row],[contenido]],Estructura!$E$4:$G$18,3,0)</f>
        <v>C-301</v>
      </c>
      <c r="Z183" s="19" t="str">
        <f>+VLOOKUP(Ingresos_Historicos[[#This Row],[Filtro Integrado]],Estructura!$M$4:$O$367,3,0)</f>
        <v>FI-303</v>
      </c>
      <c r="AA183" s="19" t="str">
        <f>+VLOOKUP(Ingresos_Historicos[[#This Row],[Muestra]],Estructura!$Q$4:$S$194,3,0)</f>
        <v>M-306</v>
      </c>
    </row>
    <row r="184" spans="1:27" ht="40.799999999999997" x14ac:dyDescent="0.3">
      <c r="A184" s="71" t="s">
        <v>570</v>
      </c>
      <c r="B184" s="12">
        <f t="shared" si="36"/>
        <v>300</v>
      </c>
      <c r="C184" s="13" t="str">
        <f t="shared" si="36"/>
        <v>Violencia contra la mujer</v>
      </c>
      <c r="D184" s="13" t="str">
        <f t="shared" si="36"/>
        <v>Mujeres</v>
      </c>
      <c r="E184" s="39">
        <v>73</v>
      </c>
      <c r="F184" s="13" t="str">
        <f t="shared" si="39"/>
        <v>Sentencias por delito de abuso sexual</v>
      </c>
      <c r="G184" s="55" t="str">
        <f t="shared" si="39"/>
        <v>Abuso Sexual</v>
      </c>
      <c r="H184" s="38" t="s">
        <v>17</v>
      </c>
      <c r="I184" s="37" t="s">
        <v>300</v>
      </c>
      <c r="J184" s="12" t="s">
        <v>398</v>
      </c>
      <c r="K184" s="12" t="str">
        <f t="shared" si="37"/>
        <v>Sentencias Dictadas por Delitos de Abuso Sexual</v>
      </c>
      <c r="L184" s="12" t="str">
        <f t="shared" si="37"/>
        <v>Periodo 2013-2019</v>
      </c>
      <c r="M184" s="12" t="str">
        <f t="shared" si="37"/>
        <v>Número de sentencias</v>
      </c>
      <c r="N184" s="33" t="s">
        <v>5964</v>
      </c>
      <c r="O184" s="27" t="str">
        <f>"Sentencias Dictadas por Delitos de Abuso Sexual en el 7° Juzgado de Garantía de "&amp;[1]!Ingresos_Historicos[[#This Row],[territorio]]&amp;" para el Periodo 2013-2019"</f>
        <v>Sentencias Dictadas por Delitos de Abuso Sexual en el 7° Juzgado de Garantía de Coronel para el Periodo 2013-2019</v>
      </c>
      <c r="P184" s="42" t="str">
        <f>"El gráfico muestra la evolución anual de la frecuencia de Sentencias Dictadas por Delitos de Abuso Sexual en el 7° Juzgado de Garantía de "&amp;[1]!Ingresos_Historicos[[#This Row],[territorio]]&amp;" para el Periodo 2013-2019 de acuerdo a datos provenientes del Poder Judicial de Chile."</f>
        <v>El gráfico muestra la evolución anual de la frecuencia de Sentencias Dictadas por Delitos de Abuso Sexual en el 7° Juzgado de Garantía de Coronel para el Periodo 2013-2019 de acuerdo a datos provenientes del Poder Judicial de Chile.</v>
      </c>
      <c r="Q184" s="14" t="str">
        <f t="shared" si="38"/>
        <v>Gráfico de Evolución</v>
      </c>
      <c r="R184" s="77" t="s">
        <v>6077</v>
      </c>
      <c r="S184" s="15" t="s">
        <v>6561</v>
      </c>
      <c r="T184" s="65" t="s">
        <v>5919</v>
      </c>
      <c r="U184" s="24" t="s">
        <v>397</v>
      </c>
      <c r="V184" s="19" t="str">
        <f>+Ingresos_Historicos[[#This Row],[idcoleccion]]&amp;"-"&amp;Ingresos_Historicos[[#This Row],[id]]</f>
        <v>300-0174</v>
      </c>
      <c r="W184" s="19" t="e">
        <f>+VLOOKUP(Ingresos_Historicos[[#This Row],[Filtro URL]],Estructura!$X$4:$Y$366,2,0)</f>
        <v>#N/A</v>
      </c>
      <c r="X184" s="19" t="str">
        <f>+VLOOKUP(Ingresos_Historicos[[#This Row],[tema]],Estructura!$A$4:$C$18,3,0)</f>
        <v>T-306</v>
      </c>
      <c r="Y184" s="19" t="str">
        <f>+VLOOKUP(Ingresos_Historicos[[#This Row],[contenido]],Estructura!$E$4:$G$18,3,0)</f>
        <v>C-301</v>
      </c>
      <c r="Z184" s="19" t="str">
        <f>+VLOOKUP(Ingresos_Historicos[[#This Row],[Filtro Integrado]],Estructura!$M$4:$O$367,3,0)</f>
        <v>FI-303</v>
      </c>
      <c r="AA184" s="19" t="str">
        <f>+VLOOKUP(Ingresos_Historicos[[#This Row],[Muestra]],Estructura!$Q$4:$S$194,3,0)</f>
        <v>M-306</v>
      </c>
    </row>
    <row r="185" spans="1:27" ht="51" x14ac:dyDescent="0.3">
      <c r="A185" s="71" t="s">
        <v>571</v>
      </c>
      <c r="B185" s="12">
        <f t="shared" si="36"/>
        <v>300</v>
      </c>
      <c r="C185" s="13" t="str">
        <f t="shared" si="36"/>
        <v>Violencia contra la mujer</v>
      </c>
      <c r="D185" s="13" t="str">
        <f t="shared" si="36"/>
        <v>Mujeres</v>
      </c>
      <c r="E185" s="39">
        <v>74</v>
      </c>
      <c r="F185" s="13" t="str">
        <f t="shared" si="39"/>
        <v>Sentencias por delito de abuso sexual</v>
      </c>
      <c r="G185" s="55" t="str">
        <f t="shared" si="39"/>
        <v>Abuso Sexual</v>
      </c>
      <c r="H185" s="38" t="s">
        <v>17</v>
      </c>
      <c r="I185" s="37" t="s">
        <v>300</v>
      </c>
      <c r="J185" s="12" t="s">
        <v>398</v>
      </c>
      <c r="K185" s="12" t="str">
        <f t="shared" si="37"/>
        <v>Sentencias Dictadas por Delitos de Abuso Sexual</v>
      </c>
      <c r="L185" s="12" t="str">
        <f t="shared" si="37"/>
        <v>Periodo 2013-2019</v>
      </c>
      <c r="M185" s="12" t="str">
        <f t="shared" si="37"/>
        <v>Número de sentencias</v>
      </c>
      <c r="N185" s="33" t="s">
        <v>5964</v>
      </c>
      <c r="O185" s="27" t="str">
        <f>"Sentencias Dictadas por Delitos de Abuso Sexual en el 8° Juzgado de Garantía de "&amp;[1]!Ingresos_Historicos[[#This Row],[territorio]]&amp;" para el Periodo 2013-2019"</f>
        <v>Sentencias Dictadas por Delitos de Abuso Sexual en el 8° Juzgado de Garantía de Los Angeles para el Periodo 2013-2019</v>
      </c>
      <c r="P185" s="42" t="str">
        <f>"El gráfico muestra la evolución anual de la frecuencia de Sentencias Dictadas por Delitos de Abuso Sexual en el 8° Juzgado de Garantía de "&amp;[1]!Ingresos_Historicos[[#This Row],[territorio]]&amp;" para el Periodo 2013-2019 de acuerdo a datos provenientes del Poder Judicial de Chile."</f>
        <v>El gráfico muestra la evolución anual de la frecuencia de Sentencias Dictadas por Delitos de Abuso Sexual en el 8° Juzgado de Garantía de Los Angeles para el Periodo 2013-2019 de acuerdo a datos provenientes del Poder Judicial de Chile.</v>
      </c>
      <c r="Q185" s="14" t="str">
        <f t="shared" si="38"/>
        <v>Gráfico de Evolución</v>
      </c>
      <c r="R185" s="77" t="s">
        <v>6077</v>
      </c>
      <c r="S185" s="15" t="s">
        <v>6562</v>
      </c>
      <c r="T185" s="65" t="s">
        <v>5919</v>
      </c>
      <c r="U185" s="24" t="s">
        <v>397</v>
      </c>
      <c r="V185" s="19" t="str">
        <f>+Ingresos_Historicos[[#This Row],[idcoleccion]]&amp;"-"&amp;Ingresos_Historicos[[#This Row],[id]]</f>
        <v>300-0175</v>
      </c>
      <c r="W185" s="19" t="e">
        <f>+VLOOKUP(Ingresos_Historicos[[#This Row],[Filtro URL]],Estructura!$X$4:$Y$366,2,0)</f>
        <v>#N/A</v>
      </c>
      <c r="X185" s="19" t="str">
        <f>+VLOOKUP(Ingresos_Historicos[[#This Row],[tema]],Estructura!$A$4:$C$18,3,0)</f>
        <v>T-306</v>
      </c>
      <c r="Y185" s="19" t="str">
        <f>+VLOOKUP(Ingresos_Historicos[[#This Row],[contenido]],Estructura!$E$4:$G$18,3,0)</f>
        <v>C-301</v>
      </c>
      <c r="Z185" s="19" t="str">
        <f>+VLOOKUP(Ingresos_Historicos[[#This Row],[Filtro Integrado]],Estructura!$M$4:$O$367,3,0)</f>
        <v>FI-303</v>
      </c>
      <c r="AA185" s="19" t="str">
        <f>+VLOOKUP(Ingresos_Historicos[[#This Row],[Muestra]],Estructura!$Q$4:$S$194,3,0)</f>
        <v>M-306</v>
      </c>
    </row>
    <row r="186" spans="1:27" ht="51" x14ac:dyDescent="0.3">
      <c r="A186" s="71" t="s">
        <v>572</v>
      </c>
      <c r="B186" s="12">
        <f t="shared" si="36"/>
        <v>300</v>
      </c>
      <c r="C186" s="13" t="str">
        <f t="shared" si="36"/>
        <v>Violencia contra la mujer</v>
      </c>
      <c r="D186" s="13" t="str">
        <f t="shared" si="36"/>
        <v>Mujeres</v>
      </c>
      <c r="E186" s="39">
        <v>75</v>
      </c>
      <c r="F186" s="13" t="str">
        <f t="shared" si="39"/>
        <v>Sentencias por delito de abuso sexual</v>
      </c>
      <c r="G186" s="55" t="str">
        <f t="shared" si="39"/>
        <v>Abuso Sexual</v>
      </c>
      <c r="H186" s="38" t="s">
        <v>17</v>
      </c>
      <c r="I186" s="37" t="s">
        <v>300</v>
      </c>
      <c r="J186" s="12" t="s">
        <v>398</v>
      </c>
      <c r="K186" s="12" t="str">
        <f t="shared" si="37"/>
        <v>Sentencias Dictadas por Delitos de Abuso Sexual</v>
      </c>
      <c r="L186" s="12" t="str">
        <f t="shared" si="37"/>
        <v>Periodo 2013-2019</v>
      </c>
      <c r="M186" s="12" t="str">
        <f t="shared" si="37"/>
        <v>Número de sentencias</v>
      </c>
      <c r="N186" s="33" t="s">
        <v>5964</v>
      </c>
      <c r="O186" s="27" t="str">
        <f>"Sentencias Dictadas por Delitos de Abuso Sexual en el 9° Juzgado de Garantía de "&amp;[1]!Ingresos_Historicos[[#This Row],[territorio]]&amp;" para el Periodo 2013-2019"</f>
        <v>Sentencias Dictadas por Delitos de Abuso Sexual en el 9° Juzgado de Garantía de Talcahuano para el Periodo 2013-2019</v>
      </c>
      <c r="P186" s="42" t="str">
        <f>"El gráfico muestra la evolución anual de la frecuencia de Sentencias Dictadas por Delitos de Abuso Sexual en el 9° Juzgado de Garantía de "&amp;[1]!Ingresos_Historicos[[#This Row],[territorio]]&amp;" para el Periodo 2013-2019 de acuerdo a datos provenientes del Poder Judicial de Chile."</f>
        <v>El gráfico muestra la evolución anual de la frecuencia de Sentencias Dictadas por Delitos de Abuso Sexual en el 9° Juzgado de Garantía de Talcahuano para el Periodo 2013-2019 de acuerdo a datos provenientes del Poder Judicial de Chile.</v>
      </c>
      <c r="Q186" s="14" t="str">
        <f t="shared" si="38"/>
        <v>Gráfico de Evolución</v>
      </c>
      <c r="R186" s="77" t="s">
        <v>6077</v>
      </c>
      <c r="S186" s="15" t="s">
        <v>6563</v>
      </c>
      <c r="T186" s="65" t="s">
        <v>5919</v>
      </c>
      <c r="U186" s="24" t="s">
        <v>397</v>
      </c>
      <c r="V186" s="19" t="str">
        <f>+Ingresos_Historicos[[#This Row],[idcoleccion]]&amp;"-"&amp;Ingresos_Historicos[[#This Row],[id]]</f>
        <v>300-0176</v>
      </c>
      <c r="W186" s="19" t="e">
        <f>+VLOOKUP(Ingresos_Historicos[[#This Row],[Filtro URL]],Estructura!$X$4:$Y$366,2,0)</f>
        <v>#N/A</v>
      </c>
      <c r="X186" s="19" t="str">
        <f>+VLOOKUP(Ingresos_Historicos[[#This Row],[tema]],Estructura!$A$4:$C$18,3,0)</f>
        <v>T-306</v>
      </c>
      <c r="Y186" s="19" t="str">
        <f>+VLOOKUP(Ingresos_Historicos[[#This Row],[contenido]],Estructura!$E$4:$G$18,3,0)</f>
        <v>C-301</v>
      </c>
      <c r="Z186" s="19" t="str">
        <f>+VLOOKUP(Ingresos_Historicos[[#This Row],[Filtro Integrado]],Estructura!$M$4:$O$367,3,0)</f>
        <v>FI-303</v>
      </c>
      <c r="AA186" s="19" t="str">
        <f>+VLOOKUP(Ingresos_Historicos[[#This Row],[Muestra]],Estructura!$Q$4:$S$194,3,0)</f>
        <v>M-306</v>
      </c>
    </row>
    <row r="187" spans="1:27" ht="40.799999999999997" x14ac:dyDescent="0.3">
      <c r="A187" s="71" t="s">
        <v>573</v>
      </c>
      <c r="B187" s="12">
        <f t="shared" si="36"/>
        <v>300</v>
      </c>
      <c r="C187" s="13" t="str">
        <f t="shared" si="36"/>
        <v>Violencia contra la mujer</v>
      </c>
      <c r="D187" s="13" t="str">
        <f t="shared" si="36"/>
        <v>Mujeres</v>
      </c>
      <c r="E187" s="39">
        <v>76</v>
      </c>
      <c r="F187" s="13" t="str">
        <f t="shared" si="39"/>
        <v>Sentencias por delito de abuso sexual</v>
      </c>
      <c r="G187" s="55" t="str">
        <f t="shared" si="39"/>
        <v>Abuso Sexual</v>
      </c>
      <c r="H187" s="38" t="s">
        <v>17</v>
      </c>
      <c r="I187" s="37" t="s">
        <v>28</v>
      </c>
      <c r="J187" s="12" t="s">
        <v>398</v>
      </c>
      <c r="K187" s="12" t="str">
        <f t="shared" si="37"/>
        <v>Sentencias Dictadas por Delitos de Abuso Sexual</v>
      </c>
      <c r="L187" s="12" t="str">
        <f t="shared" si="37"/>
        <v>Periodo 2013-2019</v>
      </c>
      <c r="M187" s="12" t="str">
        <f t="shared" si="37"/>
        <v>Número de sentencias</v>
      </c>
      <c r="N187" s="33" t="s">
        <v>5964</v>
      </c>
      <c r="O187" s="27" t="str">
        <f>"Sentencias Dictadas por Delitos de Abuso Sexual en el Juzgado de Garantía de "&amp;[1]!Ingresos_Historicos[[#This Row],[territorio]]&amp;" para el Periodo 2013-2019"</f>
        <v>Sentencias Dictadas por Delitos de Abuso Sexual en el Juzgado de Garantía de Tome para el Periodo 2013-2019</v>
      </c>
      <c r="P187"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Tome para el Periodo 2013-2019 de acuerdo a datos provenientes del Poder Judicial de Chile.</v>
      </c>
      <c r="Q187" s="14" t="str">
        <f t="shared" si="38"/>
        <v>Gráfico de Evolución</v>
      </c>
      <c r="R187" s="77" t="s">
        <v>6078</v>
      </c>
      <c r="S187" s="15" t="s">
        <v>6564</v>
      </c>
      <c r="T187" s="65" t="s">
        <v>5920</v>
      </c>
      <c r="U187" s="24" t="s">
        <v>397</v>
      </c>
      <c r="V187" s="19" t="str">
        <f>+Ingresos_Historicos[[#This Row],[idcoleccion]]&amp;"-"&amp;Ingresos_Historicos[[#This Row],[id]]</f>
        <v>300-0177</v>
      </c>
      <c r="W187" s="19" t="e">
        <f>+VLOOKUP(Ingresos_Historicos[[#This Row],[Filtro URL]],Estructura!$X$4:$Y$366,2,0)</f>
        <v>#N/A</v>
      </c>
      <c r="X187" s="19" t="str">
        <f>+VLOOKUP(Ingresos_Historicos[[#This Row],[tema]],Estructura!$A$4:$C$18,3,0)</f>
        <v>T-306</v>
      </c>
      <c r="Y187" s="19" t="str">
        <f>+VLOOKUP(Ingresos_Historicos[[#This Row],[contenido]],Estructura!$E$4:$G$18,3,0)</f>
        <v>C-301</v>
      </c>
      <c r="Z187" s="19" t="str">
        <f>+VLOOKUP(Ingresos_Historicos[[#This Row],[Filtro Integrado]],Estructura!$M$4:$O$367,3,0)</f>
        <v>FI-303</v>
      </c>
      <c r="AA187" s="19" t="str">
        <f>+VLOOKUP(Ingresos_Historicos[[#This Row],[Muestra]],Estructura!$Q$4:$S$194,3,0)</f>
        <v>M-306</v>
      </c>
    </row>
    <row r="188" spans="1:27" ht="40.799999999999997" x14ac:dyDescent="0.3">
      <c r="A188" s="71" t="s">
        <v>574</v>
      </c>
      <c r="B188" s="12">
        <f t="shared" si="36"/>
        <v>300</v>
      </c>
      <c r="C188" s="13" t="str">
        <f t="shared" si="36"/>
        <v>Violencia contra la mujer</v>
      </c>
      <c r="D188" s="13" t="str">
        <f t="shared" si="36"/>
        <v>Mujeres</v>
      </c>
      <c r="E188" s="39">
        <v>77</v>
      </c>
      <c r="F188" s="13" t="str">
        <f t="shared" si="39"/>
        <v>Sentencias por delito de abuso sexual</v>
      </c>
      <c r="G188" s="55" t="str">
        <f t="shared" si="39"/>
        <v>Abuso Sexual</v>
      </c>
      <c r="H188" s="38" t="s">
        <v>17</v>
      </c>
      <c r="I188" s="37" t="s">
        <v>355</v>
      </c>
      <c r="J188" s="12" t="s">
        <v>398</v>
      </c>
      <c r="K188" s="12" t="str">
        <f t="shared" si="37"/>
        <v>Sentencias Dictadas por Delitos de Abuso Sexual</v>
      </c>
      <c r="L188" s="12" t="str">
        <f t="shared" si="37"/>
        <v>Periodo 2013-2019</v>
      </c>
      <c r="M188" s="12" t="str">
        <f t="shared" si="37"/>
        <v>Número de sentencias</v>
      </c>
      <c r="N188" s="33" t="s">
        <v>5964</v>
      </c>
      <c r="O188" s="27" t="str">
        <f>"Sentencias Dictadas por Delitos de Abuso Sexual en el Juzgado de Garantía de "&amp;[1]!Ingresos_Historicos[[#This Row],[territorio]]&amp;" para el Periodo 2013-2019"</f>
        <v>Sentencias Dictadas por Delitos de Abuso Sexual en el Juzgado de Garantía de Angol para el Periodo 2013-2019</v>
      </c>
      <c r="P188"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Angol para el Periodo 2013-2019 de acuerdo a datos provenientes del Poder Judicial de Chile.</v>
      </c>
      <c r="Q188" s="14" t="str">
        <f t="shared" si="38"/>
        <v>Gráfico de Evolución</v>
      </c>
      <c r="R188" s="77" t="s">
        <v>6079</v>
      </c>
      <c r="S188" s="15" t="s">
        <v>6565</v>
      </c>
      <c r="T188" s="65" t="s">
        <v>5920</v>
      </c>
      <c r="U188" s="24" t="s">
        <v>397</v>
      </c>
      <c r="V188" s="19" t="str">
        <f>+Ingresos_Historicos[[#This Row],[idcoleccion]]&amp;"-"&amp;Ingresos_Historicos[[#This Row],[id]]</f>
        <v>300-0178</v>
      </c>
      <c r="W188" s="19" t="e">
        <f>+VLOOKUP(Ingresos_Historicos[[#This Row],[Filtro URL]],Estructura!$X$4:$Y$366,2,0)</f>
        <v>#N/A</v>
      </c>
      <c r="X188" s="19" t="str">
        <f>+VLOOKUP(Ingresos_Historicos[[#This Row],[tema]],Estructura!$A$4:$C$18,3,0)</f>
        <v>T-306</v>
      </c>
      <c r="Y188" s="19" t="str">
        <f>+VLOOKUP(Ingresos_Historicos[[#This Row],[contenido]],Estructura!$E$4:$G$18,3,0)</f>
        <v>C-301</v>
      </c>
      <c r="Z188" s="19" t="str">
        <f>+VLOOKUP(Ingresos_Historicos[[#This Row],[Filtro Integrado]],Estructura!$M$4:$O$367,3,0)</f>
        <v>FI-303</v>
      </c>
      <c r="AA188" s="19" t="str">
        <f>+VLOOKUP(Ingresos_Historicos[[#This Row],[Muestra]],Estructura!$Q$4:$S$194,3,0)</f>
        <v>M-306</v>
      </c>
    </row>
    <row r="189" spans="1:27" ht="40.799999999999997" x14ac:dyDescent="0.3">
      <c r="A189" s="71" t="s">
        <v>575</v>
      </c>
      <c r="B189" s="12">
        <f t="shared" si="36"/>
        <v>300</v>
      </c>
      <c r="C189" s="13" t="str">
        <f t="shared" si="36"/>
        <v>Violencia contra la mujer</v>
      </c>
      <c r="D189" s="13" t="str">
        <f t="shared" si="36"/>
        <v>Mujeres</v>
      </c>
      <c r="E189" s="39">
        <v>78</v>
      </c>
      <c r="F189" s="13" t="str">
        <f t="shared" si="39"/>
        <v>Sentencias por delito de abuso sexual</v>
      </c>
      <c r="G189" s="55" t="str">
        <f t="shared" si="39"/>
        <v>Abuso Sexual</v>
      </c>
      <c r="H189" s="38" t="s">
        <v>17</v>
      </c>
      <c r="I189" s="37" t="s">
        <v>351</v>
      </c>
      <c r="J189" s="12" t="s">
        <v>398</v>
      </c>
      <c r="K189" s="12" t="str">
        <f t="shared" si="37"/>
        <v>Sentencias Dictadas por Delitos de Abuso Sexual</v>
      </c>
      <c r="L189" s="12" t="str">
        <f t="shared" si="37"/>
        <v>Periodo 2013-2019</v>
      </c>
      <c r="M189" s="12" t="str">
        <f t="shared" si="37"/>
        <v>Número de sentencias</v>
      </c>
      <c r="N189" s="33" t="s">
        <v>5964</v>
      </c>
      <c r="O189" s="27" t="str">
        <f>"Sentencias Dictadas por Delitos de Abuso Sexual en el Juzgado de Garantía de "&amp;[1]!Ingresos_Historicos[[#This Row],[territorio]]&amp;" para el Periodo 2013-2019"</f>
        <v>Sentencias Dictadas por Delitos de Abuso Sexual en el Juzgado de Garantía de Lautaro para el Periodo 2013-2019</v>
      </c>
      <c r="P189"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Lautaro para el Periodo 2013-2019 de acuerdo a datos provenientes del Poder Judicial de Chile.</v>
      </c>
      <c r="Q189" s="14" t="str">
        <f t="shared" si="38"/>
        <v>Gráfico de Evolución</v>
      </c>
      <c r="R189" s="77" t="s">
        <v>6080</v>
      </c>
      <c r="S189" s="15" t="s">
        <v>6566</v>
      </c>
      <c r="T189" s="65" t="s">
        <v>5920</v>
      </c>
      <c r="U189" s="24" t="s">
        <v>397</v>
      </c>
      <c r="V189" s="19" t="str">
        <f>+Ingresos_Historicos[[#This Row],[idcoleccion]]&amp;"-"&amp;Ingresos_Historicos[[#This Row],[id]]</f>
        <v>300-0179</v>
      </c>
      <c r="W189" s="19" t="e">
        <f>+VLOOKUP(Ingresos_Historicos[[#This Row],[Filtro URL]],Estructura!$X$4:$Y$366,2,0)</f>
        <v>#N/A</v>
      </c>
      <c r="X189" s="19" t="str">
        <f>+VLOOKUP(Ingresos_Historicos[[#This Row],[tema]],Estructura!$A$4:$C$18,3,0)</f>
        <v>T-306</v>
      </c>
      <c r="Y189" s="19" t="str">
        <f>+VLOOKUP(Ingresos_Historicos[[#This Row],[contenido]],Estructura!$E$4:$G$18,3,0)</f>
        <v>C-301</v>
      </c>
      <c r="Z189" s="19" t="str">
        <f>+VLOOKUP(Ingresos_Historicos[[#This Row],[Filtro Integrado]],Estructura!$M$4:$O$367,3,0)</f>
        <v>FI-303</v>
      </c>
      <c r="AA189" s="19" t="str">
        <f>+VLOOKUP(Ingresos_Historicos[[#This Row],[Muestra]],Estructura!$Q$4:$S$194,3,0)</f>
        <v>M-306</v>
      </c>
    </row>
    <row r="190" spans="1:27" ht="40.799999999999997" x14ac:dyDescent="0.3">
      <c r="A190" s="71" t="s">
        <v>576</v>
      </c>
      <c r="B190" s="12">
        <f t="shared" si="36"/>
        <v>300</v>
      </c>
      <c r="C190" s="13" t="str">
        <f t="shared" si="36"/>
        <v>Violencia contra la mujer</v>
      </c>
      <c r="D190" s="13" t="str">
        <f t="shared" si="36"/>
        <v>Mujeres</v>
      </c>
      <c r="E190" s="39">
        <v>79</v>
      </c>
      <c r="F190" s="13" t="str">
        <f t="shared" si="39"/>
        <v>Sentencias por delito de abuso sexual</v>
      </c>
      <c r="G190" s="55" t="str">
        <f t="shared" si="39"/>
        <v>Abuso Sexual</v>
      </c>
      <c r="H190" s="38" t="s">
        <v>17</v>
      </c>
      <c r="I190" s="37" t="s">
        <v>362</v>
      </c>
      <c r="J190" s="12" t="s">
        <v>398</v>
      </c>
      <c r="K190" s="12" t="str">
        <f t="shared" si="37"/>
        <v>Sentencias Dictadas por Delitos de Abuso Sexual</v>
      </c>
      <c r="L190" s="12" t="str">
        <f t="shared" si="37"/>
        <v>Periodo 2013-2019</v>
      </c>
      <c r="M190" s="12" t="str">
        <f t="shared" si="37"/>
        <v>Número de sentencias</v>
      </c>
      <c r="N190" s="33" t="s">
        <v>5964</v>
      </c>
      <c r="O190" s="27" t="str">
        <f>"Sentencias Dictadas por Delitos de Abuso Sexual en el Juzgado de Garantía de "&amp;[1]!Ingresos_Historicos[[#This Row],[territorio]]&amp;" para el Periodo 2013-2019"</f>
        <v>Sentencias Dictadas por Delitos de Abuso Sexual en el Juzgado de Garantía de Loncoche para el Periodo 2013-2019</v>
      </c>
      <c r="P190"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Loncoche para el Periodo 2013-2019 de acuerdo a datos provenientes del Poder Judicial de Chile.</v>
      </c>
      <c r="Q190" s="14" t="str">
        <f t="shared" si="38"/>
        <v>Gráfico de Evolución</v>
      </c>
      <c r="R190" s="77" t="s">
        <v>6081</v>
      </c>
      <c r="S190" s="15" t="s">
        <v>6567</v>
      </c>
      <c r="T190" s="65" t="s">
        <v>5921</v>
      </c>
      <c r="U190" s="24" t="s">
        <v>397</v>
      </c>
      <c r="V190" s="19" t="str">
        <f>+Ingresos_Historicos[[#This Row],[idcoleccion]]&amp;"-"&amp;Ingresos_Historicos[[#This Row],[id]]</f>
        <v>300-0180</v>
      </c>
      <c r="W190" s="19" t="e">
        <f>+VLOOKUP(Ingresos_Historicos[[#This Row],[Filtro URL]],Estructura!$X$4:$Y$366,2,0)</f>
        <v>#N/A</v>
      </c>
      <c r="X190" s="19" t="str">
        <f>+VLOOKUP(Ingresos_Historicos[[#This Row],[tema]],Estructura!$A$4:$C$18,3,0)</f>
        <v>T-306</v>
      </c>
      <c r="Y190" s="19" t="str">
        <f>+VLOOKUP(Ingresos_Historicos[[#This Row],[contenido]],Estructura!$E$4:$G$18,3,0)</f>
        <v>C-301</v>
      </c>
      <c r="Z190" s="19" t="str">
        <f>+VLOOKUP(Ingresos_Historicos[[#This Row],[Filtro Integrado]],Estructura!$M$4:$O$367,3,0)</f>
        <v>FI-303</v>
      </c>
      <c r="AA190" s="19" t="str">
        <f>+VLOOKUP(Ingresos_Historicos[[#This Row],[Muestra]],Estructura!$Q$4:$S$194,3,0)</f>
        <v>M-306</v>
      </c>
    </row>
    <row r="191" spans="1:27" ht="51" x14ac:dyDescent="0.3">
      <c r="A191" s="71" t="s">
        <v>577</v>
      </c>
      <c r="B191" s="12">
        <f t="shared" ref="B191:D206" si="40">+B190</f>
        <v>300</v>
      </c>
      <c r="C191" s="13" t="str">
        <f t="shared" si="40"/>
        <v>Violencia contra la mujer</v>
      </c>
      <c r="D191" s="13" t="str">
        <f t="shared" si="40"/>
        <v>Mujeres</v>
      </c>
      <c r="E191" s="39">
        <v>80</v>
      </c>
      <c r="F191" s="13" t="str">
        <f t="shared" si="39"/>
        <v>Sentencias por delito de abuso sexual</v>
      </c>
      <c r="G191" s="55" t="str">
        <f t="shared" si="39"/>
        <v>Abuso Sexual</v>
      </c>
      <c r="H191" s="38" t="s">
        <v>17</v>
      </c>
      <c r="I191" s="37" t="s">
        <v>6082</v>
      </c>
      <c r="J191" s="12" t="s">
        <v>398</v>
      </c>
      <c r="K191" s="12" t="str">
        <f t="shared" si="37"/>
        <v>Sentencias Dictadas por Delitos de Abuso Sexual</v>
      </c>
      <c r="L191" s="12" t="str">
        <f t="shared" si="37"/>
        <v>Periodo 2013-2019</v>
      </c>
      <c r="M191" s="12" t="str">
        <f t="shared" si="37"/>
        <v>Número de sentencias</v>
      </c>
      <c r="N191" s="33" t="s">
        <v>5964</v>
      </c>
      <c r="O191" s="27" t="str">
        <f>"Sentencias Dictadas por Delitos de Abuso Sexual en el Juzgado de Garantía de "&amp;[1]!Ingresos_Historicos[[#This Row],[territorio]]&amp;" para el Periodo 2013-2019"</f>
        <v>Sentencias Dictadas por Delitos de Abuso Sexual en el Juzgado de Garantía de Nueva Imperial para el Periodo 2013-2019</v>
      </c>
      <c r="P191"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Nueva Imperial para el Periodo 2013-2019 de acuerdo a datos provenientes del Poder Judicial de Chile.</v>
      </c>
      <c r="Q191" s="14" t="str">
        <f t="shared" si="38"/>
        <v>Gráfico de Evolución</v>
      </c>
      <c r="R191" s="77" t="s">
        <v>6083</v>
      </c>
      <c r="S191" s="15" t="s">
        <v>6568</v>
      </c>
      <c r="T191" s="65" t="s">
        <v>5958</v>
      </c>
      <c r="U191" s="24" t="s">
        <v>397</v>
      </c>
      <c r="V191" s="19" t="str">
        <f>+Ingresos_Historicos[[#This Row],[idcoleccion]]&amp;"-"&amp;Ingresos_Historicos[[#This Row],[id]]</f>
        <v>300-0181</v>
      </c>
      <c r="W191" s="19" t="e">
        <f>+VLOOKUP(Ingresos_Historicos[[#This Row],[Filtro URL]],Estructura!$X$4:$Y$366,2,0)</f>
        <v>#N/A</v>
      </c>
      <c r="X191" s="19" t="str">
        <f>+VLOOKUP(Ingresos_Historicos[[#This Row],[tema]],Estructura!$A$4:$C$18,3,0)</f>
        <v>T-306</v>
      </c>
      <c r="Y191" s="19" t="str">
        <f>+VLOOKUP(Ingresos_Historicos[[#This Row],[contenido]],Estructura!$E$4:$G$18,3,0)</f>
        <v>C-301</v>
      </c>
      <c r="Z191" s="19" t="str">
        <f>+VLOOKUP(Ingresos_Historicos[[#This Row],[Filtro Integrado]],Estructura!$M$4:$O$367,3,0)</f>
        <v>FI-303</v>
      </c>
      <c r="AA191" s="19" t="str">
        <f>+VLOOKUP(Ingresos_Historicos[[#This Row],[Muestra]],Estructura!$Q$4:$S$194,3,0)</f>
        <v>M-306</v>
      </c>
    </row>
    <row r="192" spans="1:27" ht="40.799999999999997" x14ac:dyDescent="0.3">
      <c r="A192" s="71" t="s">
        <v>578</v>
      </c>
      <c r="B192" s="12">
        <f t="shared" si="40"/>
        <v>300</v>
      </c>
      <c r="C192" s="13" t="str">
        <f t="shared" si="40"/>
        <v>Violencia contra la mujer</v>
      </c>
      <c r="D192" s="13" t="str">
        <f t="shared" si="40"/>
        <v>Mujeres</v>
      </c>
      <c r="E192" s="39">
        <v>81</v>
      </c>
      <c r="F192" s="13" t="str">
        <f t="shared" si="39"/>
        <v>Sentencias por delito de abuso sexual</v>
      </c>
      <c r="G192" s="55" t="str">
        <f t="shared" si="39"/>
        <v>Abuso Sexual</v>
      </c>
      <c r="H192" s="38" t="s">
        <v>17</v>
      </c>
      <c r="I192" s="37" t="s">
        <v>213</v>
      </c>
      <c r="J192" s="12" t="s">
        <v>398</v>
      </c>
      <c r="K192" s="12" t="str">
        <f t="shared" ref="K192:M207" si="41">+K191</f>
        <v>Sentencias Dictadas por Delitos de Abuso Sexual</v>
      </c>
      <c r="L192" s="12" t="str">
        <f t="shared" si="41"/>
        <v>Periodo 2013-2019</v>
      </c>
      <c r="M192" s="12" t="str">
        <f t="shared" si="41"/>
        <v>Número de sentencias</v>
      </c>
      <c r="N192" s="33" t="s">
        <v>5964</v>
      </c>
      <c r="O192" s="27" t="str">
        <f>"Sentencias Dictadas por Delitos de Abuso Sexual en el Juzgado de Garantía de "&amp;[1]!Ingresos_Historicos[[#This Row],[territorio]]&amp;" para el Periodo 2013-2019"</f>
        <v>Sentencias Dictadas por Delitos de Abuso Sexual en el Juzgado de Garantía de Pitrufquen para el Periodo 2013-2019</v>
      </c>
      <c r="P192"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Pitrufquen para el Periodo 2013-2019 de acuerdo a datos provenientes del Poder Judicial de Chile.</v>
      </c>
      <c r="Q192" s="14" t="str">
        <f t="shared" si="38"/>
        <v>Gráfico de Evolución</v>
      </c>
      <c r="R192" s="77" t="s">
        <v>6084</v>
      </c>
      <c r="S192" s="15" t="s">
        <v>6569</v>
      </c>
      <c r="T192" s="65" t="s">
        <v>5958</v>
      </c>
      <c r="U192" s="24" t="s">
        <v>397</v>
      </c>
      <c r="V192" s="19" t="str">
        <f>+Ingresos_Historicos[[#This Row],[idcoleccion]]&amp;"-"&amp;Ingresos_Historicos[[#This Row],[id]]</f>
        <v>300-0182</v>
      </c>
      <c r="W192" s="19" t="e">
        <f>+VLOOKUP(Ingresos_Historicos[[#This Row],[Filtro URL]],Estructura!$X$4:$Y$366,2,0)</f>
        <v>#N/A</v>
      </c>
      <c r="X192" s="19" t="str">
        <f>+VLOOKUP(Ingresos_Historicos[[#This Row],[tema]],Estructura!$A$4:$C$18,3,0)</f>
        <v>T-306</v>
      </c>
      <c r="Y192" s="19" t="str">
        <f>+VLOOKUP(Ingresos_Historicos[[#This Row],[contenido]],Estructura!$E$4:$G$18,3,0)</f>
        <v>C-301</v>
      </c>
      <c r="Z192" s="19" t="str">
        <f>+VLOOKUP(Ingresos_Historicos[[#This Row],[Filtro Integrado]],Estructura!$M$4:$O$367,3,0)</f>
        <v>FI-303</v>
      </c>
      <c r="AA192" s="19" t="str">
        <f>+VLOOKUP(Ingresos_Historicos[[#This Row],[Muestra]],Estructura!$Q$4:$S$194,3,0)</f>
        <v>M-306</v>
      </c>
    </row>
    <row r="193" spans="1:27" ht="40.799999999999997" x14ac:dyDescent="0.3">
      <c r="A193" s="71" t="s">
        <v>579</v>
      </c>
      <c r="B193" s="12">
        <f t="shared" si="40"/>
        <v>300</v>
      </c>
      <c r="C193" s="13" t="str">
        <f t="shared" si="40"/>
        <v>Violencia contra la mujer</v>
      </c>
      <c r="D193" s="13" t="str">
        <f t="shared" si="40"/>
        <v>Mujeres</v>
      </c>
      <c r="E193" s="39">
        <v>82</v>
      </c>
      <c r="F193" s="13" t="str">
        <f t="shared" ref="F193:G208" si="42">+F192</f>
        <v>Sentencias por delito de abuso sexual</v>
      </c>
      <c r="G193" s="55" t="str">
        <f t="shared" si="42"/>
        <v>Abuso Sexual</v>
      </c>
      <c r="H193" s="38" t="s">
        <v>17</v>
      </c>
      <c r="I193" s="37" t="s">
        <v>218</v>
      </c>
      <c r="J193" s="12" t="s">
        <v>398</v>
      </c>
      <c r="K193" s="12" t="str">
        <f t="shared" si="41"/>
        <v>Sentencias Dictadas por Delitos de Abuso Sexual</v>
      </c>
      <c r="L193" s="12" t="str">
        <f t="shared" si="41"/>
        <v>Periodo 2013-2019</v>
      </c>
      <c r="M193" s="12" t="str">
        <f t="shared" si="41"/>
        <v>Número de sentencias</v>
      </c>
      <c r="N193" s="33" t="s">
        <v>5964</v>
      </c>
      <c r="O193" s="27" t="str">
        <f>"Sentencias Dictadas por Delitos de Abuso Sexual en el Juzgado de Garantía de "&amp;[1]!Ingresos_Historicos[[#This Row],[territorio]]&amp;" para el Periodo 2013-2019"</f>
        <v>Sentencias Dictadas por Delitos de Abuso Sexual en el Juzgado de Garantía de Temuco para el Periodo 2013-2019</v>
      </c>
      <c r="P193" s="42" t="str">
        <f>"El gráfico muestra la evolución anual de la frecuencia de Sentencias Dictadas por Delitos de Abuso Sexual en el Juzgado de Garantía de "&amp;[1]!Ingresos_Historicos[[#This Row],[territorio]]&amp;" para el Periodo 2013-2019 de acuerdo a datos provenientes del Poder Judicial de Chile."</f>
        <v>El gráfico muestra la evolución anual de la frecuencia de Sentencias Dictadas por Delitos de Abuso Sexual en el Juzgado de Garantía de Temuco para el Periodo 2013-2019 de acuerdo a datos provenientes del Poder Judicial de Chile.</v>
      </c>
      <c r="Q193" s="14" t="str">
        <f t="shared" si="38"/>
        <v>Gráfico de Evolución</v>
      </c>
      <c r="R193" s="77" t="s">
        <v>6085</v>
      </c>
      <c r="S193" s="15" t="s">
        <v>6570</v>
      </c>
      <c r="T193" s="65" t="s">
        <v>5958</v>
      </c>
      <c r="U193" s="24" t="s">
        <v>397</v>
      </c>
      <c r="V193" s="19" t="str">
        <f>+Ingresos_Historicos[[#This Row],[idcoleccion]]&amp;"-"&amp;Ingresos_Historicos[[#This Row],[id]]</f>
        <v>300-0183</v>
      </c>
      <c r="W193" s="19" t="e">
        <f>+VLOOKUP(Ingresos_Historicos[[#This Row],[Filtro URL]],Estructura!$X$4:$Y$366,2,0)</f>
        <v>#N/A</v>
      </c>
      <c r="X193" s="19" t="str">
        <f>+VLOOKUP(Ingresos_Historicos[[#This Row],[tema]],Estructura!$A$4:$C$18,3,0)</f>
        <v>T-306</v>
      </c>
      <c r="Y193" s="19" t="str">
        <f>+VLOOKUP(Ingresos_Historicos[[#This Row],[contenido]],Estructura!$E$4:$G$18,3,0)</f>
        <v>C-301</v>
      </c>
      <c r="Z193" s="19" t="str">
        <f>+VLOOKUP(Ingresos_Historicos[[#This Row],[Filtro Integrado]],Estructura!$M$4:$O$367,3,0)</f>
        <v>FI-303</v>
      </c>
      <c r="AA193" s="19" t="str">
        <f>+VLOOKUP(Ingresos_Historicos[[#This Row],[Muestra]],Estructura!$Q$4:$S$194,3,0)</f>
        <v>M-306</v>
      </c>
    </row>
    <row r="194" spans="1:27" ht="40.799999999999997" x14ac:dyDescent="0.3">
      <c r="A194" s="32" t="s">
        <v>580</v>
      </c>
      <c r="B194" s="12">
        <f t="shared" si="40"/>
        <v>300</v>
      </c>
      <c r="C194" s="13" t="str">
        <f t="shared" si="40"/>
        <v>Violencia contra la mujer</v>
      </c>
      <c r="D194" s="13" t="str">
        <f t="shared" si="40"/>
        <v>Mujeres</v>
      </c>
      <c r="E194" s="39">
        <v>1</v>
      </c>
      <c r="F194" s="13" t="str">
        <f t="shared" si="42"/>
        <v>Sentencias por delito de abuso sexual</v>
      </c>
      <c r="G194" s="55" t="str">
        <f t="shared" si="42"/>
        <v>Abuso Sexual</v>
      </c>
      <c r="H194" s="38" t="s">
        <v>17</v>
      </c>
      <c r="I194" s="37" t="s">
        <v>29</v>
      </c>
      <c r="J194" s="12" t="s">
        <v>398</v>
      </c>
      <c r="K194" s="12" t="str">
        <f t="shared" si="41"/>
        <v>Sentencias Dictadas por Delitos de Abuso Sexual</v>
      </c>
      <c r="L194" s="12" t="str">
        <f t="shared" si="41"/>
        <v>Periodo 2013-2019</v>
      </c>
      <c r="M194" s="12" t="str">
        <f t="shared" si="41"/>
        <v>Número de sentencias</v>
      </c>
      <c r="N194" s="33" t="s">
        <v>5964</v>
      </c>
      <c r="O194" s="27" t="str">
        <f>"Sentencias Dictadas por Delitos de Abuso Sexual por Delito en el  Juzgado de Garantía de "&amp;[1]!Ingresos_Historicos[[#This Row],[territorio]]&amp;" para el Periodo 2013-2019"</f>
        <v>Sentencias Dictadas por Delitos de Abuso Sexual por Delito en el  Juzgado de Garantía de Victoria para el Periodo 2013-2019</v>
      </c>
      <c r="P19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Victoria para el Periodo 2013-2019 de acuerdo a datos provenientes del Poder Judicial de Chile.</v>
      </c>
      <c r="Q194" s="14" t="str">
        <f t="shared" si="38"/>
        <v>Gráfico de Evolución</v>
      </c>
      <c r="R194" s="77" t="s">
        <v>6007</v>
      </c>
      <c r="S194" s="15" t="s">
        <v>6571</v>
      </c>
      <c r="T194" s="65" t="s">
        <v>5907</v>
      </c>
      <c r="U194" s="24" t="s">
        <v>397</v>
      </c>
      <c r="V194" s="19" t="str">
        <f>+Ingresos_Historicos[[#This Row],[idcoleccion]]&amp;"-"&amp;Ingresos_Historicos[[#This Row],[id]]</f>
        <v>300-0184</v>
      </c>
      <c r="W194" s="19">
        <f>+VLOOKUP(Ingresos_Historicos[[#This Row],[Filtro URL]],Estructura!$X$4:$Y$366,2,0)</f>
        <v>30200001</v>
      </c>
      <c r="X194" s="19" t="str">
        <f>+VLOOKUP(Ingresos_Historicos[[#This Row],[tema]],Estructura!$A$4:$C$18,3,0)</f>
        <v>T-306</v>
      </c>
      <c r="Y194" s="19" t="str">
        <f>+VLOOKUP(Ingresos_Historicos[[#This Row],[contenido]],Estructura!$E$4:$G$18,3,0)</f>
        <v>C-301</v>
      </c>
      <c r="Z194" s="19" t="str">
        <f>+VLOOKUP(Ingresos_Historicos[[#This Row],[Filtro Integrado]],Estructura!$M$4:$O$367,3,0)</f>
        <v>FI-303</v>
      </c>
      <c r="AA194" s="19" t="str">
        <f>+VLOOKUP(Ingresos_Historicos[[#This Row],[Muestra]],Estructura!$Q$4:$S$194,3,0)</f>
        <v>M-306</v>
      </c>
    </row>
    <row r="195" spans="1:27" ht="51" x14ac:dyDescent="0.3">
      <c r="A195" s="71" t="s">
        <v>581</v>
      </c>
      <c r="B195" s="12">
        <f t="shared" si="40"/>
        <v>300</v>
      </c>
      <c r="C195" s="13" t="str">
        <f t="shared" si="40"/>
        <v>Violencia contra la mujer</v>
      </c>
      <c r="D195" s="13" t="str">
        <f t="shared" si="40"/>
        <v>Mujeres</v>
      </c>
      <c r="E195" s="39">
        <v>2</v>
      </c>
      <c r="F195" s="13" t="str">
        <f t="shared" si="42"/>
        <v>Sentencias por delito de abuso sexual</v>
      </c>
      <c r="G195" s="55" t="str">
        <f t="shared" si="42"/>
        <v>Abuso Sexual</v>
      </c>
      <c r="H195" s="38" t="s">
        <v>17</v>
      </c>
      <c r="I195" s="37" t="s">
        <v>16</v>
      </c>
      <c r="J195" s="12" t="s">
        <v>398</v>
      </c>
      <c r="K195" s="12" t="str">
        <f t="shared" si="41"/>
        <v>Sentencias Dictadas por Delitos de Abuso Sexual</v>
      </c>
      <c r="L195" s="12" t="str">
        <f t="shared" si="41"/>
        <v>Periodo 2013-2019</v>
      </c>
      <c r="M195" s="12" t="str">
        <f t="shared" si="41"/>
        <v>Número de sentencias</v>
      </c>
      <c r="N195" s="33" t="s">
        <v>5964</v>
      </c>
      <c r="O195" s="27" t="str">
        <f>"Sentencias Dictadas por Delitos de Abuso Sexual por Delito en el  Juzgado de Garantía de "&amp;[1]!Ingresos_Historicos[[#This Row],[territorio]]&amp;" para el Periodo 2013-2019"</f>
        <v>Sentencias Dictadas por Delitos de Abuso Sexual por Delito en el  Juzgado de Garantía de Villarrica para el Periodo 2013-2019</v>
      </c>
      <c r="P19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Villarrica para el Periodo 2013-2019 de acuerdo a datos provenientes del Poder Judicial de Chile.</v>
      </c>
      <c r="Q195" s="14" t="str">
        <f t="shared" si="38"/>
        <v>Gráfico de Evolución</v>
      </c>
      <c r="R195" s="77" t="s">
        <v>5992</v>
      </c>
      <c r="S195" s="15" t="s">
        <v>6572</v>
      </c>
      <c r="T195" s="65" t="s">
        <v>5908</v>
      </c>
      <c r="U195" s="24" t="s">
        <v>397</v>
      </c>
      <c r="V195" s="19" t="str">
        <f>+Ingresos_Historicos[[#This Row],[idcoleccion]]&amp;"-"&amp;Ingresos_Historicos[[#This Row],[id]]</f>
        <v>300-0185</v>
      </c>
      <c r="W195" s="19">
        <f>+VLOOKUP(Ingresos_Historicos[[#This Row],[Filtro URL]],Estructura!$X$4:$Y$366,2,0)</f>
        <v>30200002</v>
      </c>
      <c r="X195" s="19" t="str">
        <f>+VLOOKUP(Ingresos_Historicos[[#This Row],[tema]],Estructura!$A$4:$C$18,3,0)</f>
        <v>T-306</v>
      </c>
      <c r="Y195" s="19" t="str">
        <f>+VLOOKUP(Ingresos_Historicos[[#This Row],[contenido]],Estructura!$E$4:$G$18,3,0)</f>
        <v>C-301</v>
      </c>
      <c r="Z195" s="19" t="str">
        <f>+VLOOKUP(Ingresos_Historicos[[#This Row],[Filtro Integrado]],Estructura!$M$4:$O$367,3,0)</f>
        <v>FI-303</v>
      </c>
      <c r="AA195" s="19" t="str">
        <f>+VLOOKUP(Ingresos_Historicos[[#This Row],[Muestra]],Estructura!$Q$4:$S$194,3,0)</f>
        <v>M-306</v>
      </c>
    </row>
    <row r="196" spans="1:27" ht="40.799999999999997" x14ac:dyDescent="0.3">
      <c r="A196" s="71" t="s">
        <v>582</v>
      </c>
      <c r="B196" s="12">
        <f t="shared" si="40"/>
        <v>300</v>
      </c>
      <c r="C196" s="13" t="str">
        <f t="shared" si="40"/>
        <v>Violencia contra la mujer</v>
      </c>
      <c r="D196" s="13" t="str">
        <f t="shared" si="40"/>
        <v>Mujeres</v>
      </c>
      <c r="E196" s="39">
        <v>3</v>
      </c>
      <c r="F196" s="13" t="str">
        <f t="shared" si="42"/>
        <v>Sentencias por delito de abuso sexual</v>
      </c>
      <c r="G196" s="55" t="str">
        <f t="shared" si="42"/>
        <v>Abuso Sexual</v>
      </c>
      <c r="H196" s="38" t="s">
        <v>17</v>
      </c>
      <c r="I196" s="37" t="s">
        <v>39</v>
      </c>
      <c r="J196" s="12" t="s">
        <v>398</v>
      </c>
      <c r="K196" s="12" t="str">
        <f t="shared" si="41"/>
        <v>Sentencias Dictadas por Delitos de Abuso Sexual</v>
      </c>
      <c r="L196" s="12" t="str">
        <f t="shared" si="41"/>
        <v>Periodo 2013-2019</v>
      </c>
      <c r="M196" s="12" t="str">
        <f t="shared" si="41"/>
        <v>Número de sentencias</v>
      </c>
      <c r="N196" s="33" t="s">
        <v>5964</v>
      </c>
      <c r="O196" s="27" t="str">
        <f>"Sentencias Dictadas por Delitos de Abuso Sexual por Delito en el  Juzgado de Garantía de "&amp;[1]!Ingresos_Historicos[[#This Row],[territorio]]&amp;" para el Periodo 2013-2019"</f>
        <v>Sentencias Dictadas por Delitos de Abuso Sexual por Delito en el  Juzgado de Garantía de Ancud para el Periodo 2013-2019</v>
      </c>
      <c r="P196"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Ancud para el Periodo 2013-2019 de acuerdo a datos provenientes del Poder Judicial de Chile.</v>
      </c>
      <c r="Q196" s="14" t="str">
        <f t="shared" si="38"/>
        <v>Gráfico de Evolución</v>
      </c>
      <c r="R196" s="77" t="s">
        <v>6008</v>
      </c>
      <c r="S196" s="15" t="s">
        <v>6573</v>
      </c>
      <c r="T196" s="65" t="s">
        <v>5908</v>
      </c>
      <c r="U196" s="24" t="s">
        <v>397</v>
      </c>
      <c r="V196" s="19" t="str">
        <f>+Ingresos_Historicos[[#This Row],[idcoleccion]]&amp;"-"&amp;Ingresos_Historicos[[#This Row],[id]]</f>
        <v>300-0186</v>
      </c>
      <c r="W196" s="19">
        <f>+VLOOKUP(Ingresos_Historicos[[#This Row],[Filtro URL]],Estructura!$X$4:$Y$366,2,0)</f>
        <v>30200003</v>
      </c>
      <c r="X196" s="19" t="str">
        <f>+VLOOKUP(Ingresos_Historicos[[#This Row],[tema]],Estructura!$A$4:$C$18,3,0)</f>
        <v>T-306</v>
      </c>
      <c r="Y196" s="19" t="str">
        <f>+VLOOKUP(Ingresos_Historicos[[#This Row],[contenido]],Estructura!$E$4:$G$18,3,0)</f>
        <v>C-301</v>
      </c>
      <c r="Z196" s="19" t="str">
        <f>+VLOOKUP(Ingresos_Historicos[[#This Row],[Filtro Integrado]],Estructura!$M$4:$O$367,3,0)</f>
        <v>FI-303</v>
      </c>
      <c r="AA196" s="19" t="str">
        <f>+VLOOKUP(Ingresos_Historicos[[#This Row],[Muestra]],Estructura!$Q$4:$S$194,3,0)</f>
        <v>M-306</v>
      </c>
    </row>
    <row r="197" spans="1:27" ht="40.799999999999997" x14ac:dyDescent="0.3">
      <c r="A197" s="71" t="s">
        <v>583</v>
      </c>
      <c r="B197" s="12">
        <f t="shared" si="40"/>
        <v>300</v>
      </c>
      <c r="C197" s="13" t="str">
        <f t="shared" si="40"/>
        <v>Violencia contra la mujer</v>
      </c>
      <c r="D197" s="13" t="str">
        <f t="shared" si="40"/>
        <v>Mujeres</v>
      </c>
      <c r="E197" s="39">
        <v>4</v>
      </c>
      <c r="F197" s="13" t="str">
        <f t="shared" si="42"/>
        <v>Sentencias por delito de abuso sexual</v>
      </c>
      <c r="G197" s="55" t="str">
        <f t="shared" si="42"/>
        <v>Abuso Sexual</v>
      </c>
      <c r="H197" s="38" t="s">
        <v>17</v>
      </c>
      <c r="I197" s="37" t="s">
        <v>42</v>
      </c>
      <c r="J197" s="12" t="s">
        <v>398</v>
      </c>
      <c r="K197" s="12" t="str">
        <f t="shared" si="41"/>
        <v>Sentencias Dictadas por Delitos de Abuso Sexual</v>
      </c>
      <c r="L197" s="12" t="str">
        <f t="shared" si="41"/>
        <v>Periodo 2013-2019</v>
      </c>
      <c r="M197" s="12" t="str">
        <f t="shared" si="41"/>
        <v>Número de sentencias</v>
      </c>
      <c r="N197" s="33" t="s">
        <v>5964</v>
      </c>
      <c r="O197" s="27" t="str">
        <f>"Sentencias Dictadas por Delitos de Abuso Sexual por Delito en el  Juzgado de Garantía de "&amp;[1]!Ingresos_Historicos[[#This Row],[territorio]]&amp;" para el Periodo 2013-2019"</f>
        <v>Sentencias Dictadas por Delitos de Abuso Sexual por Delito en el  Juzgado de Garantía de Castro para el Periodo 2013-2019</v>
      </c>
      <c r="P197"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Castro para el Periodo 2013-2019 de acuerdo a datos provenientes del Poder Judicial de Chile.</v>
      </c>
      <c r="Q197" s="14" t="str">
        <f t="shared" si="38"/>
        <v>Gráfico de Evolución</v>
      </c>
      <c r="R197" s="77" t="s">
        <v>6009</v>
      </c>
      <c r="S197" s="15" t="s">
        <v>6574</v>
      </c>
      <c r="T197" s="65" t="s">
        <v>5908</v>
      </c>
      <c r="U197" s="24" t="s">
        <v>397</v>
      </c>
      <c r="V197" s="19" t="str">
        <f>+Ingresos_Historicos[[#This Row],[idcoleccion]]&amp;"-"&amp;Ingresos_Historicos[[#This Row],[id]]</f>
        <v>300-0187</v>
      </c>
      <c r="W197" s="19">
        <f>+VLOOKUP(Ingresos_Historicos[[#This Row],[Filtro URL]],Estructura!$X$4:$Y$366,2,0)</f>
        <v>30200004</v>
      </c>
      <c r="X197" s="19" t="str">
        <f>+VLOOKUP(Ingresos_Historicos[[#This Row],[tema]],Estructura!$A$4:$C$18,3,0)</f>
        <v>T-306</v>
      </c>
      <c r="Y197" s="19" t="str">
        <f>+VLOOKUP(Ingresos_Historicos[[#This Row],[contenido]],Estructura!$E$4:$G$18,3,0)</f>
        <v>C-301</v>
      </c>
      <c r="Z197" s="19" t="str">
        <f>+VLOOKUP(Ingresos_Historicos[[#This Row],[Filtro Integrado]],Estructura!$M$4:$O$367,3,0)</f>
        <v>FI-303</v>
      </c>
      <c r="AA197" s="19" t="str">
        <f>+VLOOKUP(Ingresos_Historicos[[#This Row],[Muestra]],Estructura!$Q$4:$S$194,3,0)</f>
        <v>M-306</v>
      </c>
    </row>
    <row r="198" spans="1:27" ht="40.799999999999997" x14ac:dyDescent="0.3">
      <c r="A198" s="71" t="s">
        <v>584</v>
      </c>
      <c r="B198" s="12">
        <f t="shared" si="40"/>
        <v>300</v>
      </c>
      <c r="C198" s="13" t="str">
        <f t="shared" si="40"/>
        <v>Violencia contra la mujer</v>
      </c>
      <c r="D198" s="13" t="str">
        <f t="shared" si="40"/>
        <v>Mujeres</v>
      </c>
      <c r="E198" s="39">
        <v>5</v>
      </c>
      <c r="F198" s="13" t="str">
        <f t="shared" si="42"/>
        <v>Sentencias por delito de abuso sexual</v>
      </c>
      <c r="G198" s="55" t="str">
        <f t="shared" si="42"/>
        <v>Abuso Sexual</v>
      </c>
      <c r="H198" s="38" t="s">
        <v>17</v>
      </c>
      <c r="I198" s="37" t="s">
        <v>6010</v>
      </c>
      <c r="J198" s="12" t="s">
        <v>398</v>
      </c>
      <c r="K198" s="12" t="str">
        <f t="shared" si="41"/>
        <v>Sentencias Dictadas por Delitos de Abuso Sexual</v>
      </c>
      <c r="L198" s="12" t="str">
        <f t="shared" si="41"/>
        <v>Periodo 2013-2019</v>
      </c>
      <c r="M198" s="12" t="str">
        <f t="shared" si="41"/>
        <v>Número de sentencias</v>
      </c>
      <c r="N198" s="33" t="s">
        <v>5964</v>
      </c>
      <c r="O198" s="27" t="str">
        <f>"Sentencias Dictadas por Delitos de Abuso Sexual por Delito en el  Juzgado de Garantía de "&amp;[1]!Ingresos_Historicos[[#This Row],[territorio]]&amp;" para el Periodo 2013-2019"</f>
        <v>Sentencias Dictadas por Delitos de Abuso Sexual por Delito en el  Juzgado de Garantía de Osorno para el Periodo 2013-2019</v>
      </c>
      <c r="P198"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Osorno para el Periodo 2013-2019 de acuerdo a datos provenientes del Poder Judicial de Chile.</v>
      </c>
      <c r="Q198" s="14" t="str">
        <f t="shared" si="38"/>
        <v>Gráfico de Evolución</v>
      </c>
      <c r="R198" s="77" t="s">
        <v>6011</v>
      </c>
      <c r="S198" s="15" t="s">
        <v>6575</v>
      </c>
      <c r="T198" s="65" t="s">
        <v>5909</v>
      </c>
      <c r="U198" s="24" t="s">
        <v>397</v>
      </c>
      <c r="V198" s="19" t="str">
        <f>+Ingresos_Historicos[[#This Row],[idcoleccion]]&amp;"-"&amp;Ingresos_Historicos[[#This Row],[id]]</f>
        <v>300-0188</v>
      </c>
      <c r="W198" s="19">
        <f>+VLOOKUP(Ingresos_Historicos[[#This Row],[Filtro URL]],Estructura!$X$4:$Y$366,2,0)</f>
        <v>30200005</v>
      </c>
      <c r="X198" s="19" t="str">
        <f>+VLOOKUP(Ingresos_Historicos[[#This Row],[tema]],Estructura!$A$4:$C$18,3,0)</f>
        <v>T-306</v>
      </c>
      <c r="Y198" s="19" t="str">
        <f>+VLOOKUP(Ingresos_Historicos[[#This Row],[contenido]],Estructura!$E$4:$G$18,3,0)</f>
        <v>C-301</v>
      </c>
      <c r="Z198" s="19" t="str">
        <f>+VLOOKUP(Ingresos_Historicos[[#This Row],[Filtro Integrado]],Estructura!$M$4:$O$367,3,0)</f>
        <v>FI-303</v>
      </c>
      <c r="AA198" s="19" t="str">
        <f>+VLOOKUP(Ingresos_Historicos[[#This Row],[Muestra]],Estructura!$Q$4:$S$194,3,0)</f>
        <v>M-306</v>
      </c>
    </row>
    <row r="199" spans="1:27" ht="51" x14ac:dyDescent="0.3">
      <c r="A199" s="71" t="s">
        <v>585</v>
      </c>
      <c r="B199" s="12">
        <f t="shared" si="40"/>
        <v>300</v>
      </c>
      <c r="C199" s="13" t="str">
        <f t="shared" si="40"/>
        <v>Violencia contra la mujer</v>
      </c>
      <c r="D199" s="13" t="str">
        <f t="shared" si="40"/>
        <v>Mujeres</v>
      </c>
      <c r="E199" s="39">
        <v>6</v>
      </c>
      <c r="F199" s="13" t="str">
        <f t="shared" si="42"/>
        <v>Sentencias por delito de abuso sexual</v>
      </c>
      <c r="G199" s="55" t="str">
        <f t="shared" si="42"/>
        <v>Abuso Sexual</v>
      </c>
      <c r="H199" s="38" t="s">
        <v>17</v>
      </c>
      <c r="I199" s="37" t="s">
        <v>48</v>
      </c>
      <c r="J199" s="12" t="s">
        <v>398</v>
      </c>
      <c r="K199" s="12" t="str">
        <f t="shared" si="41"/>
        <v>Sentencias Dictadas por Delitos de Abuso Sexual</v>
      </c>
      <c r="L199" s="12" t="str">
        <f t="shared" si="41"/>
        <v>Periodo 2013-2019</v>
      </c>
      <c r="M199" s="12" t="str">
        <f t="shared" si="41"/>
        <v>Número de sentencias</v>
      </c>
      <c r="N199" s="33" t="s">
        <v>5964</v>
      </c>
      <c r="O199" s="27" t="str">
        <f>"Sentencias Dictadas por Delitos de Abuso Sexual por Delito en el  Juzgado de Garantía de "&amp;[1]!Ingresos_Historicos[[#This Row],[territorio]]&amp;" para el Periodo 2013-2019"</f>
        <v>Sentencias Dictadas por Delitos de Abuso Sexual por Delito en el  Juzgado de Garantía de Puerto Montt para el Periodo 2013-2019</v>
      </c>
      <c r="P19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Puerto Montt para el Periodo 2013-2019 de acuerdo a datos provenientes del Poder Judicial de Chile.</v>
      </c>
      <c r="Q199" s="14" t="str">
        <f t="shared" si="38"/>
        <v>Gráfico de Evolución</v>
      </c>
      <c r="R199" s="77" t="s">
        <v>6012</v>
      </c>
      <c r="S199" s="15" t="s">
        <v>6576</v>
      </c>
      <c r="T199" s="65" t="s">
        <v>5909</v>
      </c>
      <c r="U199" s="24" t="s">
        <v>397</v>
      </c>
      <c r="V199" s="19" t="str">
        <f>+Ingresos_Historicos[[#This Row],[idcoleccion]]&amp;"-"&amp;Ingresos_Historicos[[#This Row],[id]]</f>
        <v>300-0189</v>
      </c>
      <c r="W199" s="19">
        <f>+VLOOKUP(Ingresos_Historicos[[#This Row],[Filtro URL]],Estructura!$X$4:$Y$366,2,0)</f>
        <v>30200006</v>
      </c>
      <c r="X199" s="19" t="str">
        <f>+VLOOKUP(Ingresos_Historicos[[#This Row],[tema]],Estructura!$A$4:$C$18,3,0)</f>
        <v>T-306</v>
      </c>
      <c r="Y199" s="19" t="str">
        <f>+VLOOKUP(Ingresos_Historicos[[#This Row],[contenido]],Estructura!$E$4:$G$18,3,0)</f>
        <v>C-301</v>
      </c>
      <c r="Z199" s="19" t="str">
        <f>+VLOOKUP(Ingresos_Historicos[[#This Row],[Filtro Integrado]],Estructura!$M$4:$O$367,3,0)</f>
        <v>FI-303</v>
      </c>
      <c r="AA199" s="19" t="str">
        <f>+VLOOKUP(Ingresos_Historicos[[#This Row],[Muestra]],Estructura!$Q$4:$S$194,3,0)</f>
        <v>M-306</v>
      </c>
    </row>
    <row r="200" spans="1:27" ht="51" x14ac:dyDescent="0.3">
      <c r="A200" s="71" t="s">
        <v>586</v>
      </c>
      <c r="B200" s="12">
        <f t="shared" si="40"/>
        <v>300</v>
      </c>
      <c r="C200" s="13" t="str">
        <f t="shared" si="40"/>
        <v>Violencia contra la mujer</v>
      </c>
      <c r="D200" s="13" t="str">
        <f t="shared" si="40"/>
        <v>Mujeres</v>
      </c>
      <c r="E200" s="39">
        <v>7</v>
      </c>
      <c r="F200" s="13" t="str">
        <f t="shared" si="42"/>
        <v>Sentencias por delito de abuso sexual</v>
      </c>
      <c r="G200" s="55" t="str">
        <f t="shared" si="42"/>
        <v>Abuso Sexual</v>
      </c>
      <c r="H200" s="38" t="s">
        <v>17</v>
      </c>
      <c r="I200" s="37" t="s">
        <v>49</v>
      </c>
      <c r="J200" s="12" t="s">
        <v>398</v>
      </c>
      <c r="K200" s="12" t="str">
        <f t="shared" si="41"/>
        <v>Sentencias Dictadas por Delitos de Abuso Sexual</v>
      </c>
      <c r="L200" s="12" t="str">
        <f t="shared" si="41"/>
        <v>Periodo 2013-2019</v>
      </c>
      <c r="M200" s="12" t="str">
        <f t="shared" si="41"/>
        <v>Número de sentencias</v>
      </c>
      <c r="N200" s="33" t="s">
        <v>5964</v>
      </c>
      <c r="O200" s="27" t="str">
        <f>"Sentencias Dictadas por Delitos de Abuso Sexual por Delito en el  Juzgado de Garantía de "&amp;[1]!Ingresos_Historicos[[#This Row],[territorio]]&amp;" para el Periodo 2013-2019"</f>
        <v>Sentencias Dictadas por Delitos de Abuso Sexual por Delito en el  Juzgado de Garantía de Puerto Varas para el Periodo 2013-2019</v>
      </c>
      <c r="P20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Puerto Varas para el Periodo 2013-2019 de acuerdo a datos provenientes del Poder Judicial de Chile.</v>
      </c>
      <c r="Q200" s="14" t="str">
        <f t="shared" si="38"/>
        <v>Gráfico de Evolución</v>
      </c>
      <c r="R200" s="77" t="s">
        <v>6013</v>
      </c>
      <c r="S200" s="15" t="s">
        <v>6577</v>
      </c>
      <c r="T200" s="65" t="s">
        <v>5909</v>
      </c>
      <c r="U200" s="24" t="s">
        <v>397</v>
      </c>
      <c r="V200" s="19" t="str">
        <f>+Ingresos_Historicos[[#This Row],[idcoleccion]]&amp;"-"&amp;Ingresos_Historicos[[#This Row],[id]]</f>
        <v>300-0190</v>
      </c>
      <c r="W200" s="19">
        <f>+VLOOKUP(Ingresos_Historicos[[#This Row],[Filtro URL]],Estructura!$X$4:$Y$366,2,0)</f>
        <v>30200007</v>
      </c>
      <c r="X200" s="19" t="str">
        <f>+VLOOKUP(Ingresos_Historicos[[#This Row],[tema]],Estructura!$A$4:$C$18,3,0)</f>
        <v>T-306</v>
      </c>
      <c r="Y200" s="19" t="str">
        <f>+VLOOKUP(Ingresos_Historicos[[#This Row],[contenido]],Estructura!$E$4:$G$18,3,0)</f>
        <v>C-301</v>
      </c>
      <c r="Z200" s="19" t="str">
        <f>+VLOOKUP(Ingresos_Historicos[[#This Row],[Filtro Integrado]],Estructura!$M$4:$O$367,3,0)</f>
        <v>FI-303</v>
      </c>
      <c r="AA200" s="19" t="str">
        <f>+VLOOKUP(Ingresos_Historicos[[#This Row],[Muestra]],Estructura!$Q$4:$S$194,3,0)</f>
        <v>M-306</v>
      </c>
    </row>
    <row r="201" spans="1:27" ht="51" x14ac:dyDescent="0.3">
      <c r="A201" s="71" t="s">
        <v>587</v>
      </c>
      <c r="B201" s="12">
        <f t="shared" si="40"/>
        <v>300</v>
      </c>
      <c r="C201" s="13" t="str">
        <f t="shared" si="40"/>
        <v>Violencia contra la mujer</v>
      </c>
      <c r="D201" s="13" t="str">
        <f t="shared" si="40"/>
        <v>Mujeres</v>
      </c>
      <c r="E201" s="39">
        <v>8</v>
      </c>
      <c r="F201" s="13" t="str">
        <f t="shared" si="42"/>
        <v>Sentencias por delito de abuso sexual</v>
      </c>
      <c r="G201" s="55" t="str">
        <f t="shared" si="42"/>
        <v>Abuso Sexual</v>
      </c>
      <c r="H201" s="38" t="s">
        <v>17</v>
      </c>
      <c r="I201" s="37" t="s">
        <v>25</v>
      </c>
      <c r="J201" s="12" t="s">
        <v>398</v>
      </c>
      <c r="K201" s="12" t="str">
        <f t="shared" si="41"/>
        <v>Sentencias Dictadas por Delitos de Abuso Sexual</v>
      </c>
      <c r="L201" s="12" t="str">
        <f t="shared" si="41"/>
        <v>Periodo 2013-2019</v>
      </c>
      <c r="M201" s="12" t="str">
        <f t="shared" si="41"/>
        <v>Número de sentencias</v>
      </c>
      <c r="N201" s="33" t="s">
        <v>5964</v>
      </c>
      <c r="O201" s="27" t="str">
        <f>"Sentencias Dictadas por Delitos de Abuso Sexual por Delito en el  Juzgado de Garantía de "&amp;[1]!Ingresos_Historicos[[#This Row],[territorio]]&amp;" para el Periodo 2013-2019"</f>
        <v>Sentencias Dictadas por Delitos de Abuso Sexual por Delito en el  Juzgado de Garantía de Rio Negro para el Periodo 2013-2019</v>
      </c>
      <c r="P20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Rio Negro para el Periodo 2013-2019 de acuerdo a datos provenientes del Poder Judicial de Chile.</v>
      </c>
      <c r="Q201" s="14" t="str">
        <f t="shared" si="38"/>
        <v>Gráfico de Evolución</v>
      </c>
      <c r="R201" s="77" t="s">
        <v>6014</v>
      </c>
      <c r="S201" s="15" t="s">
        <v>6578</v>
      </c>
      <c r="T201" s="65" t="s">
        <v>5910</v>
      </c>
      <c r="U201" s="24" t="s">
        <v>397</v>
      </c>
      <c r="V201" s="19" t="str">
        <f>+Ingresos_Historicos[[#This Row],[idcoleccion]]&amp;"-"&amp;Ingresos_Historicos[[#This Row],[id]]</f>
        <v>300-0191</v>
      </c>
      <c r="W201" s="19">
        <f>+VLOOKUP(Ingresos_Historicos[[#This Row],[Filtro URL]],Estructura!$X$4:$Y$366,2,0)</f>
        <v>30200008</v>
      </c>
      <c r="X201" s="19" t="str">
        <f>+VLOOKUP(Ingresos_Historicos[[#This Row],[tema]],Estructura!$A$4:$C$18,3,0)</f>
        <v>T-306</v>
      </c>
      <c r="Y201" s="19" t="str">
        <f>+VLOOKUP(Ingresos_Historicos[[#This Row],[contenido]],Estructura!$E$4:$G$18,3,0)</f>
        <v>C-301</v>
      </c>
      <c r="Z201" s="19" t="str">
        <f>+VLOOKUP(Ingresos_Historicos[[#This Row],[Filtro Integrado]],Estructura!$M$4:$O$367,3,0)</f>
        <v>FI-303</v>
      </c>
      <c r="AA201" s="19" t="str">
        <f>+VLOOKUP(Ingresos_Historicos[[#This Row],[Muestra]],Estructura!$Q$4:$S$194,3,0)</f>
        <v>M-306</v>
      </c>
    </row>
    <row r="202" spans="1:27" ht="51" x14ac:dyDescent="0.3">
      <c r="A202" s="71" t="s">
        <v>588</v>
      </c>
      <c r="B202" s="12">
        <f t="shared" si="40"/>
        <v>300</v>
      </c>
      <c r="C202" s="13" t="str">
        <f t="shared" si="40"/>
        <v>Violencia contra la mujer</v>
      </c>
      <c r="D202" s="13" t="str">
        <f t="shared" si="40"/>
        <v>Mujeres</v>
      </c>
      <c r="E202" s="39">
        <v>9</v>
      </c>
      <c r="F202" s="13" t="str">
        <f t="shared" si="42"/>
        <v>Sentencias por delito de abuso sexual</v>
      </c>
      <c r="G202" s="55" t="str">
        <f t="shared" si="42"/>
        <v>Abuso Sexual</v>
      </c>
      <c r="H202" s="38" t="s">
        <v>17</v>
      </c>
      <c r="I202" s="37" t="s">
        <v>58</v>
      </c>
      <c r="J202" s="12" t="s">
        <v>398</v>
      </c>
      <c r="K202" s="12" t="str">
        <f t="shared" si="41"/>
        <v>Sentencias Dictadas por Delitos de Abuso Sexual</v>
      </c>
      <c r="L202" s="12" t="str">
        <f t="shared" si="41"/>
        <v>Periodo 2013-2019</v>
      </c>
      <c r="M202" s="12" t="str">
        <f t="shared" si="41"/>
        <v>Número de sentencias</v>
      </c>
      <c r="N202" s="33" t="s">
        <v>5964</v>
      </c>
      <c r="O202" s="27" t="str">
        <f>"Sentencias Dictadas por Delitos de Abuso Sexual por Delito en el  Juzgado de Garantía de "&amp;[1]!Ingresos_Historicos[[#This Row],[territorio]]&amp;" para el Periodo 2013-2019"</f>
        <v>Sentencias Dictadas por Delitos de Abuso Sexual por Delito en el  Juzgado de Garantía de Coyhaique para el Periodo 2013-2019</v>
      </c>
      <c r="P20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Coyhaique para el Periodo 2013-2019 de acuerdo a datos provenientes del Poder Judicial de Chile.</v>
      </c>
      <c r="Q202" s="14" t="str">
        <f t="shared" si="38"/>
        <v>Gráfico de Evolución</v>
      </c>
      <c r="R202" s="77" t="s">
        <v>6015</v>
      </c>
      <c r="S202" s="15" t="s">
        <v>6579</v>
      </c>
      <c r="T202" s="65" t="s">
        <v>5910</v>
      </c>
      <c r="U202" s="24" t="s">
        <v>397</v>
      </c>
      <c r="V202" s="19" t="str">
        <f>+Ingresos_Historicos[[#This Row],[idcoleccion]]&amp;"-"&amp;Ingresos_Historicos[[#This Row],[id]]</f>
        <v>300-0192</v>
      </c>
      <c r="W202" s="19">
        <f>+VLOOKUP(Ingresos_Historicos[[#This Row],[Filtro URL]],Estructura!$X$4:$Y$366,2,0)</f>
        <v>30200009</v>
      </c>
      <c r="X202" s="19" t="str">
        <f>+VLOOKUP(Ingresos_Historicos[[#This Row],[tema]],Estructura!$A$4:$C$18,3,0)</f>
        <v>T-306</v>
      </c>
      <c r="Y202" s="19" t="str">
        <f>+VLOOKUP(Ingresos_Historicos[[#This Row],[contenido]],Estructura!$E$4:$G$18,3,0)</f>
        <v>C-301</v>
      </c>
      <c r="Z202" s="19" t="str">
        <f>+VLOOKUP(Ingresos_Historicos[[#This Row],[Filtro Integrado]],Estructura!$M$4:$O$367,3,0)</f>
        <v>FI-303</v>
      </c>
      <c r="AA202" s="19" t="str">
        <f>+VLOOKUP(Ingresos_Historicos[[#This Row],[Muestra]],Estructura!$Q$4:$S$194,3,0)</f>
        <v>M-306</v>
      </c>
    </row>
    <row r="203" spans="1:27" ht="51" x14ac:dyDescent="0.3">
      <c r="A203" s="71" t="s">
        <v>589</v>
      </c>
      <c r="B203" s="12">
        <f t="shared" si="40"/>
        <v>300</v>
      </c>
      <c r="C203" s="13" t="str">
        <f t="shared" si="40"/>
        <v>Violencia contra la mujer</v>
      </c>
      <c r="D203" s="13" t="str">
        <f t="shared" si="40"/>
        <v>Mujeres</v>
      </c>
      <c r="E203" s="39">
        <v>10</v>
      </c>
      <c r="F203" s="13" t="str">
        <f t="shared" si="42"/>
        <v>Sentencias por delito de abuso sexual</v>
      </c>
      <c r="G203" s="55" t="str">
        <f t="shared" si="42"/>
        <v>Abuso Sexual</v>
      </c>
      <c r="H203" s="38" t="s">
        <v>17</v>
      </c>
      <c r="I203" s="37" t="s">
        <v>53</v>
      </c>
      <c r="J203" s="12" t="s">
        <v>398</v>
      </c>
      <c r="K203" s="12" t="str">
        <f t="shared" si="41"/>
        <v>Sentencias Dictadas por Delitos de Abuso Sexual</v>
      </c>
      <c r="L203" s="12" t="str">
        <f t="shared" si="41"/>
        <v>Periodo 2013-2019</v>
      </c>
      <c r="M203" s="12" t="str">
        <f t="shared" si="41"/>
        <v>Número de sentencias</v>
      </c>
      <c r="N203" s="33" t="s">
        <v>5964</v>
      </c>
      <c r="O203" s="27" t="str">
        <f>"Sentencias Dictadas por Delitos de Abuso Sexual por Delito en el  Juzgado de Garantía de "&amp;[1]!Ingresos_Historicos[[#This Row],[territorio]]&amp;" para el Periodo 2013-2019"</f>
        <v>Sentencias Dictadas por Delitos de Abuso Sexual por Delito en el  Juzgado de Garantía de Punta Arenas para el Periodo 2013-2019</v>
      </c>
      <c r="P20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Punta Arenas para el Periodo 2013-2019 de acuerdo a datos provenientes del Poder Judicial de Chile.</v>
      </c>
      <c r="Q203" s="14" t="str">
        <f t="shared" si="38"/>
        <v>Gráfico de Evolución</v>
      </c>
      <c r="R203" s="77" t="s">
        <v>6016</v>
      </c>
      <c r="S203" s="15" t="s">
        <v>6580</v>
      </c>
      <c r="T203" s="65" t="s">
        <v>5910</v>
      </c>
      <c r="U203" s="24" t="s">
        <v>397</v>
      </c>
      <c r="V203" s="19" t="str">
        <f>+Ingresos_Historicos[[#This Row],[idcoleccion]]&amp;"-"&amp;Ingresos_Historicos[[#This Row],[id]]</f>
        <v>300-0193</v>
      </c>
      <c r="W203" s="19">
        <f>+VLOOKUP(Ingresos_Historicos[[#This Row],[Filtro URL]],Estructura!$X$4:$Y$366,2,0)</f>
        <v>30200010</v>
      </c>
      <c r="X203" s="19" t="str">
        <f>+VLOOKUP(Ingresos_Historicos[[#This Row],[tema]],Estructura!$A$4:$C$18,3,0)</f>
        <v>T-306</v>
      </c>
      <c r="Y203" s="19" t="str">
        <f>+VLOOKUP(Ingresos_Historicos[[#This Row],[contenido]],Estructura!$E$4:$G$18,3,0)</f>
        <v>C-301</v>
      </c>
      <c r="Z203" s="19" t="str">
        <f>+VLOOKUP(Ingresos_Historicos[[#This Row],[Filtro Integrado]],Estructura!$M$4:$O$367,3,0)</f>
        <v>FI-303</v>
      </c>
      <c r="AA203" s="19" t="str">
        <f>+VLOOKUP(Ingresos_Historicos[[#This Row],[Muestra]],Estructura!$Q$4:$S$194,3,0)</f>
        <v>M-306</v>
      </c>
    </row>
    <row r="204" spans="1:27" ht="51" x14ac:dyDescent="0.3">
      <c r="A204" s="71" t="s">
        <v>590</v>
      </c>
      <c r="B204" s="12">
        <f t="shared" si="40"/>
        <v>300</v>
      </c>
      <c r="C204" s="13" t="str">
        <f t="shared" si="40"/>
        <v>Violencia contra la mujer</v>
      </c>
      <c r="D204" s="13" t="str">
        <f t="shared" si="40"/>
        <v>Mujeres</v>
      </c>
      <c r="E204" s="39">
        <v>11</v>
      </c>
      <c r="F204" s="13" t="str">
        <f t="shared" si="42"/>
        <v>Sentencias por delito de abuso sexual</v>
      </c>
      <c r="G204" s="55" t="str">
        <f t="shared" si="42"/>
        <v>Abuso Sexual</v>
      </c>
      <c r="H204" s="38" t="s">
        <v>17</v>
      </c>
      <c r="I204" s="37" t="s">
        <v>21</v>
      </c>
      <c r="J204" s="12" t="s">
        <v>398</v>
      </c>
      <c r="K204" s="12" t="str">
        <f t="shared" si="41"/>
        <v>Sentencias Dictadas por Delitos de Abuso Sexual</v>
      </c>
      <c r="L204" s="12" t="str">
        <f t="shared" si="41"/>
        <v>Periodo 2013-2019</v>
      </c>
      <c r="M204" s="12" t="str">
        <f t="shared" si="41"/>
        <v>Número de sentencias</v>
      </c>
      <c r="N204" s="33" t="s">
        <v>5964</v>
      </c>
      <c r="O204"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0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04" s="14" t="str">
        <f t="shared" si="38"/>
        <v>Gráfico de Evolución</v>
      </c>
      <c r="R204" s="77" t="s">
        <v>6017</v>
      </c>
      <c r="S204" s="15" t="s">
        <v>6581</v>
      </c>
      <c r="T204" s="65" t="s">
        <v>5910</v>
      </c>
      <c r="U204" s="24" t="s">
        <v>397</v>
      </c>
      <c r="V204" s="19" t="str">
        <f>+Ingresos_Historicos[[#This Row],[idcoleccion]]&amp;"-"&amp;Ingresos_Historicos[[#This Row],[id]]</f>
        <v>300-0194</v>
      </c>
      <c r="W204" s="19">
        <f>+VLOOKUP(Ingresos_Historicos[[#This Row],[Filtro URL]],Estructura!$X$4:$Y$366,2,0)</f>
        <v>30200011</v>
      </c>
      <c r="X204" s="19" t="str">
        <f>+VLOOKUP(Ingresos_Historicos[[#This Row],[tema]],Estructura!$A$4:$C$18,3,0)</f>
        <v>T-306</v>
      </c>
      <c r="Y204" s="19" t="str">
        <f>+VLOOKUP(Ingresos_Historicos[[#This Row],[contenido]],Estructura!$E$4:$G$18,3,0)</f>
        <v>C-301</v>
      </c>
      <c r="Z204" s="19" t="str">
        <f>+VLOOKUP(Ingresos_Historicos[[#This Row],[Filtro Integrado]],Estructura!$M$4:$O$367,3,0)</f>
        <v>FI-303</v>
      </c>
      <c r="AA204" s="19" t="str">
        <f>+VLOOKUP(Ingresos_Historicos[[#This Row],[Muestra]],Estructura!$Q$4:$S$194,3,0)</f>
        <v>M-306</v>
      </c>
    </row>
    <row r="205" spans="1:27" ht="51" x14ac:dyDescent="0.3">
      <c r="A205" s="71" t="s">
        <v>591</v>
      </c>
      <c r="B205" s="12">
        <f t="shared" si="40"/>
        <v>300</v>
      </c>
      <c r="C205" s="13" t="str">
        <f t="shared" si="40"/>
        <v>Violencia contra la mujer</v>
      </c>
      <c r="D205" s="13" t="str">
        <f t="shared" si="40"/>
        <v>Mujeres</v>
      </c>
      <c r="E205" s="39">
        <v>12</v>
      </c>
      <c r="F205" s="13" t="str">
        <f t="shared" si="42"/>
        <v>Sentencias por delito de abuso sexual</v>
      </c>
      <c r="G205" s="55" t="str">
        <f t="shared" si="42"/>
        <v>Abuso Sexual</v>
      </c>
      <c r="H205" s="38" t="s">
        <v>17</v>
      </c>
      <c r="I205" s="37" t="s">
        <v>57</v>
      </c>
      <c r="J205" s="12" t="s">
        <v>398</v>
      </c>
      <c r="K205" s="12" t="str">
        <f t="shared" si="41"/>
        <v>Sentencias Dictadas por Delitos de Abuso Sexual</v>
      </c>
      <c r="L205" s="12" t="str">
        <f t="shared" si="41"/>
        <v>Periodo 2013-2019</v>
      </c>
      <c r="M205" s="12" t="str">
        <f t="shared" si="41"/>
        <v>Número de sentencias</v>
      </c>
      <c r="N205" s="33" t="s">
        <v>5964</v>
      </c>
      <c r="O205"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0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05" s="14" t="str">
        <f t="shared" si="38"/>
        <v>Gráfico de Evolución</v>
      </c>
      <c r="R205" s="77" t="s">
        <v>6018</v>
      </c>
      <c r="S205" s="15" t="s">
        <v>6582</v>
      </c>
      <c r="T205" s="65" t="s">
        <v>5910</v>
      </c>
      <c r="U205" s="24" t="s">
        <v>397</v>
      </c>
      <c r="V205" s="19" t="str">
        <f>+Ingresos_Historicos[[#This Row],[idcoleccion]]&amp;"-"&amp;Ingresos_Historicos[[#This Row],[id]]</f>
        <v>300-0195</v>
      </c>
      <c r="W205" s="19">
        <f>+VLOOKUP(Ingresos_Historicos[[#This Row],[Filtro URL]],Estructura!$X$4:$Y$366,2,0)</f>
        <v>30200012</v>
      </c>
      <c r="X205" s="19" t="str">
        <f>+VLOOKUP(Ingresos_Historicos[[#This Row],[tema]],Estructura!$A$4:$C$18,3,0)</f>
        <v>T-306</v>
      </c>
      <c r="Y205" s="19" t="str">
        <f>+VLOOKUP(Ingresos_Historicos[[#This Row],[contenido]],Estructura!$E$4:$G$18,3,0)</f>
        <v>C-301</v>
      </c>
      <c r="Z205" s="19" t="str">
        <f>+VLOOKUP(Ingresos_Historicos[[#This Row],[Filtro Integrado]],Estructura!$M$4:$O$367,3,0)</f>
        <v>FI-303</v>
      </c>
      <c r="AA205" s="19" t="str">
        <f>+VLOOKUP(Ingresos_Historicos[[#This Row],[Muestra]],Estructura!$Q$4:$S$194,3,0)</f>
        <v>M-306</v>
      </c>
    </row>
    <row r="206" spans="1:27" ht="51" x14ac:dyDescent="0.3">
      <c r="A206" s="71" t="s">
        <v>592</v>
      </c>
      <c r="B206" s="12">
        <f t="shared" si="40"/>
        <v>300</v>
      </c>
      <c r="C206" s="13" t="str">
        <f t="shared" si="40"/>
        <v>Violencia contra la mujer</v>
      </c>
      <c r="D206" s="13" t="str">
        <f t="shared" si="40"/>
        <v>Mujeres</v>
      </c>
      <c r="E206" s="39">
        <v>13</v>
      </c>
      <c r="F206" s="13" t="str">
        <f t="shared" si="42"/>
        <v>Sentencias por delito de abuso sexual</v>
      </c>
      <c r="G206" s="55" t="str">
        <f t="shared" si="42"/>
        <v>Abuso Sexual</v>
      </c>
      <c r="H206" s="38" t="s">
        <v>17</v>
      </c>
      <c r="I206" s="37" t="s">
        <v>83</v>
      </c>
      <c r="J206" s="12" t="s">
        <v>398</v>
      </c>
      <c r="K206" s="12" t="str">
        <f t="shared" si="41"/>
        <v>Sentencias Dictadas por Delitos de Abuso Sexual</v>
      </c>
      <c r="L206" s="12" t="str">
        <f t="shared" si="41"/>
        <v>Periodo 2013-2019</v>
      </c>
      <c r="M206" s="12" t="str">
        <f t="shared" si="41"/>
        <v>Número de sentencias</v>
      </c>
      <c r="N206" s="33" t="s">
        <v>5964</v>
      </c>
      <c r="O206"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06"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06" s="14" t="str">
        <f t="shared" si="38"/>
        <v>Gráfico de Evolución</v>
      </c>
      <c r="R206" s="77" t="s">
        <v>6019</v>
      </c>
      <c r="S206" s="15" t="s">
        <v>6583</v>
      </c>
      <c r="T206" s="65" t="s">
        <v>5911</v>
      </c>
      <c r="U206" s="24" t="s">
        <v>397</v>
      </c>
      <c r="V206" s="19" t="str">
        <f>+Ingresos_Historicos[[#This Row],[idcoleccion]]&amp;"-"&amp;Ingresos_Historicos[[#This Row],[id]]</f>
        <v>300-0196</v>
      </c>
      <c r="W206" s="19">
        <f>+VLOOKUP(Ingresos_Historicos[[#This Row],[Filtro URL]],Estructura!$X$4:$Y$366,2,0)</f>
        <v>30200013</v>
      </c>
      <c r="X206" s="19" t="str">
        <f>+VLOOKUP(Ingresos_Historicos[[#This Row],[tema]],Estructura!$A$4:$C$18,3,0)</f>
        <v>T-306</v>
      </c>
      <c r="Y206" s="19" t="str">
        <f>+VLOOKUP(Ingresos_Historicos[[#This Row],[contenido]],Estructura!$E$4:$G$18,3,0)</f>
        <v>C-301</v>
      </c>
      <c r="Z206" s="19" t="str">
        <f>+VLOOKUP(Ingresos_Historicos[[#This Row],[Filtro Integrado]],Estructura!$M$4:$O$367,3,0)</f>
        <v>FI-303</v>
      </c>
      <c r="AA206" s="19" t="str">
        <f>+VLOOKUP(Ingresos_Historicos[[#This Row],[Muestra]],Estructura!$Q$4:$S$194,3,0)</f>
        <v>M-306</v>
      </c>
    </row>
    <row r="207" spans="1:27" ht="51" x14ac:dyDescent="0.3">
      <c r="A207" s="71" t="s">
        <v>593</v>
      </c>
      <c r="B207" s="12">
        <f t="shared" ref="B207:D222" si="43">+B206</f>
        <v>300</v>
      </c>
      <c r="C207" s="13" t="str">
        <f t="shared" si="43"/>
        <v>Violencia contra la mujer</v>
      </c>
      <c r="D207" s="13" t="str">
        <f t="shared" si="43"/>
        <v>Mujeres</v>
      </c>
      <c r="E207" s="39">
        <v>14</v>
      </c>
      <c r="F207" s="13" t="str">
        <f t="shared" si="42"/>
        <v>Sentencias por delito de abuso sexual</v>
      </c>
      <c r="G207" s="55" t="str">
        <f t="shared" si="42"/>
        <v>Abuso Sexual</v>
      </c>
      <c r="H207" s="38" t="s">
        <v>17</v>
      </c>
      <c r="I207" s="37" t="s">
        <v>77</v>
      </c>
      <c r="J207" s="12" t="s">
        <v>398</v>
      </c>
      <c r="K207" s="12" t="str">
        <f t="shared" si="41"/>
        <v>Sentencias Dictadas por Delitos de Abuso Sexual</v>
      </c>
      <c r="L207" s="12" t="str">
        <f t="shared" si="41"/>
        <v>Periodo 2013-2019</v>
      </c>
      <c r="M207" s="12" t="str">
        <f t="shared" si="41"/>
        <v>Número de sentencias</v>
      </c>
      <c r="N207" s="33" t="s">
        <v>5964</v>
      </c>
      <c r="O207"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07"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07" s="14" t="str">
        <f t="shared" si="38"/>
        <v>Gráfico de Evolución</v>
      </c>
      <c r="R207" s="77" t="s">
        <v>6020</v>
      </c>
      <c r="S207" s="15" t="s">
        <v>6584</v>
      </c>
      <c r="T207" s="65" t="s">
        <v>5911</v>
      </c>
      <c r="U207" s="24" t="s">
        <v>397</v>
      </c>
      <c r="V207" s="19" t="str">
        <f>+Ingresos_Historicos[[#This Row],[idcoleccion]]&amp;"-"&amp;Ingresos_Historicos[[#This Row],[id]]</f>
        <v>300-0197</v>
      </c>
      <c r="W207" s="19">
        <f>+VLOOKUP(Ingresos_Historicos[[#This Row],[Filtro URL]],Estructura!$X$4:$Y$366,2,0)</f>
        <v>30200014</v>
      </c>
      <c r="X207" s="19" t="str">
        <f>+VLOOKUP(Ingresos_Historicos[[#This Row],[tema]],Estructura!$A$4:$C$18,3,0)</f>
        <v>T-306</v>
      </c>
      <c r="Y207" s="19" t="str">
        <f>+VLOOKUP(Ingresos_Historicos[[#This Row],[contenido]],Estructura!$E$4:$G$18,3,0)</f>
        <v>C-301</v>
      </c>
      <c r="Z207" s="19" t="str">
        <f>+VLOOKUP(Ingresos_Historicos[[#This Row],[Filtro Integrado]],Estructura!$M$4:$O$367,3,0)</f>
        <v>FI-303</v>
      </c>
      <c r="AA207" s="19" t="str">
        <f>+VLOOKUP(Ingresos_Historicos[[#This Row],[Muestra]],Estructura!$Q$4:$S$194,3,0)</f>
        <v>M-306</v>
      </c>
    </row>
    <row r="208" spans="1:27" ht="51" x14ac:dyDescent="0.3">
      <c r="A208" s="71" t="s">
        <v>594</v>
      </c>
      <c r="B208" s="12">
        <f t="shared" si="43"/>
        <v>300</v>
      </c>
      <c r="C208" s="13" t="str">
        <f t="shared" si="43"/>
        <v>Violencia contra la mujer</v>
      </c>
      <c r="D208" s="13" t="str">
        <f t="shared" si="43"/>
        <v>Mujeres</v>
      </c>
      <c r="E208" s="39">
        <v>15</v>
      </c>
      <c r="F208" s="13" t="str">
        <f t="shared" si="42"/>
        <v>Sentencias por delito de abuso sexual</v>
      </c>
      <c r="G208" s="55" t="str">
        <f t="shared" si="42"/>
        <v>Abuso Sexual</v>
      </c>
      <c r="H208" s="38" t="s">
        <v>17</v>
      </c>
      <c r="I208" s="37" t="s">
        <v>100</v>
      </c>
      <c r="J208" s="12" t="s">
        <v>398</v>
      </c>
      <c r="K208" s="12" t="str">
        <f t="shared" ref="K208:M223" si="44">+K207</f>
        <v>Sentencias Dictadas por Delitos de Abuso Sexual</v>
      </c>
      <c r="L208" s="12" t="str">
        <f t="shared" si="44"/>
        <v>Periodo 2013-2019</v>
      </c>
      <c r="M208" s="12" t="str">
        <f t="shared" si="44"/>
        <v>Número de sentencias</v>
      </c>
      <c r="N208" s="33" t="s">
        <v>5964</v>
      </c>
      <c r="O208"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08"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08" s="14" t="str">
        <f t="shared" si="38"/>
        <v>Gráfico de Evolución</v>
      </c>
      <c r="R208" s="77" t="s">
        <v>6021</v>
      </c>
      <c r="S208" s="15" t="s">
        <v>6585</v>
      </c>
      <c r="T208" s="65" t="s">
        <v>5911</v>
      </c>
      <c r="U208" s="24" t="s">
        <v>397</v>
      </c>
      <c r="V208" s="19" t="str">
        <f>+Ingresos_Historicos[[#This Row],[idcoleccion]]&amp;"-"&amp;Ingresos_Historicos[[#This Row],[id]]</f>
        <v>300-0198</v>
      </c>
      <c r="W208" s="19">
        <f>+VLOOKUP(Ingresos_Historicos[[#This Row],[Filtro URL]],Estructura!$X$4:$Y$366,2,0)</f>
        <v>30200015</v>
      </c>
      <c r="X208" s="19" t="str">
        <f>+VLOOKUP(Ingresos_Historicos[[#This Row],[tema]],Estructura!$A$4:$C$18,3,0)</f>
        <v>T-306</v>
      </c>
      <c r="Y208" s="19" t="str">
        <f>+VLOOKUP(Ingresos_Historicos[[#This Row],[contenido]],Estructura!$E$4:$G$18,3,0)</f>
        <v>C-301</v>
      </c>
      <c r="Z208" s="19" t="str">
        <f>+VLOOKUP(Ingresos_Historicos[[#This Row],[Filtro Integrado]],Estructura!$M$4:$O$367,3,0)</f>
        <v>FI-303</v>
      </c>
      <c r="AA208" s="19" t="str">
        <f>+VLOOKUP(Ingresos_Historicos[[#This Row],[Muestra]],Estructura!$Q$4:$S$194,3,0)</f>
        <v>M-306</v>
      </c>
    </row>
    <row r="209" spans="1:27" ht="51" x14ac:dyDescent="0.3">
      <c r="A209" s="71" t="s">
        <v>595</v>
      </c>
      <c r="B209" s="12">
        <f t="shared" si="43"/>
        <v>300</v>
      </c>
      <c r="C209" s="13" t="str">
        <f t="shared" si="43"/>
        <v>Violencia contra la mujer</v>
      </c>
      <c r="D209" s="13" t="str">
        <f t="shared" si="43"/>
        <v>Mujeres</v>
      </c>
      <c r="E209" s="39">
        <v>16</v>
      </c>
      <c r="F209" s="13" t="str">
        <f t="shared" ref="F209:G224" si="45">+F208</f>
        <v>Sentencias por delito de abuso sexual</v>
      </c>
      <c r="G209" s="55" t="str">
        <f t="shared" si="45"/>
        <v>Abuso Sexual</v>
      </c>
      <c r="H209" s="38" t="s">
        <v>17</v>
      </c>
      <c r="I209" s="37" t="s">
        <v>73</v>
      </c>
      <c r="J209" s="12" t="s">
        <v>398</v>
      </c>
      <c r="K209" s="12" t="str">
        <f t="shared" si="44"/>
        <v>Sentencias Dictadas por Delitos de Abuso Sexual</v>
      </c>
      <c r="L209" s="12" t="str">
        <f t="shared" si="44"/>
        <v>Periodo 2013-2019</v>
      </c>
      <c r="M209" s="12" t="str">
        <f t="shared" si="44"/>
        <v>Número de sentencias</v>
      </c>
      <c r="N209" s="33" t="s">
        <v>5964</v>
      </c>
      <c r="O209"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0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09" s="14" t="str">
        <f t="shared" si="38"/>
        <v>Gráfico de Evolución</v>
      </c>
      <c r="R209" s="77" t="s">
        <v>6022</v>
      </c>
      <c r="S209" s="15" t="s">
        <v>6586</v>
      </c>
      <c r="T209" s="65" t="s">
        <v>5911</v>
      </c>
      <c r="U209" s="24" t="s">
        <v>397</v>
      </c>
      <c r="V209" s="19" t="str">
        <f>+Ingresos_Historicos[[#This Row],[idcoleccion]]&amp;"-"&amp;Ingresos_Historicos[[#This Row],[id]]</f>
        <v>300-0199</v>
      </c>
      <c r="W209" s="19">
        <f>+VLOOKUP(Ingresos_Historicos[[#This Row],[Filtro URL]],Estructura!$X$4:$Y$366,2,0)</f>
        <v>30200016</v>
      </c>
      <c r="X209" s="19" t="str">
        <f>+VLOOKUP(Ingresos_Historicos[[#This Row],[tema]],Estructura!$A$4:$C$18,3,0)</f>
        <v>T-306</v>
      </c>
      <c r="Y209" s="19" t="str">
        <f>+VLOOKUP(Ingresos_Historicos[[#This Row],[contenido]],Estructura!$E$4:$G$18,3,0)</f>
        <v>C-301</v>
      </c>
      <c r="Z209" s="19" t="str">
        <f>+VLOOKUP(Ingresos_Historicos[[#This Row],[Filtro Integrado]],Estructura!$M$4:$O$367,3,0)</f>
        <v>FI-303</v>
      </c>
      <c r="AA209" s="19" t="str">
        <f>+VLOOKUP(Ingresos_Historicos[[#This Row],[Muestra]],Estructura!$Q$4:$S$194,3,0)</f>
        <v>M-306</v>
      </c>
    </row>
    <row r="210" spans="1:27" ht="51" x14ac:dyDescent="0.3">
      <c r="A210" s="71" t="s">
        <v>596</v>
      </c>
      <c r="B210" s="12">
        <f t="shared" si="43"/>
        <v>300</v>
      </c>
      <c r="C210" s="13" t="str">
        <f t="shared" si="43"/>
        <v>Violencia contra la mujer</v>
      </c>
      <c r="D210" s="13" t="str">
        <f t="shared" si="43"/>
        <v>Mujeres</v>
      </c>
      <c r="E210" s="39">
        <v>17</v>
      </c>
      <c r="F210" s="13" t="str">
        <f t="shared" si="45"/>
        <v>Sentencias por delito de abuso sexual</v>
      </c>
      <c r="G210" s="55" t="str">
        <f t="shared" si="45"/>
        <v>Abuso Sexual</v>
      </c>
      <c r="H210" s="38" t="s">
        <v>17</v>
      </c>
      <c r="I210" s="37" t="s">
        <v>82</v>
      </c>
      <c r="J210" s="12" t="s">
        <v>398</v>
      </c>
      <c r="K210" s="12" t="str">
        <f t="shared" si="44"/>
        <v>Sentencias Dictadas por Delitos de Abuso Sexual</v>
      </c>
      <c r="L210" s="12" t="str">
        <f t="shared" si="44"/>
        <v>Periodo 2013-2019</v>
      </c>
      <c r="M210" s="12" t="str">
        <f t="shared" si="44"/>
        <v>Número de sentencias</v>
      </c>
      <c r="N210" s="33" t="s">
        <v>5964</v>
      </c>
      <c r="O210"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0" s="14" t="str">
        <f t="shared" si="38"/>
        <v>Gráfico de Evolución</v>
      </c>
      <c r="R210" s="77" t="s">
        <v>6023</v>
      </c>
      <c r="S210" s="15" t="s">
        <v>6587</v>
      </c>
      <c r="T210" s="65" t="s">
        <v>5911</v>
      </c>
      <c r="U210" s="24" t="s">
        <v>397</v>
      </c>
      <c r="V210" s="19" t="str">
        <f>+Ingresos_Historicos[[#This Row],[idcoleccion]]&amp;"-"&amp;Ingresos_Historicos[[#This Row],[id]]</f>
        <v>300-0200</v>
      </c>
      <c r="W210" s="19" t="e">
        <f>+VLOOKUP(Ingresos_Historicos[[#This Row],[Filtro URL]],Estructura!$X$4:$Y$366,2,0)</f>
        <v>#N/A</v>
      </c>
      <c r="X210" s="19" t="str">
        <f>+VLOOKUP(Ingresos_Historicos[[#This Row],[tema]],Estructura!$A$4:$C$18,3,0)</f>
        <v>T-306</v>
      </c>
      <c r="Y210" s="19" t="str">
        <f>+VLOOKUP(Ingresos_Historicos[[#This Row],[contenido]],Estructura!$E$4:$G$18,3,0)</f>
        <v>C-301</v>
      </c>
      <c r="Z210" s="19" t="str">
        <f>+VLOOKUP(Ingresos_Historicos[[#This Row],[Filtro Integrado]],Estructura!$M$4:$O$367,3,0)</f>
        <v>FI-303</v>
      </c>
      <c r="AA210" s="19" t="str">
        <f>+VLOOKUP(Ingresos_Historicos[[#This Row],[Muestra]],Estructura!$Q$4:$S$194,3,0)</f>
        <v>M-306</v>
      </c>
    </row>
    <row r="211" spans="1:27" ht="51" x14ac:dyDescent="0.3">
      <c r="A211" s="71" t="s">
        <v>597</v>
      </c>
      <c r="B211" s="12">
        <f t="shared" si="43"/>
        <v>300</v>
      </c>
      <c r="C211" s="13" t="str">
        <f t="shared" si="43"/>
        <v>Violencia contra la mujer</v>
      </c>
      <c r="D211" s="13" t="str">
        <f t="shared" si="43"/>
        <v>Mujeres</v>
      </c>
      <c r="E211" s="39">
        <v>18</v>
      </c>
      <c r="F211" s="13" t="str">
        <f t="shared" si="45"/>
        <v>Sentencias por delito de abuso sexual</v>
      </c>
      <c r="G211" s="55" t="str">
        <f t="shared" si="45"/>
        <v>Abuso Sexual</v>
      </c>
      <c r="H211" s="38" t="s">
        <v>17</v>
      </c>
      <c r="I211" s="37" t="s">
        <v>6024</v>
      </c>
      <c r="J211" s="12" t="s">
        <v>398</v>
      </c>
      <c r="K211" s="12" t="str">
        <f t="shared" si="44"/>
        <v>Sentencias Dictadas por Delitos de Abuso Sexual</v>
      </c>
      <c r="L211" s="12" t="str">
        <f t="shared" si="44"/>
        <v>Periodo 2013-2019</v>
      </c>
      <c r="M211" s="12" t="str">
        <f t="shared" si="44"/>
        <v>Número de sentencias</v>
      </c>
      <c r="N211" s="33" t="s">
        <v>5964</v>
      </c>
      <c r="O211"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1" s="14" t="str">
        <f t="shared" si="38"/>
        <v>Gráfico de Evolución</v>
      </c>
      <c r="R211" s="77" t="s">
        <v>6025</v>
      </c>
      <c r="S211" s="15" t="s">
        <v>6588</v>
      </c>
      <c r="T211" s="65" t="s">
        <v>5911</v>
      </c>
      <c r="U211" s="24" t="s">
        <v>397</v>
      </c>
      <c r="V211" s="19" t="str">
        <f>+Ingresos_Historicos[[#This Row],[idcoleccion]]&amp;"-"&amp;Ingresos_Historicos[[#This Row],[id]]</f>
        <v>300-0201</v>
      </c>
      <c r="W211" s="19" t="e">
        <f>+VLOOKUP(Ingresos_Historicos[[#This Row],[Filtro URL]],Estructura!$X$4:$Y$366,2,0)</f>
        <v>#N/A</v>
      </c>
      <c r="X211" s="19" t="str">
        <f>+VLOOKUP(Ingresos_Historicos[[#This Row],[tema]],Estructura!$A$4:$C$18,3,0)</f>
        <v>T-306</v>
      </c>
      <c r="Y211" s="19" t="str">
        <f>+VLOOKUP(Ingresos_Historicos[[#This Row],[contenido]],Estructura!$E$4:$G$18,3,0)</f>
        <v>C-301</v>
      </c>
      <c r="Z211" s="19" t="str">
        <f>+VLOOKUP(Ingresos_Historicos[[#This Row],[Filtro Integrado]],Estructura!$M$4:$O$367,3,0)</f>
        <v>FI-303</v>
      </c>
      <c r="AA211" s="19" t="str">
        <f>+VLOOKUP(Ingresos_Historicos[[#This Row],[Muestra]],Estructura!$Q$4:$S$194,3,0)</f>
        <v>M-306</v>
      </c>
    </row>
    <row r="212" spans="1:27" ht="51" x14ac:dyDescent="0.3">
      <c r="A212" s="71" t="s">
        <v>598</v>
      </c>
      <c r="B212" s="12">
        <f t="shared" si="43"/>
        <v>300</v>
      </c>
      <c r="C212" s="13" t="str">
        <f t="shared" si="43"/>
        <v>Violencia contra la mujer</v>
      </c>
      <c r="D212" s="13" t="str">
        <f t="shared" si="43"/>
        <v>Mujeres</v>
      </c>
      <c r="E212" s="39">
        <v>19</v>
      </c>
      <c r="F212" s="13" t="str">
        <f t="shared" si="45"/>
        <v>Sentencias por delito de abuso sexual</v>
      </c>
      <c r="G212" s="55" t="str">
        <f t="shared" si="45"/>
        <v>Abuso Sexual</v>
      </c>
      <c r="H212" s="38" t="s">
        <v>17</v>
      </c>
      <c r="I212" s="37" t="s">
        <v>93</v>
      </c>
      <c r="J212" s="12" t="s">
        <v>398</v>
      </c>
      <c r="K212" s="12" t="str">
        <f t="shared" si="44"/>
        <v>Sentencias Dictadas por Delitos de Abuso Sexual</v>
      </c>
      <c r="L212" s="12" t="str">
        <f t="shared" si="44"/>
        <v>Periodo 2013-2019</v>
      </c>
      <c r="M212" s="12" t="str">
        <f t="shared" si="44"/>
        <v>Número de sentencias</v>
      </c>
      <c r="N212" s="33" t="s">
        <v>5964</v>
      </c>
      <c r="O212"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2" s="14" t="str">
        <f t="shared" si="38"/>
        <v>Gráfico de Evolución</v>
      </c>
      <c r="R212" s="77" t="s">
        <v>6026</v>
      </c>
      <c r="S212" s="15" t="s">
        <v>6589</v>
      </c>
      <c r="T212" s="65" t="s">
        <v>5911</v>
      </c>
      <c r="U212" s="24" t="s">
        <v>397</v>
      </c>
      <c r="V212" s="19" t="str">
        <f>+Ingresos_Historicos[[#This Row],[idcoleccion]]&amp;"-"&amp;Ingresos_Historicos[[#This Row],[id]]</f>
        <v>300-0202</v>
      </c>
      <c r="W212" s="19" t="e">
        <f>+VLOOKUP(Ingresos_Historicos[[#This Row],[Filtro URL]],Estructura!$X$4:$Y$366,2,0)</f>
        <v>#N/A</v>
      </c>
      <c r="X212" s="19" t="str">
        <f>+VLOOKUP(Ingresos_Historicos[[#This Row],[tema]],Estructura!$A$4:$C$18,3,0)</f>
        <v>T-306</v>
      </c>
      <c r="Y212" s="19" t="str">
        <f>+VLOOKUP(Ingresos_Historicos[[#This Row],[contenido]],Estructura!$E$4:$G$18,3,0)</f>
        <v>C-301</v>
      </c>
      <c r="Z212" s="19" t="str">
        <f>+VLOOKUP(Ingresos_Historicos[[#This Row],[Filtro Integrado]],Estructura!$M$4:$O$367,3,0)</f>
        <v>FI-303</v>
      </c>
      <c r="AA212" s="19" t="str">
        <f>+VLOOKUP(Ingresos_Historicos[[#This Row],[Muestra]],Estructura!$Q$4:$S$194,3,0)</f>
        <v>M-306</v>
      </c>
    </row>
    <row r="213" spans="1:27" ht="51" x14ac:dyDescent="0.3">
      <c r="A213" s="71" t="s">
        <v>599</v>
      </c>
      <c r="B213" s="12">
        <f t="shared" si="43"/>
        <v>300</v>
      </c>
      <c r="C213" s="13" t="str">
        <f t="shared" si="43"/>
        <v>Violencia contra la mujer</v>
      </c>
      <c r="D213" s="13" t="str">
        <f t="shared" si="43"/>
        <v>Mujeres</v>
      </c>
      <c r="E213" s="39">
        <v>20</v>
      </c>
      <c r="F213" s="13" t="str">
        <f t="shared" si="45"/>
        <v>Sentencias por delito de abuso sexual</v>
      </c>
      <c r="G213" s="55" t="str">
        <f t="shared" si="45"/>
        <v>Abuso Sexual</v>
      </c>
      <c r="H213" s="38" t="s">
        <v>17</v>
      </c>
      <c r="I213" s="37" t="s">
        <v>6027</v>
      </c>
      <c r="J213" s="12" t="s">
        <v>398</v>
      </c>
      <c r="K213" s="12" t="str">
        <f t="shared" si="44"/>
        <v>Sentencias Dictadas por Delitos de Abuso Sexual</v>
      </c>
      <c r="L213" s="12" t="str">
        <f t="shared" si="44"/>
        <v>Periodo 2013-2019</v>
      </c>
      <c r="M213" s="12" t="str">
        <f t="shared" si="44"/>
        <v>Número de sentencias</v>
      </c>
      <c r="N213" s="33" t="s">
        <v>5964</v>
      </c>
      <c r="O213"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3" s="14" t="str">
        <f t="shared" si="38"/>
        <v>Gráfico de Evolución</v>
      </c>
      <c r="R213" s="77" t="s">
        <v>6028</v>
      </c>
      <c r="S213" s="15" t="s">
        <v>6590</v>
      </c>
      <c r="T213" s="65" t="s">
        <v>5911</v>
      </c>
      <c r="U213" s="24" t="s">
        <v>397</v>
      </c>
      <c r="V213" s="19" t="str">
        <f>+Ingresos_Historicos[[#This Row],[idcoleccion]]&amp;"-"&amp;Ingresos_Historicos[[#This Row],[id]]</f>
        <v>300-0203</v>
      </c>
      <c r="W213" s="19" t="e">
        <f>+VLOOKUP(Ingresos_Historicos[[#This Row],[Filtro URL]],Estructura!$X$4:$Y$366,2,0)</f>
        <v>#N/A</v>
      </c>
      <c r="X213" s="19" t="str">
        <f>+VLOOKUP(Ingresos_Historicos[[#This Row],[tema]],Estructura!$A$4:$C$18,3,0)</f>
        <v>T-306</v>
      </c>
      <c r="Y213" s="19" t="str">
        <f>+VLOOKUP(Ingresos_Historicos[[#This Row],[contenido]],Estructura!$E$4:$G$18,3,0)</f>
        <v>C-301</v>
      </c>
      <c r="Z213" s="19" t="str">
        <f>+VLOOKUP(Ingresos_Historicos[[#This Row],[Filtro Integrado]],Estructura!$M$4:$O$367,3,0)</f>
        <v>FI-303</v>
      </c>
      <c r="AA213" s="19" t="str">
        <f>+VLOOKUP(Ingresos_Historicos[[#This Row],[Muestra]],Estructura!$Q$4:$S$194,3,0)</f>
        <v>M-306</v>
      </c>
    </row>
    <row r="214" spans="1:27" ht="51" x14ac:dyDescent="0.3">
      <c r="A214" s="71" t="s">
        <v>600</v>
      </c>
      <c r="B214" s="12">
        <f t="shared" si="43"/>
        <v>300</v>
      </c>
      <c r="C214" s="13" t="str">
        <f t="shared" si="43"/>
        <v>Violencia contra la mujer</v>
      </c>
      <c r="D214" s="13" t="str">
        <f t="shared" si="43"/>
        <v>Mujeres</v>
      </c>
      <c r="E214" s="39">
        <v>21</v>
      </c>
      <c r="F214" s="13" t="str">
        <f t="shared" si="45"/>
        <v>Sentencias por delito de abuso sexual</v>
      </c>
      <c r="G214" s="55" t="str">
        <f t="shared" si="45"/>
        <v>Abuso Sexual</v>
      </c>
      <c r="H214" s="38" t="s">
        <v>17</v>
      </c>
      <c r="I214" s="37" t="s">
        <v>102</v>
      </c>
      <c r="J214" s="12" t="s">
        <v>398</v>
      </c>
      <c r="K214" s="12" t="str">
        <f t="shared" si="44"/>
        <v>Sentencias Dictadas por Delitos de Abuso Sexual</v>
      </c>
      <c r="L214" s="12" t="str">
        <f t="shared" si="44"/>
        <v>Periodo 2013-2019</v>
      </c>
      <c r="M214" s="12" t="str">
        <f t="shared" si="44"/>
        <v>Número de sentencias</v>
      </c>
      <c r="N214" s="33" t="s">
        <v>5964</v>
      </c>
      <c r="O214"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4" s="14" t="str">
        <f t="shared" si="38"/>
        <v>Gráfico de Evolución</v>
      </c>
      <c r="R214" s="77" t="s">
        <v>6029</v>
      </c>
      <c r="S214" s="15" t="s">
        <v>6591</v>
      </c>
      <c r="T214" s="65" t="s">
        <v>5911</v>
      </c>
      <c r="U214" s="24" t="s">
        <v>397</v>
      </c>
      <c r="V214" s="19" t="str">
        <f>+Ingresos_Historicos[[#This Row],[idcoleccion]]&amp;"-"&amp;Ingresos_Historicos[[#This Row],[id]]</f>
        <v>300-0204</v>
      </c>
      <c r="W214" s="19" t="e">
        <f>+VLOOKUP(Ingresos_Historicos[[#This Row],[Filtro URL]],Estructura!$X$4:$Y$366,2,0)</f>
        <v>#N/A</v>
      </c>
      <c r="X214" s="19" t="str">
        <f>+VLOOKUP(Ingresos_Historicos[[#This Row],[tema]],Estructura!$A$4:$C$18,3,0)</f>
        <v>T-306</v>
      </c>
      <c r="Y214" s="19" t="str">
        <f>+VLOOKUP(Ingresos_Historicos[[#This Row],[contenido]],Estructura!$E$4:$G$18,3,0)</f>
        <v>C-301</v>
      </c>
      <c r="Z214" s="19" t="str">
        <f>+VLOOKUP(Ingresos_Historicos[[#This Row],[Filtro Integrado]],Estructura!$M$4:$O$367,3,0)</f>
        <v>FI-303</v>
      </c>
      <c r="AA214" s="19" t="str">
        <f>+VLOOKUP(Ingresos_Historicos[[#This Row],[Muestra]],Estructura!$Q$4:$S$194,3,0)</f>
        <v>M-306</v>
      </c>
    </row>
    <row r="215" spans="1:27" ht="51" x14ac:dyDescent="0.3">
      <c r="A215" s="71" t="s">
        <v>601</v>
      </c>
      <c r="B215" s="12">
        <f t="shared" si="43"/>
        <v>300</v>
      </c>
      <c r="C215" s="13" t="str">
        <f t="shared" si="43"/>
        <v>Violencia contra la mujer</v>
      </c>
      <c r="D215" s="13" t="str">
        <f t="shared" si="43"/>
        <v>Mujeres</v>
      </c>
      <c r="E215" s="39">
        <v>22</v>
      </c>
      <c r="F215" s="13" t="str">
        <f t="shared" si="45"/>
        <v>Sentencias por delito de abuso sexual</v>
      </c>
      <c r="G215" s="55" t="str">
        <f t="shared" si="45"/>
        <v>Abuso Sexual</v>
      </c>
      <c r="H215" s="38" t="s">
        <v>17</v>
      </c>
      <c r="I215" s="37" t="s">
        <v>6030</v>
      </c>
      <c r="J215" s="12" t="s">
        <v>398</v>
      </c>
      <c r="K215" s="12" t="str">
        <f t="shared" si="44"/>
        <v>Sentencias Dictadas por Delitos de Abuso Sexual</v>
      </c>
      <c r="L215" s="12" t="str">
        <f t="shared" si="44"/>
        <v>Periodo 2013-2019</v>
      </c>
      <c r="M215" s="12" t="str">
        <f t="shared" si="44"/>
        <v>Número de sentencias</v>
      </c>
      <c r="N215" s="33" t="s">
        <v>5964</v>
      </c>
      <c r="O215"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5" s="14" t="str">
        <f t="shared" si="38"/>
        <v>Gráfico de Evolución</v>
      </c>
      <c r="R215" s="77" t="s">
        <v>6031</v>
      </c>
      <c r="S215" s="15" t="s">
        <v>6592</v>
      </c>
      <c r="T215" s="65" t="s">
        <v>5911</v>
      </c>
      <c r="U215" s="24" t="s">
        <v>397</v>
      </c>
      <c r="V215" s="19" t="str">
        <f>+Ingresos_Historicos[[#This Row],[idcoleccion]]&amp;"-"&amp;Ingresos_Historicos[[#This Row],[id]]</f>
        <v>300-0205</v>
      </c>
      <c r="W215" s="19" t="e">
        <f>+VLOOKUP(Ingresos_Historicos[[#This Row],[Filtro URL]],Estructura!$X$4:$Y$366,2,0)</f>
        <v>#N/A</v>
      </c>
      <c r="X215" s="19" t="str">
        <f>+VLOOKUP(Ingresos_Historicos[[#This Row],[tema]],Estructura!$A$4:$C$18,3,0)</f>
        <v>T-306</v>
      </c>
      <c r="Y215" s="19" t="str">
        <f>+VLOOKUP(Ingresos_Historicos[[#This Row],[contenido]],Estructura!$E$4:$G$18,3,0)</f>
        <v>C-301</v>
      </c>
      <c r="Z215" s="19" t="str">
        <f>+VLOOKUP(Ingresos_Historicos[[#This Row],[Filtro Integrado]],Estructura!$M$4:$O$367,3,0)</f>
        <v>FI-303</v>
      </c>
      <c r="AA215" s="19" t="str">
        <f>+VLOOKUP(Ingresos_Historicos[[#This Row],[Muestra]],Estructura!$Q$4:$S$194,3,0)</f>
        <v>M-306</v>
      </c>
    </row>
    <row r="216" spans="1:27" ht="51" x14ac:dyDescent="0.3">
      <c r="A216" s="71" t="s">
        <v>602</v>
      </c>
      <c r="B216" s="12">
        <f t="shared" si="43"/>
        <v>300</v>
      </c>
      <c r="C216" s="13" t="str">
        <f t="shared" si="43"/>
        <v>Violencia contra la mujer</v>
      </c>
      <c r="D216" s="13" t="str">
        <f t="shared" si="43"/>
        <v>Mujeres</v>
      </c>
      <c r="E216" s="39">
        <v>23</v>
      </c>
      <c r="F216" s="13" t="str">
        <f t="shared" si="45"/>
        <v>Sentencias por delito de abuso sexual</v>
      </c>
      <c r="G216" s="55" t="str">
        <f t="shared" si="45"/>
        <v>Abuso Sexual</v>
      </c>
      <c r="H216" s="38" t="s">
        <v>17</v>
      </c>
      <c r="I216" s="37" t="s">
        <v>108</v>
      </c>
      <c r="J216" s="12" t="s">
        <v>398</v>
      </c>
      <c r="K216" s="12" t="str">
        <f t="shared" si="44"/>
        <v>Sentencias Dictadas por Delitos de Abuso Sexual</v>
      </c>
      <c r="L216" s="12" t="str">
        <f t="shared" si="44"/>
        <v>Periodo 2013-2019</v>
      </c>
      <c r="M216" s="12" t="str">
        <f t="shared" si="44"/>
        <v>Número de sentencias</v>
      </c>
      <c r="N216" s="33" t="s">
        <v>5964</v>
      </c>
      <c r="O216"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6"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6" s="14" t="str">
        <f t="shared" si="38"/>
        <v>Gráfico de Evolución</v>
      </c>
      <c r="R216" s="77" t="s">
        <v>6032</v>
      </c>
      <c r="S216" s="15" t="s">
        <v>6593</v>
      </c>
      <c r="T216" s="65" t="s">
        <v>5912</v>
      </c>
      <c r="U216" s="24" t="s">
        <v>397</v>
      </c>
      <c r="V216" s="19" t="str">
        <f>+Ingresos_Historicos[[#This Row],[idcoleccion]]&amp;"-"&amp;Ingresos_Historicos[[#This Row],[id]]</f>
        <v>300-0206</v>
      </c>
      <c r="W216" s="19" t="e">
        <f>+VLOOKUP(Ingresos_Historicos[[#This Row],[Filtro URL]],Estructura!$X$4:$Y$366,2,0)</f>
        <v>#N/A</v>
      </c>
      <c r="X216" s="19" t="str">
        <f>+VLOOKUP(Ingresos_Historicos[[#This Row],[tema]],Estructura!$A$4:$C$18,3,0)</f>
        <v>T-306</v>
      </c>
      <c r="Y216" s="19" t="str">
        <f>+VLOOKUP(Ingresos_Historicos[[#This Row],[contenido]],Estructura!$E$4:$G$18,3,0)</f>
        <v>C-301</v>
      </c>
      <c r="Z216" s="19" t="str">
        <f>+VLOOKUP(Ingresos_Historicos[[#This Row],[Filtro Integrado]],Estructura!$M$4:$O$367,3,0)</f>
        <v>FI-303</v>
      </c>
      <c r="AA216" s="19" t="str">
        <f>+VLOOKUP(Ingresos_Historicos[[#This Row],[Muestra]],Estructura!$Q$4:$S$194,3,0)</f>
        <v>M-306</v>
      </c>
    </row>
    <row r="217" spans="1:27" ht="51" x14ac:dyDescent="0.3">
      <c r="A217" s="71" t="s">
        <v>603</v>
      </c>
      <c r="B217" s="12">
        <f t="shared" si="43"/>
        <v>300</v>
      </c>
      <c r="C217" s="13" t="str">
        <f t="shared" si="43"/>
        <v>Violencia contra la mujer</v>
      </c>
      <c r="D217" s="13" t="str">
        <f t="shared" si="43"/>
        <v>Mujeres</v>
      </c>
      <c r="E217" s="39">
        <v>24</v>
      </c>
      <c r="F217" s="13" t="str">
        <f t="shared" si="45"/>
        <v>Sentencias por delito de abuso sexual</v>
      </c>
      <c r="G217" s="55" t="str">
        <f t="shared" si="45"/>
        <v>Abuso Sexual</v>
      </c>
      <c r="H217" s="38" t="s">
        <v>17</v>
      </c>
      <c r="I217" s="37" t="s">
        <v>103</v>
      </c>
      <c r="J217" s="12" t="s">
        <v>398</v>
      </c>
      <c r="K217" s="12" t="str">
        <f t="shared" si="44"/>
        <v>Sentencias Dictadas por Delitos de Abuso Sexual</v>
      </c>
      <c r="L217" s="12" t="str">
        <f t="shared" si="44"/>
        <v>Periodo 2013-2019</v>
      </c>
      <c r="M217" s="12" t="str">
        <f t="shared" si="44"/>
        <v>Número de sentencias</v>
      </c>
      <c r="N217" s="33" t="s">
        <v>5964</v>
      </c>
      <c r="O217"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7"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7" s="14" t="str">
        <f t="shared" si="38"/>
        <v>Gráfico de Evolución</v>
      </c>
      <c r="R217" s="77" t="s">
        <v>6033</v>
      </c>
      <c r="S217" s="15" t="s">
        <v>6594</v>
      </c>
      <c r="T217" s="65" t="s">
        <v>5912</v>
      </c>
      <c r="U217" s="24" t="s">
        <v>397</v>
      </c>
      <c r="V217" s="19" t="str">
        <f>+Ingresos_Historicos[[#This Row],[idcoleccion]]&amp;"-"&amp;Ingresos_Historicos[[#This Row],[id]]</f>
        <v>300-0207</v>
      </c>
      <c r="W217" s="19" t="e">
        <f>+VLOOKUP(Ingresos_Historicos[[#This Row],[Filtro URL]],Estructura!$X$4:$Y$366,2,0)</f>
        <v>#N/A</v>
      </c>
      <c r="X217" s="19" t="str">
        <f>+VLOOKUP(Ingresos_Historicos[[#This Row],[tema]],Estructura!$A$4:$C$18,3,0)</f>
        <v>T-306</v>
      </c>
      <c r="Y217" s="19" t="str">
        <f>+VLOOKUP(Ingresos_Historicos[[#This Row],[contenido]],Estructura!$E$4:$G$18,3,0)</f>
        <v>C-301</v>
      </c>
      <c r="Z217" s="19" t="str">
        <f>+VLOOKUP(Ingresos_Historicos[[#This Row],[Filtro Integrado]],Estructura!$M$4:$O$367,3,0)</f>
        <v>FI-303</v>
      </c>
      <c r="AA217" s="19" t="str">
        <f>+VLOOKUP(Ingresos_Historicos[[#This Row],[Muestra]],Estructura!$Q$4:$S$194,3,0)</f>
        <v>M-306</v>
      </c>
    </row>
    <row r="218" spans="1:27" ht="51" x14ac:dyDescent="0.3">
      <c r="A218" s="71" t="s">
        <v>604</v>
      </c>
      <c r="B218" s="12">
        <f t="shared" si="43"/>
        <v>300</v>
      </c>
      <c r="C218" s="13" t="str">
        <f t="shared" si="43"/>
        <v>Violencia contra la mujer</v>
      </c>
      <c r="D218" s="13" t="str">
        <f t="shared" si="43"/>
        <v>Mujeres</v>
      </c>
      <c r="E218" s="39">
        <v>25</v>
      </c>
      <c r="F218" s="13" t="str">
        <f t="shared" si="45"/>
        <v>Sentencias por delito de abuso sexual</v>
      </c>
      <c r="G218" s="55" t="str">
        <f t="shared" si="45"/>
        <v>Abuso Sexual</v>
      </c>
      <c r="H218" s="38" t="s">
        <v>17</v>
      </c>
      <c r="I218" s="37" t="s">
        <v>117</v>
      </c>
      <c r="J218" s="12" t="s">
        <v>398</v>
      </c>
      <c r="K218" s="12" t="str">
        <f t="shared" si="44"/>
        <v>Sentencias Dictadas por Delitos de Abuso Sexual</v>
      </c>
      <c r="L218" s="12" t="str">
        <f t="shared" si="44"/>
        <v>Periodo 2013-2019</v>
      </c>
      <c r="M218" s="12" t="str">
        <f t="shared" si="44"/>
        <v>Número de sentencias</v>
      </c>
      <c r="N218" s="33" t="s">
        <v>5964</v>
      </c>
      <c r="O218" s="27" t="str">
        <f>"Sentencias Dictadas por Delitos de Abuso Sexual por Delito en el  Juzgado de Garantía de "&amp;[1]!Ingresos_Historicos[[#This Row],[territorio]]&amp;" para el Periodo 2013-2019"</f>
        <v>Sentencias Dictadas por Delitos de Abuso Sexual por Delito en el  Juzgado de Garantía de Santiago para el Periodo 2013-2019</v>
      </c>
      <c r="P218"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Santiago para el Periodo 2013-2019 de acuerdo a datos provenientes del Poder Judicial de Chile.</v>
      </c>
      <c r="Q218" s="14" t="str">
        <f t="shared" si="38"/>
        <v>Gráfico de Evolución</v>
      </c>
      <c r="R218" s="77" t="s">
        <v>6034</v>
      </c>
      <c r="S218" s="15" t="s">
        <v>6595</v>
      </c>
      <c r="T218" s="65" t="s">
        <v>5912</v>
      </c>
      <c r="U218" s="24" t="s">
        <v>397</v>
      </c>
      <c r="V218" s="19" t="str">
        <f>+Ingresos_Historicos[[#This Row],[idcoleccion]]&amp;"-"&amp;Ingresos_Historicos[[#This Row],[id]]</f>
        <v>300-0208</v>
      </c>
      <c r="W218" s="19" t="e">
        <f>+VLOOKUP(Ingresos_Historicos[[#This Row],[Filtro URL]],Estructura!$X$4:$Y$366,2,0)</f>
        <v>#N/A</v>
      </c>
      <c r="X218" s="19" t="str">
        <f>+VLOOKUP(Ingresos_Historicos[[#This Row],[tema]],Estructura!$A$4:$C$18,3,0)</f>
        <v>T-306</v>
      </c>
      <c r="Y218" s="19" t="str">
        <f>+VLOOKUP(Ingresos_Historicos[[#This Row],[contenido]],Estructura!$E$4:$G$18,3,0)</f>
        <v>C-301</v>
      </c>
      <c r="Z218" s="19" t="str">
        <f>+VLOOKUP(Ingresos_Historicos[[#This Row],[Filtro Integrado]],Estructura!$M$4:$O$367,3,0)</f>
        <v>FI-303</v>
      </c>
      <c r="AA218" s="19" t="str">
        <f>+VLOOKUP(Ingresos_Historicos[[#This Row],[Muestra]],Estructura!$Q$4:$S$194,3,0)</f>
        <v>M-306</v>
      </c>
    </row>
    <row r="219" spans="1:27" ht="51" x14ac:dyDescent="0.3">
      <c r="A219" s="71" t="s">
        <v>605</v>
      </c>
      <c r="B219" s="12">
        <f t="shared" si="43"/>
        <v>300</v>
      </c>
      <c r="C219" s="13" t="str">
        <f t="shared" si="43"/>
        <v>Violencia contra la mujer</v>
      </c>
      <c r="D219" s="13" t="str">
        <f t="shared" si="43"/>
        <v>Mujeres</v>
      </c>
      <c r="E219" s="39">
        <v>26</v>
      </c>
      <c r="F219" s="13" t="str">
        <f t="shared" si="45"/>
        <v>Sentencias por delito de abuso sexual</v>
      </c>
      <c r="G219" s="55" t="str">
        <f t="shared" si="45"/>
        <v>Abuso Sexual</v>
      </c>
      <c r="H219" s="38" t="s">
        <v>17</v>
      </c>
      <c r="I219" s="37" t="s">
        <v>126</v>
      </c>
      <c r="J219" s="12" t="s">
        <v>398</v>
      </c>
      <c r="K219" s="12" t="str">
        <f t="shared" si="44"/>
        <v>Sentencias Dictadas por Delitos de Abuso Sexual</v>
      </c>
      <c r="L219" s="12" t="str">
        <f t="shared" si="44"/>
        <v>Periodo 2013-2019</v>
      </c>
      <c r="M219" s="12" t="str">
        <f t="shared" si="44"/>
        <v>Número de sentencias</v>
      </c>
      <c r="N219" s="33" t="s">
        <v>5964</v>
      </c>
      <c r="O219" s="27" t="str">
        <f>"Sentencias Dictadas por Delitos de Abuso Sexual por Delito en el  Juzgado de Garantía de "&amp;[1]!Ingresos_Historicos[[#This Row],[territorio]]&amp;" para el Periodo 2013-2019"</f>
        <v>Sentencias Dictadas por Delitos de Abuso Sexual por Delito en el  Juzgado de Garantía de Los Lagos para el Periodo 2013-2019</v>
      </c>
      <c r="P21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Los Lagos para el Periodo 2013-2019 de acuerdo a datos provenientes del Poder Judicial de Chile.</v>
      </c>
      <c r="Q219" s="14" t="str">
        <f t="shared" si="38"/>
        <v>Gráfico de Evolución</v>
      </c>
      <c r="R219" s="77" t="s">
        <v>6035</v>
      </c>
      <c r="S219" s="15" t="s">
        <v>6596</v>
      </c>
      <c r="T219" s="65" t="s">
        <v>5912</v>
      </c>
      <c r="U219" s="24" t="s">
        <v>397</v>
      </c>
      <c r="V219" s="19" t="str">
        <f>+Ingresos_Historicos[[#This Row],[idcoleccion]]&amp;"-"&amp;Ingresos_Historicos[[#This Row],[id]]</f>
        <v>300-0209</v>
      </c>
      <c r="W219" s="19" t="e">
        <f>+VLOOKUP(Ingresos_Historicos[[#This Row],[Filtro URL]],Estructura!$X$4:$Y$366,2,0)</f>
        <v>#N/A</v>
      </c>
      <c r="X219" s="19" t="str">
        <f>+VLOOKUP(Ingresos_Historicos[[#This Row],[tema]],Estructura!$A$4:$C$18,3,0)</f>
        <v>T-306</v>
      </c>
      <c r="Y219" s="19" t="str">
        <f>+VLOOKUP(Ingresos_Historicos[[#This Row],[contenido]],Estructura!$E$4:$G$18,3,0)</f>
        <v>C-301</v>
      </c>
      <c r="Z219" s="19" t="str">
        <f>+VLOOKUP(Ingresos_Historicos[[#This Row],[Filtro Integrado]],Estructura!$M$4:$O$367,3,0)</f>
        <v>FI-303</v>
      </c>
      <c r="AA219" s="19" t="str">
        <f>+VLOOKUP(Ingresos_Historicos[[#This Row],[Muestra]],Estructura!$Q$4:$S$194,3,0)</f>
        <v>M-306</v>
      </c>
    </row>
    <row r="220" spans="1:27" ht="51" x14ac:dyDescent="0.3">
      <c r="A220" s="71" t="s">
        <v>606</v>
      </c>
      <c r="B220" s="12">
        <f t="shared" si="43"/>
        <v>300</v>
      </c>
      <c r="C220" s="13" t="str">
        <f t="shared" si="43"/>
        <v>Violencia contra la mujer</v>
      </c>
      <c r="D220" s="13" t="str">
        <f t="shared" si="43"/>
        <v>Mujeres</v>
      </c>
      <c r="E220" s="39">
        <v>27</v>
      </c>
      <c r="F220" s="13" t="str">
        <f t="shared" si="45"/>
        <v>Sentencias por delito de abuso sexual</v>
      </c>
      <c r="G220" s="55" t="str">
        <f t="shared" si="45"/>
        <v>Abuso Sexual</v>
      </c>
      <c r="H220" s="38" t="s">
        <v>17</v>
      </c>
      <c r="I220" s="37" t="s">
        <v>119</v>
      </c>
      <c r="J220" s="12" t="s">
        <v>398</v>
      </c>
      <c r="K220" s="12" t="str">
        <f t="shared" si="44"/>
        <v>Sentencias Dictadas por Delitos de Abuso Sexual</v>
      </c>
      <c r="L220" s="12" t="str">
        <f t="shared" si="44"/>
        <v>Periodo 2013-2019</v>
      </c>
      <c r="M220" s="12" t="str">
        <f t="shared" si="44"/>
        <v>Número de sentencias</v>
      </c>
      <c r="N220" s="33" t="s">
        <v>5964</v>
      </c>
      <c r="O220" s="27" t="str">
        <f>"Sentencias Dictadas por Delitos de Abuso Sexual por Delito en el  Juzgado de Garantía de "&amp;[1]!Ingresos_Historicos[[#This Row],[territorio]]&amp;" para el Periodo 2013-2019"</f>
        <v>Sentencias Dictadas por Delitos de Abuso Sexual por Delito en el  Juzgado de Garantía de Mariquina para el Periodo 2013-2019</v>
      </c>
      <c r="P22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Mariquina para el Periodo 2013-2019 de acuerdo a datos provenientes del Poder Judicial de Chile.</v>
      </c>
      <c r="Q220" s="14" t="str">
        <f t="shared" si="38"/>
        <v>Gráfico de Evolución</v>
      </c>
      <c r="R220" s="77" t="s">
        <v>6036</v>
      </c>
      <c r="S220" s="15" t="s">
        <v>6597</v>
      </c>
      <c r="T220" s="65" t="s">
        <v>5912</v>
      </c>
      <c r="U220" s="24" t="s">
        <v>397</v>
      </c>
      <c r="V220" s="19" t="str">
        <f>+Ingresos_Historicos[[#This Row],[idcoleccion]]&amp;"-"&amp;Ingresos_Historicos[[#This Row],[id]]</f>
        <v>300-0210</v>
      </c>
      <c r="W220" s="19" t="e">
        <f>+VLOOKUP(Ingresos_Historicos[[#This Row],[Filtro URL]],Estructura!$X$4:$Y$366,2,0)</f>
        <v>#N/A</v>
      </c>
      <c r="X220" s="19" t="str">
        <f>+VLOOKUP(Ingresos_Historicos[[#This Row],[tema]],Estructura!$A$4:$C$18,3,0)</f>
        <v>T-306</v>
      </c>
      <c r="Y220" s="19" t="str">
        <f>+VLOOKUP(Ingresos_Historicos[[#This Row],[contenido]],Estructura!$E$4:$G$18,3,0)</f>
        <v>C-301</v>
      </c>
      <c r="Z220" s="19" t="str">
        <f>+VLOOKUP(Ingresos_Historicos[[#This Row],[Filtro Integrado]],Estructura!$M$4:$O$367,3,0)</f>
        <v>FI-303</v>
      </c>
      <c r="AA220" s="19" t="str">
        <f>+VLOOKUP(Ingresos_Historicos[[#This Row],[Muestra]],Estructura!$Q$4:$S$194,3,0)</f>
        <v>M-306</v>
      </c>
    </row>
    <row r="221" spans="1:27" ht="51" x14ac:dyDescent="0.3">
      <c r="A221" s="71" t="s">
        <v>607</v>
      </c>
      <c r="B221" s="12">
        <f t="shared" si="43"/>
        <v>300</v>
      </c>
      <c r="C221" s="13" t="str">
        <f t="shared" si="43"/>
        <v>Violencia contra la mujer</v>
      </c>
      <c r="D221" s="13" t="str">
        <f t="shared" si="43"/>
        <v>Mujeres</v>
      </c>
      <c r="E221" s="39">
        <v>28</v>
      </c>
      <c r="F221" s="13" t="str">
        <f t="shared" si="45"/>
        <v>Sentencias por delito de abuso sexual</v>
      </c>
      <c r="G221" s="55" t="str">
        <f t="shared" si="45"/>
        <v>Abuso Sexual</v>
      </c>
      <c r="H221" s="38" t="s">
        <v>17</v>
      </c>
      <c r="I221" s="37" t="s">
        <v>135</v>
      </c>
      <c r="J221" s="12" t="s">
        <v>398</v>
      </c>
      <c r="K221" s="12" t="str">
        <f t="shared" si="44"/>
        <v>Sentencias Dictadas por Delitos de Abuso Sexual</v>
      </c>
      <c r="L221" s="12" t="str">
        <f t="shared" si="44"/>
        <v>Periodo 2013-2019</v>
      </c>
      <c r="M221" s="12" t="str">
        <f t="shared" si="44"/>
        <v>Número de sentencias</v>
      </c>
      <c r="N221" s="33" t="s">
        <v>5964</v>
      </c>
      <c r="O221" s="27" t="str">
        <f>"Sentencias Dictadas por Delitos de Abuso Sexual por Delito en el  Juzgado de Garantía de "&amp;[1]!Ingresos_Historicos[[#This Row],[territorio]]&amp;" para el Periodo 2013-2019"</f>
        <v>Sentencias Dictadas por Delitos de Abuso Sexual por Delito en el  Juzgado de Garantía de Valdivia para el Periodo 2013-2019</v>
      </c>
      <c r="P22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Valdivia para el Periodo 2013-2019 de acuerdo a datos provenientes del Poder Judicial de Chile.</v>
      </c>
      <c r="Q221" s="14" t="str">
        <f t="shared" si="38"/>
        <v>Gráfico de Evolución</v>
      </c>
      <c r="R221" s="77" t="s">
        <v>6037</v>
      </c>
      <c r="S221" s="15" t="s">
        <v>6598</v>
      </c>
      <c r="T221" s="65" t="s">
        <v>5912</v>
      </c>
      <c r="U221" s="24" t="s">
        <v>397</v>
      </c>
      <c r="V221" s="19" t="str">
        <f>+Ingresos_Historicos[[#This Row],[idcoleccion]]&amp;"-"&amp;Ingresos_Historicos[[#This Row],[id]]</f>
        <v>300-0211</v>
      </c>
      <c r="W221" s="19" t="e">
        <f>+VLOOKUP(Ingresos_Historicos[[#This Row],[Filtro URL]],Estructura!$X$4:$Y$366,2,0)</f>
        <v>#N/A</v>
      </c>
      <c r="X221" s="19" t="str">
        <f>+VLOOKUP(Ingresos_Historicos[[#This Row],[tema]],Estructura!$A$4:$C$18,3,0)</f>
        <v>T-306</v>
      </c>
      <c r="Y221" s="19" t="str">
        <f>+VLOOKUP(Ingresos_Historicos[[#This Row],[contenido]],Estructura!$E$4:$G$18,3,0)</f>
        <v>C-301</v>
      </c>
      <c r="Z221" s="19" t="str">
        <f>+VLOOKUP(Ingresos_Historicos[[#This Row],[Filtro Integrado]],Estructura!$M$4:$O$367,3,0)</f>
        <v>FI-303</v>
      </c>
      <c r="AA221" s="19" t="str">
        <f>+VLOOKUP(Ingresos_Historicos[[#This Row],[Muestra]],Estructura!$Q$4:$S$194,3,0)</f>
        <v>M-306</v>
      </c>
    </row>
    <row r="222" spans="1:27" ht="40.799999999999997" x14ac:dyDescent="0.3">
      <c r="A222" s="71" t="s">
        <v>608</v>
      </c>
      <c r="B222" s="12">
        <f t="shared" si="43"/>
        <v>300</v>
      </c>
      <c r="C222" s="13" t="str">
        <f t="shared" si="43"/>
        <v>Violencia contra la mujer</v>
      </c>
      <c r="D222" s="13" t="str">
        <f t="shared" si="43"/>
        <v>Mujeres</v>
      </c>
      <c r="E222" s="39">
        <v>29</v>
      </c>
      <c r="F222" s="13" t="str">
        <f t="shared" si="45"/>
        <v>Sentencias por delito de abuso sexual</v>
      </c>
      <c r="G222" s="55" t="str">
        <f t="shared" si="45"/>
        <v>Abuso Sexual</v>
      </c>
      <c r="H222" s="38" t="s">
        <v>17</v>
      </c>
      <c r="I222" s="37" t="s">
        <v>145</v>
      </c>
      <c r="J222" s="12" t="s">
        <v>398</v>
      </c>
      <c r="K222" s="12" t="str">
        <f t="shared" si="44"/>
        <v>Sentencias Dictadas por Delitos de Abuso Sexual</v>
      </c>
      <c r="L222" s="12" t="str">
        <f t="shared" si="44"/>
        <v>Periodo 2013-2019</v>
      </c>
      <c r="M222" s="12" t="str">
        <f t="shared" si="44"/>
        <v>Número de sentencias</v>
      </c>
      <c r="N222" s="33" t="s">
        <v>5964</v>
      </c>
      <c r="O222" s="27" t="str">
        <f>"Sentencias Dictadas por Delitos de Abuso Sexual por Delito en el  Juzgado de Garantía de "&amp;[1]!Ingresos_Historicos[[#This Row],[territorio]]&amp;" para el Periodo 2013-2019"</f>
        <v>Sentencias Dictadas por Delitos de Abuso Sexual por Delito en el  Juzgado de Garantía de Arica para el Periodo 2013-2019</v>
      </c>
      <c r="P22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Arica para el Periodo 2013-2019 de acuerdo a datos provenientes del Poder Judicial de Chile.</v>
      </c>
      <c r="Q222" s="14" t="str">
        <f t="shared" si="38"/>
        <v>Gráfico de Evolución</v>
      </c>
      <c r="R222" s="77" t="s">
        <v>6038</v>
      </c>
      <c r="S222" s="15" t="s">
        <v>6599</v>
      </c>
      <c r="T222" s="65" t="s">
        <v>5913</v>
      </c>
      <c r="U222" s="24" t="s">
        <v>397</v>
      </c>
      <c r="V222" s="19" t="str">
        <f>+Ingresos_Historicos[[#This Row],[idcoleccion]]&amp;"-"&amp;Ingresos_Historicos[[#This Row],[id]]</f>
        <v>300-0212</v>
      </c>
      <c r="W222" s="19" t="e">
        <f>+VLOOKUP(Ingresos_Historicos[[#This Row],[Filtro URL]],Estructura!$X$4:$Y$366,2,0)</f>
        <v>#N/A</v>
      </c>
      <c r="X222" s="19" t="str">
        <f>+VLOOKUP(Ingresos_Historicos[[#This Row],[tema]],Estructura!$A$4:$C$18,3,0)</f>
        <v>T-306</v>
      </c>
      <c r="Y222" s="19" t="str">
        <f>+VLOOKUP(Ingresos_Historicos[[#This Row],[contenido]],Estructura!$E$4:$G$18,3,0)</f>
        <v>C-301</v>
      </c>
      <c r="Z222" s="19" t="str">
        <f>+VLOOKUP(Ingresos_Historicos[[#This Row],[Filtro Integrado]],Estructura!$M$4:$O$367,3,0)</f>
        <v>FI-303</v>
      </c>
      <c r="AA222" s="19" t="str">
        <f>+VLOOKUP(Ingresos_Historicos[[#This Row],[Muestra]],Estructura!$Q$4:$S$194,3,0)</f>
        <v>M-306</v>
      </c>
    </row>
    <row r="223" spans="1:27" ht="40.799999999999997" x14ac:dyDescent="0.3">
      <c r="A223" s="71" t="s">
        <v>609</v>
      </c>
      <c r="B223" s="12">
        <f t="shared" ref="B223:D238" si="46">+B222</f>
        <v>300</v>
      </c>
      <c r="C223" s="13" t="str">
        <f t="shared" si="46"/>
        <v>Violencia contra la mujer</v>
      </c>
      <c r="D223" s="13" t="str">
        <f t="shared" si="46"/>
        <v>Mujeres</v>
      </c>
      <c r="E223" s="39">
        <v>30</v>
      </c>
      <c r="F223" s="13" t="str">
        <f t="shared" si="45"/>
        <v>Sentencias por delito de abuso sexual</v>
      </c>
      <c r="G223" s="55" t="str">
        <f t="shared" si="45"/>
        <v>Abuso Sexual</v>
      </c>
      <c r="H223" s="38" t="s">
        <v>17</v>
      </c>
      <c r="I223" s="37" t="s">
        <v>6039</v>
      </c>
      <c r="J223" s="12" t="s">
        <v>398</v>
      </c>
      <c r="K223" s="12" t="str">
        <f t="shared" si="44"/>
        <v>Sentencias Dictadas por Delitos de Abuso Sexual</v>
      </c>
      <c r="L223" s="12" t="str">
        <f t="shared" si="44"/>
        <v>Periodo 2013-2019</v>
      </c>
      <c r="M223" s="12" t="str">
        <f t="shared" si="44"/>
        <v>Número de sentencias</v>
      </c>
      <c r="N223" s="33" t="s">
        <v>5964</v>
      </c>
      <c r="O223" s="27" t="str">
        <f>"Sentencias Dictadas por Delitos de Abuso Sexual por Delito en el  Juzgado de Garantía de "&amp;[1]!Ingresos_Historicos[[#This Row],[territorio]]&amp;" para el Periodo 2013-2019"</f>
        <v>Sentencias Dictadas por Delitos de Abuso Sexual por Delito en el  Juzgado de Garantía de Chillan para el Periodo 2013-2019</v>
      </c>
      <c r="P22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Chillan para el Periodo 2013-2019 de acuerdo a datos provenientes del Poder Judicial de Chile.</v>
      </c>
      <c r="Q223" s="14" t="str">
        <f t="shared" si="38"/>
        <v>Gráfico de Evolución</v>
      </c>
      <c r="R223" s="77" t="s">
        <v>6040</v>
      </c>
      <c r="S223" s="15" t="s">
        <v>6600</v>
      </c>
      <c r="T223" s="65" t="s">
        <v>5913</v>
      </c>
      <c r="U223" s="24" t="s">
        <v>397</v>
      </c>
      <c r="V223" s="19" t="str">
        <f>+Ingresos_Historicos[[#This Row],[idcoleccion]]&amp;"-"&amp;Ingresos_Historicos[[#This Row],[id]]</f>
        <v>300-0213</v>
      </c>
      <c r="W223" s="19" t="e">
        <f>+VLOOKUP(Ingresos_Historicos[[#This Row],[Filtro URL]],Estructura!$X$4:$Y$366,2,0)</f>
        <v>#N/A</v>
      </c>
      <c r="X223" s="19" t="str">
        <f>+VLOOKUP(Ingresos_Historicos[[#This Row],[tema]],Estructura!$A$4:$C$18,3,0)</f>
        <v>T-306</v>
      </c>
      <c r="Y223" s="19" t="str">
        <f>+VLOOKUP(Ingresos_Historicos[[#This Row],[contenido]],Estructura!$E$4:$G$18,3,0)</f>
        <v>C-301</v>
      </c>
      <c r="Z223" s="19" t="str">
        <f>+VLOOKUP(Ingresos_Historicos[[#This Row],[Filtro Integrado]],Estructura!$M$4:$O$367,3,0)</f>
        <v>FI-303</v>
      </c>
      <c r="AA223" s="19" t="str">
        <f>+VLOOKUP(Ingresos_Historicos[[#This Row],[Muestra]],Estructura!$Q$4:$S$194,3,0)</f>
        <v>M-306</v>
      </c>
    </row>
    <row r="224" spans="1:27" ht="51" x14ac:dyDescent="0.3">
      <c r="A224" s="71" t="s">
        <v>610</v>
      </c>
      <c r="B224" s="12">
        <f t="shared" si="46"/>
        <v>300</v>
      </c>
      <c r="C224" s="13" t="str">
        <f t="shared" si="46"/>
        <v>Violencia contra la mujer</v>
      </c>
      <c r="D224" s="13" t="str">
        <f t="shared" si="46"/>
        <v>Mujeres</v>
      </c>
      <c r="E224" s="39">
        <v>31</v>
      </c>
      <c r="F224" s="13" t="str">
        <f t="shared" si="45"/>
        <v>Sentencias por delito de abuso sexual</v>
      </c>
      <c r="G224" s="55" t="str">
        <f t="shared" si="45"/>
        <v>Abuso Sexual</v>
      </c>
      <c r="H224" s="38" t="s">
        <v>17</v>
      </c>
      <c r="I224" s="37" t="s">
        <v>6041</v>
      </c>
      <c r="J224" s="12" t="s">
        <v>398</v>
      </c>
      <c r="K224" s="12" t="str">
        <f t="shared" ref="K224:M239" si="47">+K223</f>
        <v>Sentencias Dictadas por Delitos de Abuso Sexual</v>
      </c>
      <c r="L224" s="12" t="str">
        <f t="shared" si="47"/>
        <v>Periodo 2013-2019</v>
      </c>
      <c r="M224" s="12" t="str">
        <f t="shared" si="47"/>
        <v>Número de sentencias</v>
      </c>
      <c r="N224" s="33" t="s">
        <v>5964</v>
      </c>
      <c r="O224" s="27" t="str">
        <f>"Sentencias Dictadas por Delitos de Abuso Sexual por Delito en el  Juzgado de Garantía de "&amp;[1]!Ingresos_Historicos[[#This Row],[territorio]]&amp;" para el Periodo 2013-2019"</f>
        <v>Sentencias Dictadas por Delitos de Abuso Sexual por Delito en el  Juzgado de Garantía de San Carlos para el Periodo 2013-2019</v>
      </c>
      <c r="P22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San Carlos para el Periodo 2013-2019 de acuerdo a datos provenientes del Poder Judicial de Chile.</v>
      </c>
      <c r="Q224" s="14" t="str">
        <f t="shared" si="38"/>
        <v>Gráfico de Evolución</v>
      </c>
      <c r="R224" s="77" t="s">
        <v>6042</v>
      </c>
      <c r="S224" s="15" t="s">
        <v>6601</v>
      </c>
      <c r="T224" s="65" t="s">
        <v>5913</v>
      </c>
      <c r="U224" s="24" t="s">
        <v>397</v>
      </c>
      <c r="V224" s="19" t="str">
        <f>+Ingresos_Historicos[[#This Row],[idcoleccion]]&amp;"-"&amp;Ingresos_Historicos[[#This Row],[id]]</f>
        <v>300-0214</v>
      </c>
      <c r="W224" s="19" t="e">
        <f>+VLOOKUP(Ingresos_Historicos[[#This Row],[Filtro URL]],Estructura!$X$4:$Y$366,2,0)</f>
        <v>#N/A</v>
      </c>
      <c r="X224" s="19" t="str">
        <f>+VLOOKUP(Ingresos_Historicos[[#This Row],[tema]],Estructura!$A$4:$C$18,3,0)</f>
        <v>T-306</v>
      </c>
      <c r="Y224" s="19" t="str">
        <f>+VLOOKUP(Ingresos_Historicos[[#This Row],[contenido]],Estructura!$E$4:$G$18,3,0)</f>
        <v>C-301</v>
      </c>
      <c r="Z224" s="19" t="str">
        <f>+VLOOKUP(Ingresos_Historicos[[#This Row],[Filtro Integrado]],Estructura!$M$4:$O$367,3,0)</f>
        <v>FI-303</v>
      </c>
      <c r="AA224" s="19" t="str">
        <f>+VLOOKUP(Ingresos_Historicos[[#This Row],[Muestra]],Estructura!$Q$4:$S$194,3,0)</f>
        <v>M-306</v>
      </c>
    </row>
    <row r="225" spans="1:27" ht="40.799999999999997" x14ac:dyDescent="0.3">
      <c r="A225" s="71" t="s">
        <v>611</v>
      </c>
      <c r="B225" s="12">
        <f t="shared" si="46"/>
        <v>300</v>
      </c>
      <c r="C225" s="13" t="str">
        <f t="shared" si="46"/>
        <v>Violencia contra la mujer</v>
      </c>
      <c r="D225" s="13" t="str">
        <f t="shared" si="46"/>
        <v>Mujeres</v>
      </c>
      <c r="E225" s="39">
        <v>32</v>
      </c>
      <c r="F225" s="13" t="str">
        <f t="shared" ref="F225:G240" si="48">+F224</f>
        <v>Sentencias por delito de abuso sexual</v>
      </c>
      <c r="G225" s="55" t="str">
        <f t="shared" si="48"/>
        <v>Abuso Sexual</v>
      </c>
      <c r="H225" s="38" t="s">
        <v>17</v>
      </c>
      <c r="I225" s="37" t="s">
        <v>157</v>
      </c>
      <c r="J225" s="12" t="s">
        <v>398</v>
      </c>
      <c r="K225" s="12" t="str">
        <f t="shared" si="47"/>
        <v>Sentencias Dictadas por Delitos de Abuso Sexual</v>
      </c>
      <c r="L225" s="12" t="str">
        <f t="shared" si="47"/>
        <v>Periodo 2013-2019</v>
      </c>
      <c r="M225" s="12" t="str">
        <f t="shared" si="47"/>
        <v>Número de sentencias</v>
      </c>
      <c r="N225" s="33" t="s">
        <v>5964</v>
      </c>
      <c r="O225" s="27" t="str">
        <f>"Sentencias Dictadas por Delitos de Abuso Sexual por Delito en el  Juzgado de Garantía de "&amp;[1]!Ingresos_Historicos[[#This Row],[territorio]]&amp;" para el Periodo 2013-2019"</f>
        <v>Sentencias Dictadas por Delitos de Abuso Sexual por Delito en el  Juzgado de Garantía de Yungay para el Periodo 2013-2019</v>
      </c>
      <c r="P22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Yungay para el Periodo 2013-2019 de acuerdo a datos provenientes del Poder Judicial de Chile.</v>
      </c>
      <c r="Q225" s="14" t="str">
        <f t="shared" si="38"/>
        <v>Gráfico de Evolución</v>
      </c>
      <c r="R225" s="77" t="s">
        <v>6043</v>
      </c>
      <c r="S225" s="15" t="s">
        <v>6602</v>
      </c>
      <c r="T225" s="65" t="s">
        <v>5913</v>
      </c>
      <c r="U225" s="24" t="s">
        <v>397</v>
      </c>
      <c r="V225" s="19" t="str">
        <f>+Ingresos_Historicos[[#This Row],[idcoleccion]]&amp;"-"&amp;Ingresos_Historicos[[#This Row],[id]]</f>
        <v>300-0215</v>
      </c>
      <c r="W225" s="19" t="e">
        <f>+VLOOKUP(Ingresos_Historicos[[#This Row],[Filtro URL]],Estructura!$X$4:$Y$366,2,0)</f>
        <v>#N/A</v>
      </c>
      <c r="X225" s="19" t="str">
        <f>+VLOOKUP(Ingresos_Historicos[[#This Row],[tema]],Estructura!$A$4:$C$18,3,0)</f>
        <v>T-306</v>
      </c>
      <c r="Y225" s="19" t="str">
        <f>+VLOOKUP(Ingresos_Historicos[[#This Row],[contenido]],Estructura!$E$4:$G$18,3,0)</f>
        <v>C-301</v>
      </c>
      <c r="Z225" s="19" t="str">
        <f>+VLOOKUP(Ingresos_Historicos[[#This Row],[Filtro Integrado]],Estructura!$M$4:$O$367,3,0)</f>
        <v>FI-303</v>
      </c>
      <c r="AA225" s="19" t="str">
        <f>+VLOOKUP(Ingresos_Historicos[[#This Row],[Muestra]],Estructura!$Q$4:$S$194,3,0)</f>
        <v>M-306</v>
      </c>
    </row>
    <row r="226" spans="1:27" ht="40.799999999999997" x14ac:dyDescent="0.3">
      <c r="A226" s="71" t="s">
        <v>612</v>
      </c>
      <c r="B226" s="12">
        <f t="shared" si="46"/>
        <v>300</v>
      </c>
      <c r="C226" s="13" t="str">
        <f t="shared" si="46"/>
        <v>Violencia contra la mujer</v>
      </c>
      <c r="D226" s="13" t="str">
        <f t="shared" si="46"/>
        <v>Mujeres</v>
      </c>
      <c r="E226" s="39">
        <v>33</v>
      </c>
      <c r="F226" s="13" t="str">
        <f t="shared" si="48"/>
        <v>Sentencias por delito de abuso sexual</v>
      </c>
      <c r="G226" s="55" t="str">
        <f t="shared" si="48"/>
        <v>Abuso Sexual</v>
      </c>
      <c r="H226" s="38" t="s">
        <v>17</v>
      </c>
      <c r="I226" s="37" t="s">
        <v>151</v>
      </c>
      <c r="J226" s="12" t="s">
        <v>398</v>
      </c>
      <c r="K226" s="12" t="str">
        <f t="shared" si="47"/>
        <v>Sentencias Dictadas por Delitos de Abuso Sexual</v>
      </c>
      <c r="L226" s="12" t="str">
        <f t="shared" si="47"/>
        <v>Periodo 2013-2019</v>
      </c>
      <c r="M226" s="12" t="str">
        <f t="shared" si="47"/>
        <v>Número de sentencias</v>
      </c>
      <c r="N226" s="33" t="s">
        <v>5964</v>
      </c>
      <c r="O226"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26"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26" s="14" t="str">
        <f t="shared" si="38"/>
        <v>Gráfico de Evolución</v>
      </c>
      <c r="R226" s="77" t="s">
        <v>6044</v>
      </c>
      <c r="S226" s="15" t="s">
        <v>6603</v>
      </c>
      <c r="T226" s="65" t="s">
        <v>5913</v>
      </c>
      <c r="U226" s="24" t="s">
        <v>397</v>
      </c>
      <c r="V226" s="19" t="str">
        <f>+Ingresos_Historicos[[#This Row],[idcoleccion]]&amp;"-"&amp;Ingresos_Historicos[[#This Row],[id]]</f>
        <v>300-0216</v>
      </c>
      <c r="W226" s="19" t="e">
        <f>+VLOOKUP(Ingresos_Historicos[[#This Row],[Filtro URL]],Estructura!$X$4:$Y$366,2,0)</f>
        <v>#N/A</v>
      </c>
      <c r="X226" s="19" t="str">
        <f>+VLOOKUP(Ingresos_Historicos[[#This Row],[tema]],Estructura!$A$4:$C$18,3,0)</f>
        <v>T-306</v>
      </c>
      <c r="Y226" s="19" t="str">
        <f>+VLOOKUP(Ingresos_Historicos[[#This Row],[contenido]],Estructura!$E$4:$G$18,3,0)</f>
        <v>C-301</v>
      </c>
      <c r="Z226" s="19" t="str">
        <f>+VLOOKUP(Ingresos_Historicos[[#This Row],[Filtro Integrado]],Estructura!$M$4:$O$367,3,0)</f>
        <v>FI-303</v>
      </c>
      <c r="AA226" s="19" t="str">
        <f>+VLOOKUP(Ingresos_Historicos[[#This Row],[Muestra]],Estructura!$Q$4:$S$194,3,0)</f>
        <v>M-306</v>
      </c>
    </row>
    <row r="227" spans="1:27" ht="40.799999999999997" x14ac:dyDescent="0.3">
      <c r="A227" s="71" t="s">
        <v>613</v>
      </c>
      <c r="B227" s="12">
        <f t="shared" si="46"/>
        <v>300</v>
      </c>
      <c r="C227" s="13" t="str">
        <f t="shared" si="46"/>
        <v>Violencia contra la mujer</v>
      </c>
      <c r="D227" s="13" t="str">
        <f t="shared" si="46"/>
        <v>Mujeres</v>
      </c>
      <c r="E227" s="39">
        <v>34</v>
      </c>
      <c r="F227" s="13" t="str">
        <f t="shared" si="48"/>
        <v>Sentencias por delito de abuso sexual</v>
      </c>
      <c r="G227" s="55" t="str">
        <f t="shared" si="48"/>
        <v>Abuso Sexual</v>
      </c>
      <c r="H227" s="38" t="s">
        <v>17</v>
      </c>
      <c r="I227" s="37" t="s">
        <v>160</v>
      </c>
      <c r="J227" s="12" t="s">
        <v>398</v>
      </c>
      <c r="K227" s="12" t="str">
        <f t="shared" si="47"/>
        <v>Sentencias Dictadas por Delitos de Abuso Sexual</v>
      </c>
      <c r="L227" s="12" t="str">
        <f t="shared" si="47"/>
        <v>Periodo 2013-2019</v>
      </c>
      <c r="M227" s="12" t="str">
        <f t="shared" si="47"/>
        <v>Número de sentencias</v>
      </c>
      <c r="N227" s="33" t="s">
        <v>5964</v>
      </c>
      <c r="O227"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27"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27" s="14" t="str">
        <f t="shared" si="38"/>
        <v>Gráfico de Evolución</v>
      </c>
      <c r="R227" s="77" t="s">
        <v>6045</v>
      </c>
      <c r="S227" s="15" t="s">
        <v>6604</v>
      </c>
      <c r="T227" s="65" t="s">
        <v>5913</v>
      </c>
      <c r="U227" s="24" t="s">
        <v>397</v>
      </c>
      <c r="V227" s="19" t="str">
        <f>+Ingresos_Historicos[[#This Row],[idcoleccion]]&amp;"-"&amp;Ingresos_Historicos[[#This Row],[id]]</f>
        <v>300-0217</v>
      </c>
      <c r="W227" s="19" t="e">
        <f>+VLOOKUP(Ingresos_Historicos[[#This Row],[Filtro URL]],Estructura!$X$4:$Y$366,2,0)</f>
        <v>#N/A</v>
      </c>
      <c r="X227" s="19" t="str">
        <f>+VLOOKUP(Ingresos_Historicos[[#This Row],[tema]],Estructura!$A$4:$C$18,3,0)</f>
        <v>T-306</v>
      </c>
      <c r="Y227" s="19" t="str">
        <f>+VLOOKUP(Ingresos_Historicos[[#This Row],[contenido]],Estructura!$E$4:$G$18,3,0)</f>
        <v>C-301</v>
      </c>
      <c r="Z227" s="19" t="str">
        <f>+VLOOKUP(Ingresos_Historicos[[#This Row],[Filtro Integrado]],Estructura!$M$4:$O$367,3,0)</f>
        <v>FI-303</v>
      </c>
      <c r="AA227" s="19" t="str">
        <f>+VLOOKUP(Ingresos_Historicos[[#This Row],[Muestra]],Estructura!$Q$4:$S$194,3,0)</f>
        <v>M-306</v>
      </c>
    </row>
    <row r="228" spans="1:27" ht="40.799999999999997" x14ac:dyDescent="0.3">
      <c r="A228" s="71" t="s">
        <v>614</v>
      </c>
      <c r="B228" s="12">
        <f t="shared" si="46"/>
        <v>300</v>
      </c>
      <c r="C228" s="13" t="str">
        <f t="shared" si="46"/>
        <v>Violencia contra la mujer</v>
      </c>
      <c r="D228" s="13" t="str">
        <f t="shared" si="46"/>
        <v>Mujeres</v>
      </c>
      <c r="E228" s="39">
        <v>35</v>
      </c>
      <c r="F228" s="13" t="str">
        <f t="shared" si="48"/>
        <v>Sentencias por delito de abuso sexual</v>
      </c>
      <c r="G228" s="55" t="str">
        <f t="shared" si="48"/>
        <v>Abuso Sexual</v>
      </c>
      <c r="H228" s="38" t="s">
        <v>17</v>
      </c>
      <c r="I228" s="37" t="s">
        <v>162</v>
      </c>
      <c r="J228" s="12" t="s">
        <v>398</v>
      </c>
      <c r="K228" s="12" t="str">
        <f t="shared" si="47"/>
        <v>Sentencias Dictadas por Delitos de Abuso Sexual</v>
      </c>
      <c r="L228" s="12" t="str">
        <f t="shared" si="47"/>
        <v>Periodo 2013-2019</v>
      </c>
      <c r="M228" s="12" t="str">
        <f t="shared" si="47"/>
        <v>Número de sentencias</v>
      </c>
      <c r="N228" s="33" t="s">
        <v>5964</v>
      </c>
      <c r="O228"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28"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28" s="14" t="str">
        <f t="shared" si="38"/>
        <v>Gráfico de Evolución</v>
      </c>
      <c r="R228" s="77" t="s">
        <v>6046</v>
      </c>
      <c r="S228" s="15" t="s">
        <v>6605</v>
      </c>
      <c r="T228" s="65" t="s">
        <v>5913</v>
      </c>
      <c r="U228" s="24" t="s">
        <v>397</v>
      </c>
      <c r="V228" s="19" t="str">
        <f>+Ingresos_Historicos[[#This Row],[idcoleccion]]&amp;"-"&amp;Ingresos_Historicos[[#This Row],[id]]</f>
        <v>300-0218</v>
      </c>
      <c r="W228" s="19" t="e">
        <f>+VLOOKUP(Ingresos_Historicos[[#This Row],[Filtro URL]],Estructura!$X$4:$Y$366,2,0)</f>
        <v>#N/A</v>
      </c>
      <c r="X228" s="19" t="str">
        <f>+VLOOKUP(Ingresos_Historicos[[#This Row],[tema]],Estructura!$A$4:$C$18,3,0)</f>
        <v>T-306</v>
      </c>
      <c r="Y228" s="19" t="str">
        <f>+VLOOKUP(Ingresos_Historicos[[#This Row],[contenido]],Estructura!$E$4:$G$18,3,0)</f>
        <v>C-301</v>
      </c>
      <c r="Z228" s="19" t="str">
        <f>+VLOOKUP(Ingresos_Historicos[[#This Row],[Filtro Integrado]],Estructura!$M$4:$O$367,3,0)</f>
        <v>FI-303</v>
      </c>
      <c r="AA228" s="19" t="str">
        <f>+VLOOKUP(Ingresos_Historicos[[#This Row],[Muestra]],Estructura!$Q$4:$S$194,3,0)</f>
        <v>M-306</v>
      </c>
    </row>
    <row r="229" spans="1:27" ht="40.799999999999997" x14ac:dyDescent="0.3">
      <c r="A229" s="71" t="s">
        <v>615</v>
      </c>
      <c r="B229" s="12">
        <f t="shared" si="46"/>
        <v>300</v>
      </c>
      <c r="C229" s="13" t="str">
        <f t="shared" si="46"/>
        <v>Violencia contra la mujer</v>
      </c>
      <c r="D229" s="13" t="str">
        <f t="shared" si="46"/>
        <v>Mujeres</v>
      </c>
      <c r="E229" s="39">
        <v>36</v>
      </c>
      <c r="F229" s="13" t="str">
        <f t="shared" si="48"/>
        <v>Sentencias por delito de abuso sexual</v>
      </c>
      <c r="G229" s="55" t="str">
        <f t="shared" si="48"/>
        <v>Abuso Sexual</v>
      </c>
      <c r="H229" s="38" t="s">
        <v>17</v>
      </c>
      <c r="I229" s="37" t="s">
        <v>136</v>
      </c>
      <c r="J229" s="12" t="s">
        <v>398</v>
      </c>
      <c r="K229" s="12" t="str">
        <f t="shared" si="47"/>
        <v>Sentencias Dictadas por Delitos de Abuso Sexual</v>
      </c>
      <c r="L229" s="12" t="str">
        <f t="shared" si="47"/>
        <v>Periodo 2013-2019</v>
      </c>
      <c r="M229" s="12" t="str">
        <f t="shared" si="47"/>
        <v>Número de sentencias</v>
      </c>
      <c r="N229" s="33" t="s">
        <v>5964</v>
      </c>
      <c r="O229"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2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29" s="14" t="str">
        <f t="shared" si="38"/>
        <v>Gráfico de Evolución</v>
      </c>
      <c r="R229" s="77" t="s">
        <v>6047</v>
      </c>
      <c r="S229" s="15" t="s">
        <v>6606</v>
      </c>
      <c r="T229" s="65" t="s">
        <v>5913</v>
      </c>
      <c r="U229" s="24" t="s">
        <v>397</v>
      </c>
      <c r="V229" s="19" t="str">
        <f>+Ingresos_Historicos[[#This Row],[idcoleccion]]&amp;"-"&amp;Ingresos_Historicos[[#This Row],[id]]</f>
        <v>300-0219</v>
      </c>
      <c r="W229" s="19" t="e">
        <f>+VLOOKUP(Ingresos_Historicos[[#This Row],[Filtro URL]],Estructura!$X$4:$Y$366,2,0)</f>
        <v>#N/A</v>
      </c>
      <c r="X229" s="19" t="str">
        <f>+VLOOKUP(Ingresos_Historicos[[#This Row],[tema]],Estructura!$A$4:$C$18,3,0)</f>
        <v>T-306</v>
      </c>
      <c r="Y229" s="19" t="str">
        <f>+VLOOKUP(Ingresos_Historicos[[#This Row],[contenido]],Estructura!$E$4:$G$18,3,0)</f>
        <v>C-301</v>
      </c>
      <c r="Z229" s="19" t="str">
        <f>+VLOOKUP(Ingresos_Historicos[[#This Row],[Filtro Integrado]],Estructura!$M$4:$O$367,3,0)</f>
        <v>FI-303</v>
      </c>
      <c r="AA229" s="19" t="str">
        <f>+VLOOKUP(Ingresos_Historicos[[#This Row],[Muestra]],Estructura!$Q$4:$S$194,3,0)</f>
        <v>M-306</v>
      </c>
    </row>
    <row r="230" spans="1:27" ht="40.799999999999997" x14ac:dyDescent="0.3">
      <c r="A230" s="71" t="s">
        <v>616</v>
      </c>
      <c r="B230" s="12">
        <f t="shared" si="46"/>
        <v>300</v>
      </c>
      <c r="C230" s="13" t="str">
        <f t="shared" si="46"/>
        <v>Violencia contra la mujer</v>
      </c>
      <c r="D230" s="13" t="str">
        <f t="shared" si="46"/>
        <v>Mujeres</v>
      </c>
      <c r="E230" s="39">
        <v>37</v>
      </c>
      <c r="F230" s="13" t="str">
        <f t="shared" si="48"/>
        <v>Sentencias por delito de abuso sexual</v>
      </c>
      <c r="G230" s="55" t="str">
        <f t="shared" si="48"/>
        <v>Abuso Sexual</v>
      </c>
      <c r="H230" s="38" t="s">
        <v>17</v>
      </c>
      <c r="I230" s="37" t="s">
        <v>178</v>
      </c>
      <c r="J230" s="12" t="s">
        <v>398</v>
      </c>
      <c r="K230" s="12" t="str">
        <f t="shared" si="47"/>
        <v>Sentencias Dictadas por Delitos de Abuso Sexual</v>
      </c>
      <c r="L230" s="12" t="str">
        <f t="shared" si="47"/>
        <v>Periodo 2013-2019</v>
      </c>
      <c r="M230" s="12" t="str">
        <f t="shared" si="47"/>
        <v>Número de sentencias</v>
      </c>
      <c r="N230" s="33" t="s">
        <v>5964</v>
      </c>
      <c r="O230"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0" s="14" t="str">
        <f t="shared" si="38"/>
        <v>Gráfico de Evolución</v>
      </c>
      <c r="R230" s="77" t="s">
        <v>6048</v>
      </c>
      <c r="S230" s="15" t="s">
        <v>6607</v>
      </c>
      <c r="T230" s="65" t="s">
        <v>5914</v>
      </c>
      <c r="U230" s="24" t="s">
        <v>397</v>
      </c>
      <c r="V230" s="19" t="str">
        <f>+Ingresos_Historicos[[#This Row],[idcoleccion]]&amp;"-"&amp;Ingresos_Historicos[[#This Row],[id]]</f>
        <v>300-0220</v>
      </c>
      <c r="W230" s="19" t="e">
        <f>+VLOOKUP(Ingresos_Historicos[[#This Row],[Filtro URL]],Estructura!$X$4:$Y$366,2,0)</f>
        <v>#N/A</v>
      </c>
      <c r="X230" s="19" t="str">
        <f>+VLOOKUP(Ingresos_Historicos[[#This Row],[tema]],Estructura!$A$4:$C$18,3,0)</f>
        <v>T-306</v>
      </c>
      <c r="Y230" s="19" t="str">
        <f>+VLOOKUP(Ingresos_Historicos[[#This Row],[contenido]],Estructura!$E$4:$G$18,3,0)</f>
        <v>C-301</v>
      </c>
      <c r="Z230" s="19" t="str">
        <f>+VLOOKUP(Ingresos_Historicos[[#This Row],[Filtro Integrado]],Estructura!$M$4:$O$367,3,0)</f>
        <v>FI-303</v>
      </c>
      <c r="AA230" s="19" t="str">
        <f>+VLOOKUP(Ingresos_Historicos[[#This Row],[Muestra]],Estructura!$Q$4:$S$194,3,0)</f>
        <v>M-306</v>
      </c>
    </row>
    <row r="231" spans="1:27" ht="40.799999999999997" x14ac:dyDescent="0.3">
      <c r="A231" s="71" t="s">
        <v>617</v>
      </c>
      <c r="B231" s="12">
        <f t="shared" si="46"/>
        <v>300</v>
      </c>
      <c r="C231" s="13" t="str">
        <f t="shared" si="46"/>
        <v>Violencia contra la mujer</v>
      </c>
      <c r="D231" s="13" t="str">
        <f t="shared" si="46"/>
        <v>Mujeres</v>
      </c>
      <c r="E231" s="39">
        <v>38</v>
      </c>
      <c r="F231" s="13" t="str">
        <f t="shared" si="48"/>
        <v>Sentencias por delito de abuso sexual</v>
      </c>
      <c r="G231" s="55" t="str">
        <f t="shared" si="48"/>
        <v>Abuso Sexual</v>
      </c>
      <c r="H231" s="38" t="s">
        <v>17</v>
      </c>
      <c r="I231" s="37" t="s">
        <v>179</v>
      </c>
      <c r="J231" s="12" t="s">
        <v>398</v>
      </c>
      <c r="K231" s="12" t="str">
        <f t="shared" si="47"/>
        <v>Sentencias Dictadas por Delitos de Abuso Sexual</v>
      </c>
      <c r="L231" s="12" t="str">
        <f t="shared" si="47"/>
        <v>Periodo 2013-2019</v>
      </c>
      <c r="M231" s="12" t="str">
        <f t="shared" si="47"/>
        <v>Número de sentencias</v>
      </c>
      <c r="N231" s="33" t="s">
        <v>5964</v>
      </c>
      <c r="O231"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1" s="14" t="str">
        <f t="shared" si="38"/>
        <v>Gráfico de Evolución</v>
      </c>
      <c r="R231" s="77" t="s">
        <v>6049</v>
      </c>
      <c r="S231" s="15" t="s">
        <v>6608</v>
      </c>
      <c r="T231" s="65" t="s">
        <v>5914</v>
      </c>
      <c r="U231" s="24" t="s">
        <v>397</v>
      </c>
      <c r="V231" s="19" t="str">
        <f>+Ingresos_Historicos[[#This Row],[idcoleccion]]&amp;"-"&amp;Ingresos_Historicos[[#This Row],[id]]</f>
        <v>300-0221</v>
      </c>
      <c r="W231" s="19" t="e">
        <f>+VLOOKUP(Ingresos_Historicos[[#This Row],[Filtro URL]],Estructura!$X$4:$Y$366,2,0)</f>
        <v>#N/A</v>
      </c>
      <c r="X231" s="19" t="str">
        <f>+VLOOKUP(Ingresos_Historicos[[#This Row],[tema]],Estructura!$A$4:$C$18,3,0)</f>
        <v>T-306</v>
      </c>
      <c r="Y231" s="19" t="str">
        <f>+VLOOKUP(Ingresos_Historicos[[#This Row],[contenido]],Estructura!$E$4:$G$18,3,0)</f>
        <v>C-301</v>
      </c>
      <c r="Z231" s="19" t="str">
        <f>+VLOOKUP(Ingresos_Historicos[[#This Row],[Filtro Integrado]],Estructura!$M$4:$O$367,3,0)</f>
        <v>FI-303</v>
      </c>
      <c r="AA231" s="19" t="str">
        <f>+VLOOKUP(Ingresos_Historicos[[#This Row],[Muestra]],Estructura!$Q$4:$S$194,3,0)</f>
        <v>M-306</v>
      </c>
    </row>
    <row r="232" spans="1:27" ht="40.799999999999997" x14ac:dyDescent="0.3">
      <c r="A232" s="71" t="s">
        <v>618</v>
      </c>
      <c r="B232" s="12">
        <f t="shared" si="46"/>
        <v>300</v>
      </c>
      <c r="C232" s="13" t="str">
        <f t="shared" si="46"/>
        <v>Violencia contra la mujer</v>
      </c>
      <c r="D232" s="13" t="str">
        <f t="shared" si="46"/>
        <v>Mujeres</v>
      </c>
      <c r="E232" s="39">
        <v>39</v>
      </c>
      <c r="F232" s="13" t="str">
        <f t="shared" si="48"/>
        <v>Sentencias por delito de abuso sexual</v>
      </c>
      <c r="G232" s="55" t="str">
        <f t="shared" si="48"/>
        <v>Abuso Sexual</v>
      </c>
      <c r="H232" s="38" t="s">
        <v>17</v>
      </c>
      <c r="I232" s="37" t="s">
        <v>167</v>
      </c>
      <c r="J232" s="12" t="s">
        <v>398</v>
      </c>
      <c r="K232" s="12" t="str">
        <f t="shared" si="47"/>
        <v>Sentencias Dictadas por Delitos de Abuso Sexual</v>
      </c>
      <c r="L232" s="12" t="str">
        <f t="shared" si="47"/>
        <v>Periodo 2013-2019</v>
      </c>
      <c r="M232" s="12" t="str">
        <f t="shared" si="47"/>
        <v>Número de sentencias</v>
      </c>
      <c r="N232" s="33" t="s">
        <v>5964</v>
      </c>
      <c r="O232"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2" s="14" t="str">
        <f t="shared" si="38"/>
        <v>Gráfico de Evolución</v>
      </c>
      <c r="R232" s="77" t="s">
        <v>6050</v>
      </c>
      <c r="S232" s="15" t="s">
        <v>6609</v>
      </c>
      <c r="T232" s="65" t="s">
        <v>5914</v>
      </c>
      <c r="U232" s="24" t="s">
        <v>397</v>
      </c>
      <c r="V232" s="19" t="str">
        <f>+Ingresos_Historicos[[#This Row],[idcoleccion]]&amp;"-"&amp;Ingresos_Historicos[[#This Row],[id]]</f>
        <v>300-0222</v>
      </c>
      <c r="W232" s="19" t="e">
        <f>+VLOOKUP(Ingresos_Historicos[[#This Row],[Filtro URL]],Estructura!$X$4:$Y$366,2,0)</f>
        <v>#N/A</v>
      </c>
      <c r="X232" s="19" t="str">
        <f>+VLOOKUP(Ingresos_Historicos[[#This Row],[tema]],Estructura!$A$4:$C$18,3,0)</f>
        <v>T-306</v>
      </c>
      <c r="Y232" s="19" t="str">
        <f>+VLOOKUP(Ingresos_Historicos[[#This Row],[contenido]],Estructura!$E$4:$G$18,3,0)</f>
        <v>C-301</v>
      </c>
      <c r="Z232" s="19" t="str">
        <f>+VLOOKUP(Ingresos_Historicos[[#This Row],[Filtro Integrado]],Estructura!$M$4:$O$367,3,0)</f>
        <v>FI-303</v>
      </c>
      <c r="AA232" s="19" t="str">
        <f>+VLOOKUP(Ingresos_Historicos[[#This Row],[Muestra]],Estructura!$Q$4:$S$194,3,0)</f>
        <v>M-306</v>
      </c>
    </row>
    <row r="233" spans="1:27" ht="40.799999999999997" x14ac:dyDescent="0.3">
      <c r="A233" s="71" t="s">
        <v>619</v>
      </c>
      <c r="B233" s="12">
        <f t="shared" si="46"/>
        <v>300</v>
      </c>
      <c r="C233" s="13" t="str">
        <f t="shared" si="46"/>
        <v>Violencia contra la mujer</v>
      </c>
      <c r="D233" s="13" t="str">
        <f t="shared" si="46"/>
        <v>Mujeres</v>
      </c>
      <c r="E233" s="39">
        <v>40</v>
      </c>
      <c r="F233" s="13" t="str">
        <f t="shared" si="48"/>
        <v>Sentencias por delito de abuso sexual</v>
      </c>
      <c r="G233" s="55" t="str">
        <f t="shared" si="48"/>
        <v>Abuso Sexual</v>
      </c>
      <c r="H233" s="38" t="s">
        <v>17</v>
      </c>
      <c r="I233" s="37" t="s">
        <v>6051</v>
      </c>
      <c r="J233" s="12" t="s">
        <v>398</v>
      </c>
      <c r="K233" s="12" t="str">
        <f t="shared" si="47"/>
        <v>Sentencias Dictadas por Delitos de Abuso Sexual</v>
      </c>
      <c r="L233" s="12" t="str">
        <f t="shared" si="47"/>
        <v>Periodo 2013-2019</v>
      </c>
      <c r="M233" s="12" t="str">
        <f t="shared" si="47"/>
        <v>Número de sentencias</v>
      </c>
      <c r="N233" s="33" t="s">
        <v>5964</v>
      </c>
      <c r="O233"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3" s="14" t="str">
        <f t="shared" si="38"/>
        <v>Gráfico de Evolución</v>
      </c>
      <c r="R233" s="77" t="s">
        <v>6052</v>
      </c>
      <c r="S233" s="15" t="s">
        <v>6610</v>
      </c>
      <c r="T233" s="65" t="s">
        <v>5914</v>
      </c>
      <c r="U233" s="24" t="s">
        <v>397</v>
      </c>
      <c r="V233" s="19" t="str">
        <f>+Ingresos_Historicos[[#This Row],[idcoleccion]]&amp;"-"&amp;Ingresos_Historicos[[#This Row],[id]]</f>
        <v>300-0223</v>
      </c>
      <c r="W233" s="19" t="e">
        <f>+VLOOKUP(Ingresos_Historicos[[#This Row],[Filtro URL]],Estructura!$X$4:$Y$366,2,0)</f>
        <v>#N/A</v>
      </c>
      <c r="X233" s="19" t="str">
        <f>+VLOOKUP(Ingresos_Historicos[[#This Row],[tema]],Estructura!$A$4:$C$18,3,0)</f>
        <v>T-306</v>
      </c>
      <c r="Y233" s="19" t="str">
        <f>+VLOOKUP(Ingresos_Historicos[[#This Row],[contenido]],Estructura!$E$4:$G$18,3,0)</f>
        <v>C-301</v>
      </c>
      <c r="Z233" s="19" t="str">
        <f>+VLOOKUP(Ingresos_Historicos[[#This Row],[Filtro Integrado]],Estructura!$M$4:$O$367,3,0)</f>
        <v>FI-303</v>
      </c>
      <c r="AA233" s="19" t="str">
        <f>+VLOOKUP(Ingresos_Historicos[[#This Row],[Muestra]],Estructura!$Q$4:$S$194,3,0)</f>
        <v>M-306</v>
      </c>
    </row>
    <row r="234" spans="1:27" ht="40.799999999999997" x14ac:dyDescent="0.3">
      <c r="A234" s="71" t="s">
        <v>620</v>
      </c>
      <c r="B234" s="12">
        <f t="shared" si="46"/>
        <v>300</v>
      </c>
      <c r="C234" s="13" t="str">
        <f t="shared" si="46"/>
        <v>Violencia contra la mujer</v>
      </c>
      <c r="D234" s="13" t="str">
        <f t="shared" si="46"/>
        <v>Mujeres</v>
      </c>
      <c r="E234" s="39">
        <v>41</v>
      </c>
      <c r="F234" s="13" t="str">
        <f t="shared" si="48"/>
        <v>Sentencias por delito de abuso sexual</v>
      </c>
      <c r="G234" s="55" t="str">
        <f t="shared" si="48"/>
        <v>Abuso Sexual</v>
      </c>
      <c r="H234" s="38" t="s">
        <v>17</v>
      </c>
      <c r="I234" s="37" t="s">
        <v>166</v>
      </c>
      <c r="J234" s="12" t="s">
        <v>398</v>
      </c>
      <c r="K234" s="12" t="str">
        <f t="shared" si="47"/>
        <v>Sentencias Dictadas por Delitos de Abuso Sexual</v>
      </c>
      <c r="L234" s="12" t="str">
        <f t="shared" si="47"/>
        <v>Periodo 2013-2019</v>
      </c>
      <c r="M234" s="12" t="str">
        <f t="shared" si="47"/>
        <v>Número de sentencias</v>
      </c>
      <c r="N234" s="33" t="s">
        <v>5964</v>
      </c>
      <c r="O234"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4" s="14" t="str">
        <f t="shared" si="38"/>
        <v>Gráfico de Evolución</v>
      </c>
      <c r="R234" s="77" t="s">
        <v>6053</v>
      </c>
      <c r="S234" s="15" t="s">
        <v>6611</v>
      </c>
      <c r="T234" s="65" t="s">
        <v>5914</v>
      </c>
      <c r="U234" s="24" t="s">
        <v>397</v>
      </c>
      <c r="V234" s="19" t="str">
        <f>+Ingresos_Historicos[[#This Row],[idcoleccion]]&amp;"-"&amp;Ingresos_Historicos[[#This Row],[id]]</f>
        <v>300-0224</v>
      </c>
      <c r="W234" s="19" t="e">
        <f>+VLOOKUP(Ingresos_Historicos[[#This Row],[Filtro URL]],Estructura!$X$4:$Y$366,2,0)</f>
        <v>#N/A</v>
      </c>
      <c r="X234" s="19" t="str">
        <f>+VLOOKUP(Ingresos_Historicos[[#This Row],[tema]],Estructura!$A$4:$C$18,3,0)</f>
        <v>T-306</v>
      </c>
      <c r="Y234" s="19" t="str">
        <f>+VLOOKUP(Ingresos_Historicos[[#This Row],[contenido]],Estructura!$E$4:$G$18,3,0)</f>
        <v>C-301</v>
      </c>
      <c r="Z234" s="19" t="str">
        <f>+VLOOKUP(Ingresos_Historicos[[#This Row],[Filtro Integrado]],Estructura!$M$4:$O$367,3,0)</f>
        <v>FI-303</v>
      </c>
      <c r="AA234" s="19" t="str">
        <f>+VLOOKUP(Ingresos_Historicos[[#This Row],[Muestra]],Estructura!$Q$4:$S$194,3,0)</f>
        <v>M-306</v>
      </c>
    </row>
    <row r="235" spans="1:27" ht="40.799999999999997" x14ac:dyDescent="0.3">
      <c r="A235" s="71" t="s">
        <v>621</v>
      </c>
      <c r="B235" s="12">
        <f t="shared" si="46"/>
        <v>300</v>
      </c>
      <c r="C235" s="13" t="str">
        <f t="shared" si="46"/>
        <v>Violencia contra la mujer</v>
      </c>
      <c r="D235" s="13" t="str">
        <f t="shared" si="46"/>
        <v>Mujeres</v>
      </c>
      <c r="E235" s="39">
        <v>42</v>
      </c>
      <c r="F235" s="13" t="str">
        <f t="shared" si="48"/>
        <v>Sentencias por delito de abuso sexual</v>
      </c>
      <c r="G235" s="55" t="str">
        <f t="shared" si="48"/>
        <v>Abuso Sexual</v>
      </c>
      <c r="H235" s="38" t="s">
        <v>17</v>
      </c>
      <c r="I235" s="37" t="s">
        <v>184</v>
      </c>
      <c r="J235" s="12" t="s">
        <v>398</v>
      </c>
      <c r="K235" s="12" t="str">
        <f t="shared" si="47"/>
        <v>Sentencias Dictadas por Delitos de Abuso Sexual</v>
      </c>
      <c r="L235" s="12" t="str">
        <f t="shared" si="47"/>
        <v>Periodo 2013-2019</v>
      </c>
      <c r="M235" s="12" t="str">
        <f t="shared" si="47"/>
        <v>Número de sentencias</v>
      </c>
      <c r="N235" s="33" t="s">
        <v>5964</v>
      </c>
      <c r="O235"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5" s="14" t="str">
        <f t="shared" si="38"/>
        <v>Gráfico de Evolución</v>
      </c>
      <c r="R235" s="77" t="s">
        <v>6054</v>
      </c>
      <c r="S235" s="15" t="s">
        <v>6612</v>
      </c>
      <c r="T235" s="65" t="s">
        <v>5914</v>
      </c>
      <c r="U235" s="24" t="s">
        <v>397</v>
      </c>
      <c r="V235" s="19" t="str">
        <f>+Ingresos_Historicos[[#This Row],[idcoleccion]]&amp;"-"&amp;Ingresos_Historicos[[#This Row],[id]]</f>
        <v>300-0225</v>
      </c>
      <c r="W235" s="19" t="e">
        <f>+VLOOKUP(Ingresos_Historicos[[#This Row],[Filtro URL]],Estructura!$X$4:$Y$366,2,0)</f>
        <v>#N/A</v>
      </c>
      <c r="X235" s="19" t="str">
        <f>+VLOOKUP(Ingresos_Historicos[[#This Row],[tema]],Estructura!$A$4:$C$18,3,0)</f>
        <v>T-306</v>
      </c>
      <c r="Y235" s="19" t="str">
        <f>+VLOOKUP(Ingresos_Historicos[[#This Row],[contenido]],Estructura!$E$4:$G$18,3,0)</f>
        <v>C-301</v>
      </c>
      <c r="Z235" s="19" t="str">
        <f>+VLOOKUP(Ingresos_Historicos[[#This Row],[Filtro Integrado]],Estructura!$M$4:$O$367,3,0)</f>
        <v>FI-303</v>
      </c>
      <c r="AA235" s="19" t="str">
        <f>+VLOOKUP(Ingresos_Historicos[[#This Row],[Muestra]],Estructura!$Q$4:$S$194,3,0)</f>
        <v>M-306</v>
      </c>
    </row>
    <row r="236" spans="1:27" ht="40.799999999999997" x14ac:dyDescent="0.3">
      <c r="A236" s="71" t="s">
        <v>622</v>
      </c>
      <c r="B236" s="12">
        <f t="shared" si="46"/>
        <v>300</v>
      </c>
      <c r="C236" s="13" t="str">
        <f t="shared" si="46"/>
        <v>Violencia contra la mujer</v>
      </c>
      <c r="D236" s="13" t="str">
        <f t="shared" si="46"/>
        <v>Mujeres</v>
      </c>
      <c r="E236" s="39">
        <v>43</v>
      </c>
      <c r="F236" s="13" t="str">
        <f t="shared" si="48"/>
        <v>Sentencias por delito de abuso sexual</v>
      </c>
      <c r="G236" s="55" t="str">
        <f t="shared" si="48"/>
        <v>Abuso Sexual</v>
      </c>
      <c r="H236" s="38" t="s">
        <v>17</v>
      </c>
      <c r="I236" s="37" t="s">
        <v>174</v>
      </c>
      <c r="J236" s="12" t="s">
        <v>398</v>
      </c>
      <c r="K236" s="12" t="str">
        <f t="shared" si="47"/>
        <v>Sentencias Dictadas por Delitos de Abuso Sexual</v>
      </c>
      <c r="L236" s="12" t="str">
        <f t="shared" si="47"/>
        <v>Periodo 2013-2019</v>
      </c>
      <c r="M236" s="12" t="str">
        <f t="shared" si="47"/>
        <v>Número de sentencias</v>
      </c>
      <c r="N236" s="33" t="s">
        <v>5964</v>
      </c>
      <c r="O236"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6"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6" s="14" t="str">
        <f t="shared" si="38"/>
        <v>Gráfico de Evolución</v>
      </c>
      <c r="R236" s="77" t="s">
        <v>6055</v>
      </c>
      <c r="S236" s="15" t="s">
        <v>6613</v>
      </c>
      <c r="T236" s="65" t="s">
        <v>5914</v>
      </c>
      <c r="U236" s="24" t="s">
        <v>397</v>
      </c>
      <c r="V236" s="19" t="str">
        <f>+Ingresos_Historicos[[#This Row],[idcoleccion]]&amp;"-"&amp;Ingresos_Historicos[[#This Row],[id]]</f>
        <v>300-0226</v>
      </c>
      <c r="W236" s="19" t="e">
        <f>+VLOOKUP(Ingresos_Historicos[[#This Row],[Filtro URL]],Estructura!$X$4:$Y$366,2,0)</f>
        <v>#N/A</v>
      </c>
      <c r="X236" s="19" t="str">
        <f>+VLOOKUP(Ingresos_Historicos[[#This Row],[tema]],Estructura!$A$4:$C$18,3,0)</f>
        <v>T-306</v>
      </c>
      <c r="Y236" s="19" t="str">
        <f>+VLOOKUP(Ingresos_Historicos[[#This Row],[contenido]],Estructura!$E$4:$G$18,3,0)</f>
        <v>C-301</v>
      </c>
      <c r="Z236" s="19" t="str">
        <f>+VLOOKUP(Ingresos_Historicos[[#This Row],[Filtro Integrado]],Estructura!$M$4:$O$367,3,0)</f>
        <v>FI-303</v>
      </c>
      <c r="AA236" s="19" t="str">
        <f>+VLOOKUP(Ingresos_Historicos[[#This Row],[Muestra]],Estructura!$Q$4:$S$194,3,0)</f>
        <v>M-306</v>
      </c>
    </row>
    <row r="237" spans="1:27" ht="40.799999999999997" x14ac:dyDescent="0.3">
      <c r="A237" s="71" t="s">
        <v>623</v>
      </c>
      <c r="B237" s="12">
        <f t="shared" si="46"/>
        <v>300</v>
      </c>
      <c r="C237" s="13" t="str">
        <f t="shared" si="46"/>
        <v>Violencia contra la mujer</v>
      </c>
      <c r="D237" s="13" t="str">
        <f t="shared" si="46"/>
        <v>Mujeres</v>
      </c>
      <c r="E237" s="39">
        <v>44</v>
      </c>
      <c r="F237" s="13" t="str">
        <f t="shared" si="48"/>
        <v>Sentencias por delito de abuso sexual</v>
      </c>
      <c r="G237" s="55" t="str">
        <f t="shared" si="48"/>
        <v>Abuso Sexual</v>
      </c>
      <c r="H237" s="38" t="s">
        <v>17</v>
      </c>
      <c r="I237" s="37" t="s">
        <v>6056</v>
      </c>
      <c r="J237" s="12" t="s">
        <v>398</v>
      </c>
      <c r="K237" s="12" t="str">
        <f t="shared" si="47"/>
        <v>Sentencias Dictadas por Delitos de Abuso Sexual</v>
      </c>
      <c r="L237" s="12" t="str">
        <f t="shared" si="47"/>
        <v>Periodo 2013-2019</v>
      </c>
      <c r="M237" s="12" t="str">
        <f t="shared" si="47"/>
        <v>Número de sentencias</v>
      </c>
      <c r="N237" s="33" t="s">
        <v>5964</v>
      </c>
      <c r="O237"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7"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7" s="14" t="str">
        <f t="shared" si="38"/>
        <v>Gráfico de Evolución</v>
      </c>
      <c r="R237" s="77" t="s">
        <v>6057</v>
      </c>
      <c r="S237" s="15" t="s">
        <v>6614</v>
      </c>
      <c r="T237" s="65" t="s">
        <v>5914</v>
      </c>
      <c r="U237" s="24" t="s">
        <v>397</v>
      </c>
      <c r="V237" s="19" t="str">
        <f>+Ingresos_Historicos[[#This Row],[idcoleccion]]&amp;"-"&amp;Ingresos_Historicos[[#This Row],[id]]</f>
        <v>300-0227</v>
      </c>
      <c r="W237" s="19" t="e">
        <f>+VLOOKUP(Ingresos_Historicos[[#This Row],[Filtro URL]],Estructura!$X$4:$Y$366,2,0)</f>
        <v>#N/A</v>
      </c>
      <c r="X237" s="19" t="str">
        <f>+VLOOKUP(Ingresos_Historicos[[#This Row],[tema]],Estructura!$A$4:$C$18,3,0)</f>
        <v>T-306</v>
      </c>
      <c r="Y237" s="19" t="str">
        <f>+VLOOKUP(Ingresos_Historicos[[#This Row],[contenido]],Estructura!$E$4:$G$18,3,0)</f>
        <v>C-301</v>
      </c>
      <c r="Z237" s="19" t="str">
        <f>+VLOOKUP(Ingresos_Historicos[[#This Row],[Filtro Integrado]],Estructura!$M$4:$O$367,3,0)</f>
        <v>FI-303</v>
      </c>
      <c r="AA237" s="19" t="str">
        <f>+VLOOKUP(Ingresos_Historicos[[#This Row],[Muestra]],Estructura!$Q$4:$S$194,3,0)</f>
        <v>M-306</v>
      </c>
    </row>
    <row r="238" spans="1:27" ht="40.799999999999997" x14ac:dyDescent="0.3">
      <c r="A238" s="71" t="s">
        <v>624</v>
      </c>
      <c r="B238" s="12">
        <f t="shared" si="46"/>
        <v>300</v>
      </c>
      <c r="C238" s="13" t="str">
        <f t="shared" si="46"/>
        <v>Violencia contra la mujer</v>
      </c>
      <c r="D238" s="13" t="str">
        <f t="shared" si="46"/>
        <v>Mujeres</v>
      </c>
      <c r="E238" s="39">
        <v>45</v>
      </c>
      <c r="F238" s="13" t="str">
        <f t="shared" si="48"/>
        <v>Sentencias por delito de abuso sexual</v>
      </c>
      <c r="G238" s="55" t="str">
        <f t="shared" si="48"/>
        <v>Abuso Sexual</v>
      </c>
      <c r="H238" s="38" t="s">
        <v>17</v>
      </c>
      <c r="I238" s="37" t="s">
        <v>240</v>
      </c>
      <c r="J238" s="12" t="s">
        <v>398</v>
      </c>
      <c r="K238" s="12" t="str">
        <f t="shared" si="47"/>
        <v>Sentencias Dictadas por Delitos de Abuso Sexual</v>
      </c>
      <c r="L238" s="12" t="str">
        <f t="shared" si="47"/>
        <v>Periodo 2013-2019</v>
      </c>
      <c r="M238" s="12" t="str">
        <f t="shared" si="47"/>
        <v>Número de sentencias</v>
      </c>
      <c r="N238" s="33" t="s">
        <v>5964</v>
      </c>
      <c r="O238"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8"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8" s="14" t="str">
        <f t="shared" si="38"/>
        <v>Gráfico de Evolución</v>
      </c>
      <c r="R238" s="77" t="s">
        <v>6058</v>
      </c>
      <c r="S238" s="15" t="s">
        <v>6615</v>
      </c>
      <c r="T238" s="65" t="s">
        <v>5915</v>
      </c>
      <c r="U238" s="24" t="s">
        <v>397</v>
      </c>
      <c r="V238" s="19" t="str">
        <f>+Ingresos_Historicos[[#This Row],[idcoleccion]]&amp;"-"&amp;Ingresos_Historicos[[#This Row],[id]]</f>
        <v>300-0228</v>
      </c>
      <c r="W238" s="19" t="e">
        <f>+VLOOKUP(Ingresos_Historicos[[#This Row],[Filtro URL]],Estructura!$X$4:$Y$366,2,0)</f>
        <v>#N/A</v>
      </c>
      <c r="X238" s="19" t="str">
        <f>+VLOOKUP(Ingresos_Historicos[[#This Row],[tema]],Estructura!$A$4:$C$18,3,0)</f>
        <v>T-306</v>
      </c>
      <c r="Y238" s="19" t="str">
        <f>+VLOOKUP(Ingresos_Historicos[[#This Row],[contenido]],Estructura!$E$4:$G$18,3,0)</f>
        <v>C-301</v>
      </c>
      <c r="Z238" s="19" t="str">
        <f>+VLOOKUP(Ingresos_Historicos[[#This Row],[Filtro Integrado]],Estructura!$M$4:$O$367,3,0)</f>
        <v>FI-303</v>
      </c>
      <c r="AA238" s="19" t="str">
        <f>+VLOOKUP(Ingresos_Historicos[[#This Row],[Muestra]],Estructura!$Q$4:$S$194,3,0)</f>
        <v>M-306</v>
      </c>
    </row>
    <row r="239" spans="1:27" ht="57.6" x14ac:dyDescent="0.3">
      <c r="A239" s="71" t="s">
        <v>625</v>
      </c>
      <c r="B239" s="12">
        <f t="shared" ref="B239:D254" si="49">+B238</f>
        <v>300</v>
      </c>
      <c r="C239" s="13" t="str">
        <f t="shared" si="49"/>
        <v>Violencia contra la mujer</v>
      </c>
      <c r="D239" s="13" t="str">
        <f t="shared" si="49"/>
        <v>Mujeres</v>
      </c>
      <c r="E239" s="39">
        <v>46</v>
      </c>
      <c r="F239" s="13" t="str">
        <f t="shared" si="48"/>
        <v>Sentencias por delito de abuso sexual</v>
      </c>
      <c r="G239" s="55" t="str">
        <f t="shared" si="48"/>
        <v>Abuso Sexual</v>
      </c>
      <c r="H239" s="38" t="s">
        <v>17</v>
      </c>
      <c r="I239" s="37" t="s">
        <v>226</v>
      </c>
      <c r="J239" s="12" t="s">
        <v>398</v>
      </c>
      <c r="K239" s="12" t="str">
        <f t="shared" si="47"/>
        <v>Sentencias Dictadas por Delitos de Abuso Sexual</v>
      </c>
      <c r="L239" s="12" t="str">
        <f t="shared" si="47"/>
        <v>Periodo 2013-2019</v>
      </c>
      <c r="M239" s="12" t="str">
        <f t="shared" si="47"/>
        <v>Número de sentencias</v>
      </c>
      <c r="N239" s="33" t="s">
        <v>5964</v>
      </c>
      <c r="O239" s="27" t="str">
        <f>"Sentencias Dictadas por Delitos de Abuso Sexual por Delito en el  Juzgado de Garantía de "&amp;[1]!Ingresos_Historicos[[#This Row],[territorio]]&amp;" para el Periodo 2013-2019"</f>
        <v>Sentencias Dictadas por Delitos de Abuso Sexual por Delito en el  Juzgado de Garantía de Chile para el Periodo 2013-2019</v>
      </c>
      <c r="P23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Chile para el Periodo 2013-2019 de acuerdo a datos provenientes del Poder Judicial de Chile.</v>
      </c>
      <c r="Q239" s="14" t="str">
        <f t="shared" si="38"/>
        <v>Gráfico de Evolución</v>
      </c>
      <c r="R239" s="77" t="s">
        <v>6059</v>
      </c>
      <c r="S239" s="25" t="s">
        <v>6616</v>
      </c>
      <c r="T239" s="65" t="s">
        <v>5915</v>
      </c>
      <c r="U239" s="24" t="s">
        <v>397</v>
      </c>
      <c r="V239" s="19" t="str">
        <f>+Ingresos_Historicos[[#This Row],[idcoleccion]]&amp;"-"&amp;Ingresos_Historicos[[#This Row],[id]]</f>
        <v>300-0229</v>
      </c>
      <c r="W239" s="19" t="e">
        <f>+VLOOKUP(Ingresos_Historicos[[#This Row],[Filtro URL]],Estructura!$X$4:$Y$366,2,0)</f>
        <v>#N/A</v>
      </c>
      <c r="X239" s="19" t="str">
        <f>+VLOOKUP(Ingresos_Historicos[[#This Row],[tema]],Estructura!$A$4:$C$18,3,0)</f>
        <v>T-306</v>
      </c>
      <c r="Y239" s="19" t="str">
        <f>+VLOOKUP(Ingresos_Historicos[[#This Row],[contenido]],Estructura!$E$4:$G$18,3,0)</f>
        <v>C-301</v>
      </c>
      <c r="Z239" s="19" t="str">
        <f>+VLOOKUP(Ingresos_Historicos[[#This Row],[Filtro Integrado]],Estructura!$M$4:$O$367,3,0)</f>
        <v>FI-303</v>
      </c>
      <c r="AA239" s="19" t="str">
        <f>+VLOOKUP(Ingresos_Historicos[[#This Row],[Muestra]],Estructura!$Q$4:$S$194,3,0)</f>
        <v>M-306</v>
      </c>
    </row>
    <row r="240" spans="1:27" ht="51" x14ac:dyDescent="0.3">
      <c r="A240" s="71" t="s">
        <v>626</v>
      </c>
      <c r="B240" s="12">
        <f t="shared" si="49"/>
        <v>300</v>
      </c>
      <c r="C240" s="13" t="str">
        <f t="shared" si="49"/>
        <v>Violencia contra la mujer</v>
      </c>
      <c r="D240" s="13" t="str">
        <f t="shared" si="49"/>
        <v>Mujeres</v>
      </c>
      <c r="E240" s="39">
        <v>47</v>
      </c>
      <c r="F240" s="13" t="str">
        <f t="shared" si="48"/>
        <v>Sentencias por delito de abuso sexual</v>
      </c>
      <c r="G240" s="55" t="str">
        <f t="shared" si="48"/>
        <v>Abuso Sexual</v>
      </c>
      <c r="H240" s="38" t="s">
        <v>17</v>
      </c>
      <c r="I240" s="37" t="s">
        <v>227</v>
      </c>
      <c r="J240" s="12" t="s">
        <v>398</v>
      </c>
      <c r="K240" s="12" t="str">
        <f t="shared" ref="K240:M255" si="50">+K239</f>
        <v>Sentencias Dictadas por Delitos de Abuso Sexual</v>
      </c>
      <c r="L240" s="12" t="str">
        <f t="shared" si="50"/>
        <v>Periodo 2013-2019</v>
      </c>
      <c r="M240" s="12" t="str">
        <f t="shared" si="50"/>
        <v>Número de sentencias</v>
      </c>
      <c r="N240" s="33" t="s">
        <v>5964</v>
      </c>
      <c r="O240" s="27" t="str">
        <f>"Sentencias Dictadas por Delitos de Abuso Sexual por Delito en el  Juzgado de Garantía de "&amp;[1]!Ingresos_Historicos[[#This Row],[territorio]]&amp;" para el Periodo 2013-2019"</f>
        <v>Sentencias Dictadas por Delitos de Abuso Sexual por Delito en el  Juzgado de Garantía de Región de Tarapacá para el Periodo 2013-2019</v>
      </c>
      <c r="P24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Tarapacá para el Periodo 2013-2019 de acuerdo a datos provenientes del Poder Judicial de Chile.</v>
      </c>
      <c r="Q240" s="14" t="str">
        <f t="shared" ref="Q240:Q275" si="51">+Q239</f>
        <v>Gráfico de Evolución</v>
      </c>
      <c r="R240" s="77" t="s">
        <v>6060</v>
      </c>
      <c r="S240" s="15" t="s">
        <v>6617</v>
      </c>
      <c r="T240" s="65" t="s">
        <v>5915</v>
      </c>
      <c r="U240" s="24" t="s">
        <v>397</v>
      </c>
      <c r="V240" s="19" t="str">
        <f>+Ingresos_Historicos[[#This Row],[idcoleccion]]&amp;"-"&amp;Ingresos_Historicos[[#This Row],[id]]</f>
        <v>300-0230</v>
      </c>
      <c r="W240" s="19" t="e">
        <f>+VLOOKUP(Ingresos_Historicos[[#This Row],[Filtro URL]],Estructura!$X$4:$Y$366,2,0)</f>
        <v>#N/A</v>
      </c>
      <c r="X240" s="19" t="str">
        <f>+VLOOKUP(Ingresos_Historicos[[#This Row],[tema]],Estructura!$A$4:$C$18,3,0)</f>
        <v>T-306</v>
      </c>
      <c r="Y240" s="19" t="str">
        <f>+VLOOKUP(Ingresos_Historicos[[#This Row],[contenido]],Estructura!$E$4:$G$18,3,0)</f>
        <v>C-301</v>
      </c>
      <c r="Z240" s="19" t="str">
        <f>+VLOOKUP(Ingresos_Historicos[[#This Row],[Filtro Integrado]],Estructura!$M$4:$O$367,3,0)</f>
        <v>FI-303</v>
      </c>
      <c r="AA240" s="19" t="str">
        <f>+VLOOKUP(Ingresos_Historicos[[#This Row],[Muestra]],Estructura!$Q$4:$S$194,3,0)</f>
        <v>M-306</v>
      </c>
    </row>
    <row r="241" spans="1:27" ht="51" x14ac:dyDescent="0.3">
      <c r="A241" s="71" t="s">
        <v>627</v>
      </c>
      <c r="B241" s="12">
        <f t="shared" si="49"/>
        <v>300</v>
      </c>
      <c r="C241" s="13" t="str">
        <f t="shared" si="49"/>
        <v>Violencia contra la mujer</v>
      </c>
      <c r="D241" s="13" t="str">
        <f t="shared" si="49"/>
        <v>Mujeres</v>
      </c>
      <c r="E241" s="39">
        <v>48</v>
      </c>
      <c r="F241" s="13" t="str">
        <f t="shared" ref="F241:G256" si="52">+F240</f>
        <v>Sentencias por delito de abuso sexual</v>
      </c>
      <c r="G241" s="55" t="str">
        <f t="shared" si="52"/>
        <v>Abuso Sexual</v>
      </c>
      <c r="H241" s="38" t="s">
        <v>17</v>
      </c>
      <c r="I241" s="37" t="s">
        <v>229</v>
      </c>
      <c r="J241" s="12" t="s">
        <v>398</v>
      </c>
      <c r="K241" s="12" t="str">
        <f t="shared" si="50"/>
        <v>Sentencias Dictadas por Delitos de Abuso Sexual</v>
      </c>
      <c r="L241" s="12" t="str">
        <f t="shared" si="50"/>
        <v>Periodo 2013-2019</v>
      </c>
      <c r="M241" s="12" t="str">
        <f t="shared" si="50"/>
        <v>Número de sentencias</v>
      </c>
      <c r="N241" s="33" t="s">
        <v>5964</v>
      </c>
      <c r="O241" s="27" t="str">
        <f>"Sentencias Dictadas por Delitos de Abuso Sexual por Delito en el  Juzgado de Garantía de "&amp;[1]!Ingresos_Historicos[[#This Row],[territorio]]&amp;" para el Periodo 2013-2019"</f>
        <v>Sentencias Dictadas por Delitos de Abuso Sexual por Delito en el  Juzgado de Garantía de Región de Antofagasta para el Periodo 2013-2019</v>
      </c>
      <c r="P24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Antofagasta para el Periodo 2013-2019 de acuerdo a datos provenientes del Poder Judicial de Chile.</v>
      </c>
      <c r="Q241" s="14" t="str">
        <f t="shared" si="51"/>
        <v>Gráfico de Evolución</v>
      </c>
      <c r="R241" s="77" t="s">
        <v>6061</v>
      </c>
      <c r="S241" s="15" t="s">
        <v>6618</v>
      </c>
      <c r="T241" s="65" t="s">
        <v>5915</v>
      </c>
      <c r="U241" s="24" t="s">
        <v>397</v>
      </c>
      <c r="V241" s="19" t="str">
        <f>+Ingresos_Historicos[[#This Row],[idcoleccion]]&amp;"-"&amp;Ingresos_Historicos[[#This Row],[id]]</f>
        <v>300-0231</v>
      </c>
      <c r="W241" s="19" t="e">
        <f>+VLOOKUP(Ingresos_Historicos[[#This Row],[Filtro URL]],Estructura!$X$4:$Y$366,2,0)</f>
        <v>#N/A</v>
      </c>
      <c r="X241" s="19" t="str">
        <f>+VLOOKUP(Ingresos_Historicos[[#This Row],[tema]],Estructura!$A$4:$C$18,3,0)</f>
        <v>T-306</v>
      </c>
      <c r="Y241" s="19" t="str">
        <f>+VLOOKUP(Ingresos_Historicos[[#This Row],[contenido]],Estructura!$E$4:$G$18,3,0)</f>
        <v>C-301</v>
      </c>
      <c r="Z241" s="19" t="str">
        <f>+VLOOKUP(Ingresos_Historicos[[#This Row],[Filtro Integrado]],Estructura!$M$4:$O$367,3,0)</f>
        <v>FI-303</v>
      </c>
      <c r="AA241" s="19" t="str">
        <f>+VLOOKUP(Ingresos_Historicos[[#This Row],[Muestra]],Estructura!$Q$4:$S$194,3,0)</f>
        <v>M-306</v>
      </c>
    </row>
    <row r="242" spans="1:27" ht="51" x14ac:dyDescent="0.3">
      <c r="A242" s="71" t="s">
        <v>628</v>
      </c>
      <c r="B242" s="12">
        <f t="shared" si="49"/>
        <v>300</v>
      </c>
      <c r="C242" s="13" t="str">
        <f t="shared" si="49"/>
        <v>Violencia contra la mujer</v>
      </c>
      <c r="D242" s="13" t="str">
        <f t="shared" si="49"/>
        <v>Mujeres</v>
      </c>
      <c r="E242" s="39">
        <v>49</v>
      </c>
      <c r="F242" s="13" t="str">
        <f t="shared" si="52"/>
        <v>Sentencias por delito de abuso sexual</v>
      </c>
      <c r="G242" s="55" t="str">
        <f t="shared" si="52"/>
        <v>Abuso Sexual</v>
      </c>
      <c r="H242" s="38" t="s">
        <v>17</v>
      </c>
      <c r="I242" s="37" t="s">
        <v>6062</v>
      </c>
      <c r="J242" s="12" t="s">
        <v>398</v>
      </c>
      <c r="K242" s="12" t="str">
        <f t="shared" si="50"/>
        <v>Sentencias Dictadas por Delitos de Abuso Sexual</v>
      </c>
      <c r="L242" s="12" t="str">
        <f t="shared" si="50"/>
        <v>Periodo 2013-2019</v>
      </c>
      <c r="M242" s="12" t="str">
        <f t="shared" si="50"/>
        <v>Número de sentencias</v>
      </c>
      <c r="N242" s="33" t="s">
        <v>5964</v>
      </c>
      <c r="O242" s="27" t="str">
        <f>"Sentencias Dictadas por Delitos de Abuso Sexual por Delito en el  Juzgado de Garantía de "&amp;[1]!Ingresos_Historicos[[#This Row],[territorio]]&amp;" para el Periodo 2013-2019"</f>
        <v>Sentencias Dictadas por Delitos de Abuso Sexual por Delito en el  Juzgado de Garantía de Región de Atacama para el Periodo 2013-2019</v>
      </c>
      <c r="P24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Atacama para el Periodo 2013-2019 de acuerdo a datos provenientes del Poder Judicial de Chile.</v>
      </c>
      <c r="Q242" s="14" t="str">
        <f t="shared" si="51"/>
        <v>Gráfico de Evolución</v>
      </c>
      <c r="R242" s="77" t="s">
        <v>6063</v>
      </c>
      <c r="S242" s="15" t="s">
        <v>6619</v>
      </c>
      <c r="T242" s="65" t="s">
        <v>5915</v>
      </c>
      <c r="U242" s="24" t="s">
        <v>397</v>
      </c>
      <c r="V242" s="19" t="str">
        <f>+Ingresos_Historicos[[#This Row],[idcoleccion]]&amp;"-"&amp;Ingresos_Historicos[[#This Row],[id]]</f>
        <v>300-0232</v>
      </c>
      <c r="W242" s="19" t="e">
        <f>+VLOOKUP(Ingresos_Historicos[[#This Row],[Filtro URL]],Estructura!$X$4:$Y$366,2,0)</f>
        <v>#N/A</v>
      </c>
      <c r="X242" s="19" t="str">
        <f>+VLOOKUP(Ingresos_Historicos[[#This Row],[tema]],Estructura!$A$4:$C$18,3,0)</f>
        <v>T-306</v>
      </c>
      <c r="Y242" s="19" t="str">
        <f>+VLOOKUP(Ingresos_Historicos[[#This Row],[contenido]],Estructura!$E$4:$G$18,3,0)</f>
        <v>C-301</v>
      </c>
      <c r="Z242" s="19" t="str">
        <f>+VLOOKUP(Ingresos_Historicos[[#This Row],[Filtro Integrado]],Estructura!$M$4:$O$367,3,0)</f>
        <v>FI-303</v>
      </c>
      <c r="AA242" s="19" t="str">
        <f>+VLOOKUP(Ingresos_Historicos[[#This Row],[Muestra]],Estructura!$Q$4:$S$194,3,0)</f>
        <v>M-306</v>
      </c>
    </row>
    <row r="243" spans="1:27" ht="51" x14ac:dyDescent="0.3">
      <c r="A243" s="71" t="s">
        <v>629</v>
      </c>
      <c r="B243" s="12">
        <f t="shared" si="49"/>
        <v>300</v>
      </c>
      <c r="C243" s="13" t="str">
        <f t="shared" si="49"/>
        <v>Violencia contra la mujer</v>
      </c>
      <c r="D243" s="13" t="str">
        <f t="shared" si="49"/>
        <v>Mujeres</v>
      </c>
      <c r="E243" s="39">
        <v>50</v>
      </c>
      <c r="F243" s="13" t="str">
        <f t="shared" si="52"/>
        <v>Sentencias por delito de abuso sexual</v>
      </c>
      <c r="G243" s="55" t="str">
        <f t="shared" si="52"/>
        <v>Abuso Sexual</v>
      </c>
      <c r="H243" s="38" t="s">
        <v>17</v>
      </c>
      <c r="I243" s="37" t="s">
        <v>219</v>
      </c>
      <c r="J243" s="12" t="s">
        <v>398</v>
      </c>
      <c r="K243" s="12" t="str">
        <f t="shared" si="50"/>
        <v>Sentencias Dictadas por Delitos de Abuso Sexual</v>
      </c>
      <c r="L243" s="12" t="str">
        <f t="shared" si="50"/>
        <v>Periodo 2013-2019</v>
      </c>
      <c r="M243" s="12" t="str">
        <f t="shared" si="50"/>
        <v>Número de sentencias</v>
      </c>
      <c r="N243" s="33" t="s">
        <v>5964</v>
      </c>
      <c r="O243" s="27" t="str">
        <f>"Sentencias Dictadas por Delitos de Abuso Sexual por Delito en el  Juzgado de Garantía de "&amp;[1]!Ingresos_Historicos[[#This Row],[territorio]]&amp;" para el Periodo 2013-2019"</f>
        <v>Sentencias Dictadas por Delitos de Abuso Sexual por Delito en el  Juzgado de Garantía de Región de Coquimbo para el Periodo 2013-2019</v>
      </c>
      <c r="P24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Coquimbo para el Periodo 2013-2019 de acuerdo a datos provenientes del Poder Judicial de Chile.</v>
      </c>
      <c r="Q243" s="14" t="str">
        <f t="shared" si="51"/>
        <v>Gráfico de Evolución</v>
      </c>
      <c r="R243" s="77" t="s">
        <v>6064</v>
      </c>
      <c r="S243" s="15" t="s">
        <v>6620</v>
      </c>
      <c r="T243" s="65" t="s">
        <v>5915</v>
      </c>
      <c r="U243" s="24" t="s">
        <v>397</v>
      </c>
      <c r="V243" s="19" t="str">
        <f>+Ingresos_Historicos[[#This Row],[idcoleccion]]&amp;"-"&amp;Ingresos_Historicos[[#This Row],[id]]</f>
        <v>300-0233</v>
      </c>
      <c r="W243" s="19" t="e">
        <f>+VLOOKUP(Ingresos_Historicos[[#This Row],[Filtro URL]],Estructura!$X$4:$Y$366,2,0)</f>
        <v>#N/A</v>
      </c>
      <c r="X243" s="19" t="str">
        <f>+VLOOKUP(Ingresos_Historicos[[#This Row],[tema]],Estructura!$A$4:$C$18,3,0)</f>
        <v>T-306</v>
      </c>
      <c r="Y243" s="19" t="str">
        <f>+VLOOKUP(Ingresos_Historicos[[#This Row],[contenido]],Estructura!$E$4:$G$18,3,0)</f>
        <v>C-301</v>
      </c>
      <c r="Z243" s="19" t="str">
        <f>+VLOOKUP(Ingresos_Historicos[[#This Row],[Filtro Integrado]],Estructura!$M$4:$O$367,3,0)</f>
        <v>FI-303</v>
      </c>
      <c r="AA243" s="19" t="str">
        <f>+VLOOKUP(Ingresos_Historicos[[#This Row],[Muestra]],Estructura!$Q$4:$S$194,3,0)</f>
        <v>M-306</v>
      </c>
    </row>
    <row r="244" spans="1:27" ht="51" x14ac:dyDescent="0.3">
      <c r="A244" s="71" t="s">
        <v>630</v>
      </c>
      <c r="B244" s="12">
        <f t="shared" si="49"/>
        <v>300</v>
      </c>
      <c r="C244" s="13" t="str">
        <f t="shared" si="49"/>
        <v>Violencia contra la mujer</v>
      </c>
      <c r="D244" s="13" t="str">
        <f t="shared" si="49"/>
        <v>Mujeres</v>
      </c>
      <c r="E244" s="39">
        <v>51</v>
      </c>
      <c r="F244" s="13" t="str">
        <f t="shared" si="52"/>
        <v>Sentencias por delito de abuso sexual</v>
      </c>
      <c r="G244" s="55" t="str">
        <f t="shared" si="52"/>
        <v>Abuso Sexual</v>
      </c>
      <c r="H244" s="38" t="s">
        <v>17</v>
      </c>
      <c r="I244" s="37" t="s">
        <v>250</v>
      </c>
      <c r="J244" s="12" t="s">
        <v>398</v>
      </c>
      <c r="K244" s="12" t="str">
        <f t="shared" si="50"/>
        <v>Sentencias Dictadas por Delitos de Abuso Sexual</v>
      </c>
      <c r="L244" s="12" t="str">
        <f t="shared" si="50"/>
        <v>Periodo 2013-2019</v>
      </c>
      <c r="M244" s="12" t="str">
        <f t="shared" si="50"/>
        <v>Número de sentencias</v>
      </c>
      <c r="N244" s="33" t="s">
        <v>5964</v>
      </c>
      <c r="O244" s="27" t="str">
        <f>"Sentencias Dictadas por Delitos de Abuso Sexual por Delito en el  Juzgado de Garantía de "&amp;[1]!Ingresos_Historicos[[#This Row],[territorio]]&amp;" para el Periodo 2013-2019"</f>
        <v>Sentencias Dictadas por Delitos de Abuso Sexual por Delito en el  Juzgado de Garantía de Región de Valparaíso para el Periodo 2013-2019</v>
      </c>
      <c r="P24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Valparaíso para el Periodo 2013-2019 de acuerdo a datos provenientes del Poder Judicial de Chile.</v>
      </c>
      <c r="Q244" s="14" t="str">
        <f t="shared" si="51"/>
        <v>Gráfico de Evolución</v>
      </c>
      <c r="R244" s="77" t="s">
        <v>6065</v>
      </c>
      <c r="S244" s="15" t="s">
        <v>6621</v>
      </c>
      <c r="T244" s="65" t="s">
        <v>5915</v>
      </c>
      <c r="U244" s="24" t="s">
        <v>397</v>
      </c>
      <c r="V244" s="19" t="str">
        <f>+Ingresos_Historicos[[#This Row],[idcoleccion]]&amp;"-"&amp;Ingresos_Historicos[[#This Row],[id]]</f>
        <v>300-0234</v>
      </c>
      <c r="W244" s="19" t="e">
        <f>+VLOOKUP(Ingresos_Historicos[[#This Row],[Filtro URL]],Estructura!$X$4:$Y$366,2,0)</f>
        <v>#N/A</v>
      </c>
      <c r="X244" s="19" t="str">
        <f>+VLOOKUP(Ingresos_Historicos[[#This Row],[tema]],Estructura!$A$4:$C$18,3,0)</f>
        <v>T-306</v>
      </c>
      <c r="Y244" s="19" t="str">
        <f>+VLOOKUP(Ingresos_Historicos[[#This Row],[contenido]],Estructura!$E$4:$G$18,3,0)</f>
        <v>C-301</v>
      </c>
      <c r="Z244" s="19" t="str">
        <f>+VLOOKUP(Ingresos_Historicos[[#This Row],[Filtro Integrado]],Estructura!$M$4:$O$367,3,0)</f>
        <v>FI-303</v>
      </c>
      <c r="AA244" s="19" t="str">
        <f>+VLOOKUP(Ingresos_Historicos[[#This Row],[Muestra]],Estructura!$Q$4:$S$194,3,0)</f>
        <v>M-306</v>
      </c>
    </row>
    <row r="245" spans="1:27" ht="51" x14ac:dyDescent="0.3">
      <c r="A245" s="71" t="s">
        <v>631</v>
      </c>
      <c r="B245" s="12">
        <f t="shared" si="49"/>
        <v>300</v>
      </c>
      <c r="C245" s="13" t="str">
        <f t="shared" si="49"/>
        <v>Violencia contra la mujer</v>
      </c>
      <c r="D245" s="13" t="str">
        <f t="shared" si="49"/>
        <v>Mujeres</v>
      </c>
      <c r="E245" s="39">
        <v>52</v>
      </c>
      <c r="F245" s="13" t="str">
        <f t="shared" si="52"/>
        <v>Sentencias por delito de abuso sexual</v>
      </c>
      <c r="G245" s="55" t="str">
        <f t="shared" si="52"/>
        <v>Abuso Sexual</v>
      </c>
      <c r="H245" s="38" t="s">
        <v>17</v>
      </c>
      <c r="I245" s="37" t="s">
        <v>238</v>
      </c>
      <c r="J245" s="12" t="s">
        <v>398</v>
      </c>
      <c r="K245" s="12" t="str">
        <f t="shared" si="50"/>
        <v>Sentencias Dictadas por Delitos de Abuso Sexual</v>
      </c>
      <c r="L245" s="12" t="str">
        <f t="shared" si="50"/>
        <v>Periodo 2013-2019</v>
      </c>
      <c r="M245" s="12" t="str">
        <f t="shared" si="50"/>
        <v>Número de sentencias</v>
      </c>
      <c r="N245" s="33" t="s">
        <v>5964</v>
      </c>
      <c r="O245" s="27" t="str">
        <f>"Sentencias Dictadas por Delitos de Abuso Sexual por Delito en el  Juzgado de Garantía de "&amp;[1]!Ingresos_Historicos[[#This Row],[territorio]]&amp;" para el Periodo 2013-2019"</f>
        <v>Sentencias Dictadas por Delitos de Abuso Sexual por Delito en el  Juzgado de Garantía de Región de O'Higgins para el Periodo 2013-2019</v>
      </c>
      <c r="P24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O'Higgins para el Periodo 2013-2019 de acuerdo a datos provenientes del Poder Judicial de Chile.</v>
      </c>
      <c r="Q245" s="14" t="str">
        <f t="shared" si="51"/>
        <v>Gráfico de Evolución</v>
      </c>
      <c r="R245" s="77" t="s">
        <v>6066</v>
      </c>
      <c r="S245" s="15" t="s">
        <v>6622</v>
      </c>
      <c r="T245" s="65" t="s">
        <v>5915</v>
      </c>
      <c r="U245" s="24" t="s">
        <v>397</v>
      </c>
      <c r="V245" s="19" t="str">
        <f>+Ingresos_Historicos[[#This Row],[idcoleccion]]&amp;"-"&amp;Ingresos_Historicos[[#This Row],[id]]</f>
        <v>300-0235</v>
      </c>
      <c r="W245" s="19" t="e">
        <f>+VLOOKUP(Ingresos_Historicos[[#This Row],[Filtro URL]],Estructura!$X$4:$Y$366,2,0)</f>
        <v>#N/A</v>
      </c>
      <c r="X245" s="19" t="str">
        <f>+VLOOKUP(Ingresos_Historicos[[#This Row],[tema]],Estructura!$A$4:$C$18,3,0)</f>
        <v>T-306</v>
      </c>
      <c r="Y245" s="19" t="str">
        <f>+VLOOKUP(Ingresos_Historicos[[#This Row],[contenido]],Estructura!$E$4:$G$18,3,0)</f>
        <v>C-301</v>
      </c>
      <c r="Z245" s="19" t="str">
        <f>+VLOOKUP(Ingresos_Historicos[[#This Row],[Filtro Integrado]],Estructura!$M$4:$O$367,3,0)</f>
        <v>FI-303</v>
      </c>
      <c r="AA245" s="19" t="str">
        <f>+VLOOKUP(Ingresos_Historicos[[#This Row],[Muestra]],Estructura!$Q$4:$S$194,3,0)</f>
        <v>M-306</v>
      </c>
    </row>
    <row r="246" spans="1:27" ht="51" x14ac:dyDescent="0.3">
      <c r="A246" s="71" t="s">
        <v>632</v>
      </c>
      <c r="B246" s="12">
        <f t="shared" si="49"/>
        <v>300</v>
      </c>
      <c r="C246" s="13" t="str">
        <f t="shared" si="49"/>
        <v>Violencia contra la mujer</v>
      </c>
      <c r="D246" s="13" t="str">
        <f t="shared" si="49"/>
        <v>Mujeres</v>
      </c>
      <c r="E246" s="39">
        <v>53</v>
      </c>
      <c r="F246" s="13" t="str">
        <f t="shared" si="52"/>
        <v>Sentencias por delito de abuso sexual</v>
      </c>
      <c r="G246" s="55" t="str">
        <f t="shared" si="52"/>
        <v>Abuso Sexual</v>
      </c>
      <c r="H246" s="38" t="s">
        <v>17</v>
      </c>
      <c r="I246" s="37" t="s">
        <v>261</v>
      </c>
      <c r="J246" s="12" t="s">
        <v>398</v>
      </c>
      <c r="K246" s="12" t="str">
        <f t="shared" si="50"/>
        <v>Sentencias Dictadas por Delitos de Abuso Sexual</v>
      </c>
      <c r="L246" s="12" t="str">
        <f t="shared" si="50"/>
        <v>Periodo 2013-2019</v>
      </c>
      <c r="M246" s="12" t="str">
        <f t="shared" si="50"/>
        <v>Número de sentencias</v>
      </c>
      <c r="N246" s="33" t="s">
        <v>5964</v>
      </c>
      <c r="O246" s="27" t="str">
        <f>"Sentencias Dictadas por Delitos de Abuso Sexual por Delito en el  Juzgado de Garantía de "&amp;[1]!Ingresos_Historicos[[#This Row],[territorio]]&amp;" para el Periodo 2013-2019"</f>
        <v>Sentencias Dictadas por Delitos de Abuso Sexual por Delito en el  Juzgado de Garantía de Región de Maule para el Periodo 2013-2019</v>
      </c>
      <c r="P246"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Maule para el Periodo 2013-2019 de acuerdo a datos provenientes del Poder Judicial de Chile.</v>
      </c>
      <c r="Q246" s="14" t="str">
        <f t="shared" si="51"/>
        <v>Gráfico de Evolución</v>
      </c>
      <c r="R246" s="77" t="s">
        <v>6067</v>
      </c>
      <c r="S246" s="15" t="s">
        <v>6623</v>
      </c>
      <c r="T246" s="65" t="s">
        <v>5916</v>
      </c>
      <c r="U246" s="24" t="s">
        <v>397</v>
      </c>
      <c r="V246" s="19" t="str">
        <f>+Ingresos_Historicos[[#This Row],[idcoleccion]]&amp;"-"&amp;Ingresos_Historicos[[#This Row],[id]]</f>
        <v>300-0236</v>
      </c>
      <c r="W246" s="19" t="e">
        <f>+VLOOKUP(Ingresos_Historicos[[#This Row],[Filtro URL]],Estructura!$X$4:$Y$366,2,0)</f>
        <v>#N/A</v>
      </c>
      <c r="X246" s="19" t="str">
        <f>+VLOOKUP(Ingresos_Historicos[[#This Row],[tema]],Estructura!$A$4:$C$18,3,0)</f>
        <v>T-306</v>
      </c>
      <c r="Y246" s="19" t="str">
        <f>+VLOOKUP(Ingresos_Historicos[[#This Row],[contenido]],Estructura!$E$4:$G$18,3,0)</f>
        <v>C-301</v>
      </c>
      <c r="Z246" s="19" t="str">
        <f>+VLOOKUP(Ingresos_Historicos[[#This Row],[Filtro Integrado]],Estructura!$M$4:$O$367,3,0)</f>
        <v>FI-303</v>
      </c>
      <c r="AA246" s="19" t="str">
        <f>+VLOOKUP(Ingresos_Historicos[[#This Row],[Muestra]],Estructura!$Q$4:$S$194,3,0)</f>
        <v>M-306</v>
      </c>
    </row>
    <row r="247" spans="1:27" ht="51" x14ac:dyDescent="0.3">
      <c r="A247" s="71" t="s">
        <v>633</v>
      </c>
      <c r="B247" s="12">
        <f t="shared" si="49"/>
        <v>300</v>
      </c>
      <c r="C247" s="13" t="str">
        <f t="shared" si="49"/>
        <v>Violencia contra la mujer</v>
      </c>
      <c r="D247" s="13" t="str">
        <f t="shared" si="49"/>
        <v>Mujeres</v>
      </c>
      <c r="E247" s="39">
        <v>54</v>
      </c>
      <c r="F247" s="13" t="str">
        <f t="shared" si="52"/>
        <v>Sentencias por delito de abuso sexual</v>
      </c>
      <c r="G247" s="55" t="str">
        <f t="shared" si="52"/>
        <v>Abuso Sexual</v>
      </c>
      <c r="H247" s="38" t="s">
        <v>17</v>
      </c>
      <c r="I247" s="37" t="s">
        <v>260</v>
      </c>
      <c r="J247" s="12" t="s">
        <v>398</v>
      </c>
      <c r="K247" s="12" t="str">
        <f t="shared" si="50"/>
        <v>Sentencias Dictadas por Delitos de Abuso Sexual</v>
      </c>
      <c r="L247" s="12" t="str">
        <f t="shared" si="50"/>
        <v>Periodo 2013-2019</v>
      </c>
      <c r="M247" s="12" t="str">
        <f t="shared" si="50"/>
        <v>Número de sentencias</v>
      </c>
      <c r="N247" s="33" t="s">
        <v>5964</v>
      </c>
      <c r="O247" s="27" t="str">
        <f>"Sentencias Dictadas por Delitos de Abuso Sexual por Delito en el  Juzgado de Garantía de "&amp;[1]!Ingresos_Historicos[[#This Row],[territorio]]&amp;" para el Periodo 2013-2019"</f>
        <v>Sentencias Dictadas por Delitos de Abuso Sexual por Delito en el  Juzgado de Garantía de Región del Biobío para el Periodo 2013-2019</v>
      </c>
      <c r="P247"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del Biobío para el Periodo 2013-2019 de acuerdo a datos provenientes del Poder Judicial de Chile.</v>
      </c>
      <c r="Q247" s="14" t="str">
        <f t="shared" si="51"/>
        <v>Gráfico de Evolución</v>
      </c>
      <c r="R247" s="77" t="s">
        <v>6068</v>
      </c>
      <c r="S247" s="15" t="s">
        <v>6624</v>
      </c>
      <c r="T247" s="65" t="s">
        <v>5916</v>
      </c>
      <c r="U247" s="24" t="s">
        <v>397</v>
      </c>
      <c r="V247" s="19" t="str">
        <f>+Ingresos_Historicos[[#This Row],[idcoleccion]]&amp;"-"&amp;Ingresos_Historicos[[#This Row],[id]]</f>
        <v>300-0237</v>
      </c>
      <c r="W247" s="19" t="e">
        <f>+VLOOKUP(Ingresos_Historicos[[#This Row],[Filtro URL]],Estructura!$X$4:$Y$366,2,0)</f>
        <v>#N/A</v>
      </c>
      <c r="X247" s="19" t="str">
        <f>+VLOOKUP(Ingresos_Historicos[[#This Row],[tema]],Estructura!$A$4:$C$18,3,0)</f>
        <v>T-306</v>
      </c>
      <c r="Y247" s="19" t="str">
        <f>+VLOOKUP(Ingresos_Historicos[[#This Row],[contenido]],Estructura!$E$4:$G$18,3,0)</f>
        <v>C-301</v>
      </c>
      <c r="Z247" s="19" t="str">
        <f>+VLOOKUP(Ingresos_Historicos[[#This Row],[Filtro Integrado]],Estructura!$M$4:$O$367,3,0)</f>
        <v>FI-303</v>
      </c>
      <c r="AA247" s="19" t="str">
        <f>+VLOOKUP(Ingresos_Historicos[[#This Row],[Muestra]],Estructura!$Q$4:$S$194,3,0)</f>
        <v>M-306</v>
      </c>
    </row>
    <row r="248" spans="1:27" ht="51" x14ac:dyDescent="0.3">
      <c r="A248" s="71" t="s">
        <v>634</v>
      </c>
      <c r="B248" s="12">
        <f t="shared" si="49"/>
        <v>300</v>
      </c>
      <c r="C248" s="13" t="str">
        <f t="shared" si="49"/>
        <v>Violencia contra la mujer</v>
      </c>
      <c r="D248" s="13" t="str">
        <f t="shared" si="49"/>
        <v>Mujeres</v>
      </c>
      <c r="E248" s="39">
        <v>55</v>
      </c>
      <c r="F248" s="13" t="str">
        <f t="shared" si="52"/>
        <v>Sentencias por delito de abuso sexual</v>
      </c>
      <c r="G248" s="55" t="str">
        <f t="shared" si="52"/>
        <v>Abuso Sexual</v>
      </c>
      <c r="H248" s="38" t="s">
        <v>17</v>
      </c>
      <c r="I248" s="37" t="s">
        <v>270</v>
      </c>
      <c r="J248" s="12" t="s">
        <v>398</v>
      </c>
      <c r="K248" s="12" t="str">
        <f t="shared" si="50"/>
        <v>Sentencias Dictadas por Delitos de Abuso Sexual</v>
      </c>
      <c r="L248" s="12" t="str">
        <f t="shared" si="50"/>
        <v>Periodo 2013-2019</v>
      </c>
      <c r="M248" s="12" t="str">
        <f t="shared" si="50"/>
        <v>Número de sentencias</v>
      </c>
      <c r="N248" s="33" t="s">
        <v>5964</v>
      </c>
      <c r="O248" s="27" t="str">
        <f>"Sentencias Dictadas por Delitos de Abuso Sexual por Delito en el  Juzgado de Garantía de "&amp;[1]!Ingresos_Historicos[[#This Row],[territorio]]&amp;" para el Periodo 2013-2019"</f>
        <v>Sentencias Dictadas por Delitos de Abuso Sexual por Delito en el  Juzgado de Garantía de Región de La Araucanía para el Periodo 2013-2019</v>
      </c>
      <c r="P248"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La Araucanía para el Periodo 2013-2019 de acuerdo a datos provenientes del Poder Judicial de Chile.</v>
      </c>
      <c r="Q248" s="14" t="str">
        <f t="shared" si="51"/>
        <v>Gráfico de Evolución</v>
      </c>
      <c r="R248" s="77" t="s">
        <v>6069</v>
      </c>
      <c r="S248" s="15" t="s">
        <v>6625</v>
      </c>
      <c r="T248" s="65" t="s">
        <v>5916</v>
      </c>
      <c r="U248" s="24" t="s">
        <v>397</v>
      </c>
      <c r="V248" s="19" t="str">
        <f>+Ingresos_Historicos[[#This Row],[idcoleccion]]&amp;"-"&amp;Ingresos_Historicos[[#This Row],[id]]</f>
        <v>300-0238</v>
      </c>
      <c r="W248" s="19" t="e">
        <f>+VLOOKUP(Ingresos_Historicos[[#This Row],[Filtro URL]],Estructura!$X$4:$Y$366,2,0)</f>
        <v>#N/A</v>
      </c>
      <c r="X248" s="19" t="str">
        <f>+VLOOKUP(Ingresos_Historicos[[#This Row],[tema]],Estructura!$A$4:$C$18,3,0)</f>
        <v>T-306</v>
      </c>
      <c r="Y248" s="19" t="str">
        <f>+VLOOKUP(Ingresos_Historicos[[#This Row],[contenido]],Estructura!$E$4:$G$18,3,0)</f>
        <v>C-301</v>
      </c>
      <c r="Z248" s="19" t="str">
        <f>+VLOOKUP(Ingresos_Historicos[[#This Row],[Filtro Integrado]],Estructura!$M$4:$O$367,3,0)</f>
        <v>FI-303</v>
      </c>
      <c r="AA248" s="19" t="str">
        <f>+VLOOKUP(Ingresos_Historicos[[#This Row],[Muestra]],Estructura!$Q$4:$S$194,3,0)</f>
        <v>M-306</v>
      </c>
    </row>
    <row r="249" spans="1:27" ht="51" x14ac:dyDescent="0.3">
      <c r="A249" s="71" t="s">
        <v>635</v>
      </c>
      <c r="B249" s="12">
        <f t="shared" si="49"/>
        <v>300</v>
      </c>
      <c r="C249" s="13" t="str">
        <f t="shared" si="49"/>
        <v>Violencia contra la mujer</v>
      </c>
      <c r="D249" s="13" t="str">
        <f t="shared" si="49"/>
        <v>Mujeres</v>
      </c>
      <c r="E249" s="39">
        <v>56</v>
      </c>
      <c r="F249" s="13" t="str">
        <f t="shared" si="52"/>
        <v>Sentencias por delito de abuso sexual</v>
      </c>
      <c r="G249" s="55" t="str">
        <f t="shared" si="52"/>
        <v>Abuso Sexual</v>
      </c>
      <c r="H249" s="38" t="s">
        <v>17</v>
      </c>
      <c r="I249" s="37" t="s">
        <v>251</v>
      </c>
      <c r="J249" s="12" t="s">
        <v>398</v>
      </c>
      <c r="K249" s="12" t="str">
        <f t="shared" si="50"/>
        <v>Sentencias Dictadas por Delitos de Abuso Sexual</v>
      </c>
      <c r="L249" s="12" t="str">
        <f t="shared" si="50"/>
        <v>Periodo 2013-2019</v>
      </c>
      <c r="M249" s="12" t="str">
        <f t="shared" si="50"/>
        <v>Número de sentencias</v>
      </c>
      <c r="N249" s="33" t="s">
        <v>5964</v>
      </c>
      <c r="O249" s="27" t="str">
        <f>"Sentencias Dictadas por Delitos de Abuso Sexual por Delito en el  Juzgado de Garantía de "&amp;[1]!Ingresos_Historicos[[#This Row],[territorio]]&amp;" para el Periodo 2013-2019"</f>
        <v>Sentencias Dictadas por Delitos de Abuso Sexual por Delito en el  Juzgado de Garantía de Región de Los Lagos para el Periodo 2013-2019</v>
      </c>
      <c r="P24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Los Lagos para el Periodo 2013-2019 de acuerdo a datos provenientes del Poder Judicial de Chile.</v>
      </c>
      <c r="Q249" s="14" t="str">
        <f t="shared" si="51"/>
        <v>Gráfico de Evolución</v>
      </c>
      <c r="R249" s="77" t="s">
        <v>6070</v>
      </c>
      <c r="S249" s="15" t="s">
        <v>6626</v>
      </c>
      <c r="T249" s="65" t="s">
        <v>5916</v>
      </c>
      <c r="U249" s="24" t="s">
        <v>397</v>
      </c>
      <c r="V249" s="19" t="str">
        <f>+Ingresos_Historicos[[#This Row],[idcoleccion]]&amp;"-"&amp;Ingresos_Historicos[[#This Row],[id]]</f>
        <v>300-0239</v>
      </c>
      <c r="W249" s="19" t="e">
        <f>+VLOOKUP(Ingresos_Historicos[[#This Row],[Filtro URL]],Estructura!$X$4:$Y$366,2,0)</f>
        <v>#N/A</v>
      </c>
      <c r="X249" s="19" t="str">
        <f>+VLOOKUP(Ingresos_Historicos[[#This Row],[tema]],Estructura!$A$4:$C$18,3,0)</f>
        <v>T-306</v>
      </c>
      <c r="Y249" s="19" t="str">
        <f>+VLOOKUP(Ingresos_Historicos[[#This Row],[contenido]],Estructura!$E$4:$G$18,3,0)</f>
        <v>C-301</v>
      </c>
      <c r="Z249" s="19" t="str">
        <f>+VLOOKUP(Ingresos_Historicos[[#This Row],[Filtro Integrado]],Estructura!$M$4:$O$367,3,0)</f>
        <v>FI-303</v>
      </c>
      <c r="AA249" s="19" t="str">
        <f>+VLOOKUP(Ingresos_Historicos[[#This Row],[Muestra]],Estructura!$Q$4:$S$194,3,0)</f>
        <v>M-306</v>
      </c>
    </row>
    <row r="250" spans="1:27" ht="51" x14ac:dyDescent="0.3">
      <c r="A250" s="71" t="s">
        <v>636</v>
      </c>
      <c r="B250" s="12">
        <f t="shared" si="49"/>
        <v>300</v>
      </c>
      <c r="C250" s="13" t="str">
        <f t="shared" si="49"/>
        <v>Violencia contra la mujer</v>
      </c>
      <c r="D250" s="13" t="str">
        <f t="shared" si="49"/>
        <v>Mujeres</v>
      </c>
      <c r="E250" s="39">
        <v>57</v>
      </c>
      <c r="F250" s="13" t="str">
        <f t="shared" si="52"/>
        <v>Sentencias por delito de abuso sexual</v>
      </c>
      <c r="G250" s="55" t="str">
        <f t="shared" si="52"/>
        <v>Abuso Sexual</v>
      </c>
      <c r="H250" s="38" t="s">
        <v>17</v>
      </c>
      <c r="I250" s="37" t="s">
        <v>259</v>
      </c>
      <c r="J250" s="12" t="s">
        <v>398</v>
      </c>
      <c r="K250" s="12" t="str">
        <f t="shared" si="50"/>
        <v>Sentencias Dictadas por Delitos de Abuso Sexual</v>
      </c>
      <c r="L250" s="12" t="str">
        <f t="shared" si="50"/>
        <v>Periodo 2013-2019</v>
      </c>
      <c r="M250" s="12" t="str">
        <f t="shared" si="50"/>
        <v>Número de sentencias</v>
      </c>
      <c r="N250" s="33" t="s">
        <v>5964</v>
      </c>
      <c r="O250" s="27" t="str">
        <f>"Sentencias Dictadas por Delitos de Abuso Sexual por Delito en el  Juzgado de Garantía de "&amp;[1]!Ingresos_Historicos[[#This Row],[territorio]]&amp;" para el Periodo 2013-2019"</f>
        <v>Sentencias Dictadas por Delitos de Abuso Sexual por Delito en el  Juzgado de Garantía de Región de Aysén para el Periodo 2013-2019</v>
      </c>
      <c r="P25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Aysén para el Periodo 2013-2019 de acuerdo a datos provenientes del Poder Judicial de Chile.</v>
      </c>
      <c r="Q250" s="14" t="str">
        <f t="shared" si="51"/>
        <v>Gráfico de Evolución</v>
      </c>
      <c r="R250" s="77" t="s">
        <v>6071</v>
      </c>
      <c r="S250" s="15" t="s">
        <v>6627</v>
      </c>
      <c r="T250" s="65" t="s">
        <v>5916</v>
      </c>
      <c r="U250" s="24" t="s">
        <v>397</v>
      </c>
      <c r="V250" s="19" t="str">
        <f>+Ingresos_Historicos[[#This Row],[idcoleccion]]&amp;"-"&amp;Ingresos_Historicos[[#This Row],[id]]</f>
        <v>300-0240</v>
      </c>
      <c r="W250" s="19" t="e">
        <f>+VLOOKUP(Ingresos_Historicos[[#This Row],[Filtro URL]],Estructura!$X$4:$Y$366,2,0)</f>
        <v>#N/A</v>
      </c>
      <c r="X250" s="19" t="str">
        <f>+VLOOKUP(Ingresos_Historicos[[#This Row],[tema]],Estructura!$A$4:$C$18,3,0)</f>
        <v>T-306</v>
      </c>
      <c r="Y250" s="19" t="str">
        <f>+VLOOKUP(Ingresos_Historicos[[#This Row],[contenido]],Estructura!$E$4:$G$18,3,0)</f>
        <v>C-301</v>
      </c>
      <c r="Z250" s="19" t="str">
        <f>+VLOOKUP(Ingresos_Historicos[[#This Row],[Filtro Integrado]],Estructura!$M$4:$O$367,3,0)</f>
        <v>FI-303</v>
      </c>
      <c r="AA250" s="19" t="str">
        <f>+VLOOKUP(Ingresos_Historicos[[#This Row],[Muestra]],Estructura!$Q$4:$S$194,3,0)</f>
        <v>M-306</v>
      </c>
    </row>
    <row r="251" spans="1:27" ht="51" x14ac:dyDescent="0.3">
      <c r="A251" s="71" t="s">
        <v>637</v>
      </c>
      <c r="B251" s="12">
        <f t="shared" si="49"/>
        <v>300</v>
      </c>
      <c r="C251" s="13" t="str">
        <f t="shared" si="49"/>
        <v>Violencia contra la mujer</v>
      </c>
      <c r="D251" s="13" t="str">
        <f t="shared" si="49"/>
        <v>Mujeres</v>
      </c>
      <c r="E251" s="39">
        <v>58</v>
      </c>
      <c r="F251" s="13" t="str">
        <f t="shared" si="52"/>
        <v>Sentencias por delito de abuso sexual</v>
      </c>
      <c r="G251" s="55" t="str">
        <f t="shared" si="52"/>
        <v>Abuso Sexual</v>
      </c>
      <c r="H251" s="38" t="s">
        <v>17</v>
      </c>
      <c r="I251" s="37" t="s">
        <v>6072</v>
      </c>
      <c r="J251" s="12" t="s">
        <v>398</v>
      </c>
      <c r="K251" s="12" t="str">
        <f t="shared" si="50"/>
        <v>Sentencias Dictadas por Delitos de Abuso Sexual</v>
      </c>
      <c r="L251" s="12" t="str">
        <f t="shared" si="50"/>
        <v>Periodo 2013-2019</v>
      </c>
      <c r="M251" s="12" t="str">
        <f t="shared" si="50"/>
        <v>Número de sentencias</v>
      </c>
      <c r="N251" s="33" t="s">
        <v>5964</v>
      </c>
      <c r="O251" s="27" t="str">
        <f>"Sentencias Dictadas por Delitos de Abuso Sexual por Delito en el  Juzgado de Garantía de "&amp;[1]!Ingresos_Historicos[[#This Row],[territorio]]&amp;" para el Periodo 2013-2019"</f>
        <v>Sentencias Dictadas por Delitos de Abuso Sexual por Delito en el  Juzgado de Garantía de Región de Magallanes para el Periodo 2013-2019</v>
      </c>
      <c r="P25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Magallanes para el Periodo 2013-2019 de acuerdo a datos provenientes del Poder Judicial de Chile.</v>
      </c>
      <c r="Q251" s="14" t="str">
        <f t="shared" si="51"/>
        <v>Gráfico de Evolución</v>
      </c>
      <c r="R251" s="77" t="s">
        <v>6073</v>
      </c>
      <c r="S251" s="15" t="s">
        <v>6628</v>
      </c>
      <c r="T251" s="65" t="s">
        <v>5916</v>
      </c>
      <c r="U251" s="24" t="s">
        <v>397</v>
      </c>
      <c r="V251" s="19" t="str">
        <f>+Ingresos_Historicos[[#This Row],[idcoleccion]]&amp;"-"&amp;Ingresos_Historicos[[#This Row],[id]]</f>
        <v>300-0241</v>
      </c>
      <c r="W251" s="19" t="e">
        <f>+VLOOKUP(Ingresos_Historicos[[#This Row],[Filtro URL]],Estructura!$X$4:$Y$366,2,0)</f>
        <v>#N/A</v>
      </c>
      <c r="X251" s="19" t="str">
        <f>+VLOOKUP(Ingresos_Historicos[[#This Row],[tema]],Estructura!$A$4:$C$18,3,0)</f>
        <v>T-306</v>
      </c>
      <c r="Y251" s="19" t="str">
        <f>+VLOOKUP(Ingresos_Historicos[[#This Row],[contenido]],Estructura!$E$4:$G$18,3,0)</f>
        <v>C-301</v>
      </c>
      <c r="Z251" s="19" t="str">
        <f>+VLOOKUP(Ingresos_Historicos[[#This Row],[Filtro Integrado]],Estructura!$M$4:$O$367,3,0)</f>
        <v>FI-303</v>
      </c>
      <c r="AA251" s="19" t="str">
        <f>+VLOOKUP(Ingresos_Historicos[[#This Row],[Muestra]],Estructura!$Q$4:$S$194,3,0)</f>
        <v>M-306</v>
      </c>
    </row>
    <row r="252" spans="1:27" ht="51" x14ac:dyDescent="0.3">
      <c r="A252" s="71" t="s">
        <v>638</v>
      </c>
      <c r="B252" s="12">
        <f t="shared" si="49"/>
        <v>300</v>
      </c>
      <c r="C252" s="13" t="str">
        <f t="shared" si="49"/>
        <v>Violencia contra la mujer</v>
      </c>
      <c r="D252" s="13" t="str">
        <f t="shared" si="49"/>
        <v>Mujeres</v>
      </c>
      <c r="E252" s="39">
        <v>59</v>
      </c>
      <c r="F252" s="13" t="str">
        <f t="shared" si="52"/>
        <v>Sentencias por delito de abuso sexual</v>
      </c>
      <c r="G252" s="55" t="str">
        <f t="shared" si="52"/>
        <v>Abuso Sexual</v>
      </c>
      <c r="H252" s="38" t="s">
        <v>17</v>
      </c>
      <c r="I252" s="37" t="s">
        <v>6074</v>
      </c>
      <c r="J252" s="12" t="s">
        <v>398</v>
      </c>
      <c r="K252" s="12" t="str">
        <f t="shared" si="50"/>
        <v>Sentencias Dictadas por Delitos de Abuso Sexual</v>
      </c>
      <c r="L252" s="12" t="str">
        <f t="shared" si="50"/>
        <v>Periodo 2013-2019</v>
      </c>
      <c r="M252" s="12" t="str">
        <f t="shared" si="50"/>
        <v>Número de sentencias</v>
      </c>
      <c r="N252" s="33" t="s">
        <v>5964</v>
      </c>
      <c r="O252" s="27" t="str">
        <f>"Sentencias Dictadas por Delitos de Abuso Sexual por Delito en el  Juzgado de Garantía de "&amp;[1]!Ingresos_Historicos[[#This Row],[territorio]]&amp;" para el Periodo 2013-2019"</f>
        <v>Sentencias Dictadas por Delitos de Abuso Sexual por Delito en el  Juzgado de Garantía de Región Metropolitana para el Periodo 2013-2019</v>
      </c>
      <c r="P25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Metropolitana para el Periodo 2013-2019 de acuerdo a datos provenientes del Poder Judicial de Chile.</v>
      </c>
      <c r="Q252" s="14" t="str">
        <f t="shared" si="51"/>
        <v>Gráfico de Evolución</v>
      </c>
      <c r="R252" s="77" t="s">
        <v>6075</v>
      </c>
      <c r="S252" s="15" t="s">
        <v>6629</v>
      </c>
      <c r="T252" s="65" t="s">
        <v>5917</v>
      </c>
      <c r="U252" s="24" t="s">
        <v>397</v>
      </c>
      <c r="V252" s="19" t="str">
        <f>+Ingresos_Historicos[[#This Row],[idcoleccion]]&amp;"-"&amp;Ingresos_Historicos[[#This Row],[id]]</f>
        <v>300-0242</v>
      </c>
      <c r="W252" s="19" t="e">
        <f>+VLOOKUP(Ingresos_Historicos[[#This Row],[Filtro URL]],Estructura!$X$4:$Y$366,2,0)</f>
        <v>#N/A</v>
      </c>
      <c r="X252" s="19" t="str">
        <f>+VLOOKUP(Ingresos_Historicos[[#This Row],[tema]],Estructura!$A$4:$C$18,3,0)</f>
        <v>T-306</v>
      </c>
      <c r="Y252" s="19" t="str">
        <f>+VLOOKUP(Ingresos_Historicos[[#This Row],[contenido]],Estructura!$E$4:$G$18,3,0)</f>
        <v>C-301</v>
      </c>
      <c r="Z252" s="19" t="str">
        <f>+VLOOKUP(Ingresos_Historicos[[#This Row],[Filtro Integrado]],Estructura!$M$4:$O$367,3,0)</f>
        <v>FI-303</v>
      </c>
      <c r="AA252" s="19" t="str">
        <f>+VLOOKUP(Ingresos_Historicos[[#This Row],[Muestra]],Estructura!$Q$4:$S$194,3,0)</f>
        <v>M-306</v>
      </c>
    </row>
    <row r="253" spans="1:27" ht="51" x14ac:dyDescent="0.3">
      <c r="A253" s="71" t="s">
        <v>639</v>
      </c>
      <c r="B253" s="12">
        <f t="shared" si="49"/>
        <v>300</v>
      </c>
      <c r="C253" s="13" t="str">
        <f t="shared" si="49"/>
        <v>Violencia contra la mujer</v>
      </c>
      <c r="D253" s="13" t="str">
        <f t="shared" si="49"/>
        <v>Mujeres</v>
      </c>
      <c r="E253" s="39">
        <v>60</v>
      </c>
      <c r="F253" s="13" t="str">
        <f t="shared" si="52"/>
        <v>Sentencias por delito de abuso sexual</v>
      </c>
      <c r="G253" s="55" t="str">
        <f t="shared" si="52"/>
        <v>Abuso Sexual</v>
      </c>
      <c r="H253" s="38" t="s">
        <v>17</v>
      </c>
      <c r="I253" s="37" t="s">
        <v>290</v>
      </c>
      <c r="J253" s="12" t="s">
        <v>398</v>
      </c>
      <c r="K253" s="12" t="str">
        <f t="shared" si="50"/>
        <v>Sentencias Dictadas por Delitos de Abuso Sexual</v>
      </c>
      <c r="L253" s="12" t="str">
        <f t="shared" si="50"/>
        <v>Periodo 2013-2019</v>
      </c>
      <c r="M253" s="12" t="str">
        <f t="shared" si="50"/>
        <v>Número de sentencias</v>
      </c>
      <c r="N253" s="33" t="s">
        <v>5964</v>
      </c>
      <c r="O253" s="27" t="str">
        <f>"Sentencias Dictadas por Delitos de Abuso Sexual por Delito en el  Juzgado de Garantía de "&amp;[1]!Ingresos_Historicos[[#This Row],[territorio]]&amp;" para el Periodo 2013-2019"</f>
        <v>Sentencias Dictadas por Delitos de Abuso Sexual por Delito en el  Juzgado de Garantía de Región de Los Ríos para el Periodo 2013-2019</v>
      </c>
      <c r="P25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Los Ríos para el Periodo 2013-2019 de acuerdo a datos provenientes del Poder Judicial de Chile.</v>
      </c>
      <c r="Q253" s="14" t="str">
        <f t="shared" si="51"/>
        <v>Gráfico de Evolución</v>
      </c>
      <c r="R253" s="77" t="s">
        <v>6076</v>
      </c>
      <c r="S253" s="15" t="s">
        <v>6630</v>
      </c>
      <c r="T253" s="65" t="s">
        <v>5918</v>
      </c>
      <c r="U253" s="24" t="s">
        <v>397</v>
      </c>
      <c r="V253" s="19" t="str">
        <f>+Ingresos_Historicos[[#This Row],[idcoleccion]]&amp;"-"&amp;Ingresos_Historicos[[#This Row],[id]]</f>
        <v>300-0243</v>
      </c>
      <c r="W253" s="19" t="e">
        <f>+VLOOKUP(Ingresos_Historicos[[#This Row],[Filtro URL]],Estructura!$X$4:$Y$366,2,0)</f>
        <v>#N/A</v>
      </c>
      <c r="X253" s="19" t="str">
        <f>+VLOOKUP(Ingresos_Historicos[[#This Row],[tema]],Estructura!$A$4:$C$18,3,0)</f>
        <v>T-306</v>
      </c>
      <c r="Y253" s="19" t="str">
        <f>+VLOOKUP(Ingresos_Historicos[[#This Row],[contenido]],Estructura!$E$4:$G$18,3,0)</f>
        <v>C-301</v>
      </c>
      <c r="Z253" s="19" t="str">
        <f>+VLOOKUP(Ingresos_Historicos[[#This Row],[Filtro Integrado]],Estructura!$M$4:$O$367,3,0)</f>
        <v>FI-303</v>
      </c>
      <c r="AA253" s="19" t="str">
        <f>+VLOOKUP(Ingresos_Historicos[[#This Row],[Muestra]],Estructura!$Q$4:$S$194,3,0)</f>
        <v>M-306</v>
      </c>
    </row>
    <row r="254" spans="1:27" ht="51" x14ac:dyDescent="0.3">
      <c r="A254" s="71" t="s">
        <v>640</v>
      </c>
      <c r="B254" s="12">
        <f t="shared" si="49"/>
        <v>300</v>
      </c>
      <c r="C254" s="13" t="str">
        <f t="shared" si="49"/>
        <v>Violencia contra la mujer</v>
      </c>
      <c r="D254" s="13" t="str">
        <f t="shared" si="49"/>
        <v>Mujeres</v>
      </c>
      <c r="E254" s="39">
        <v>61</v>
      </c>
      <c r="F254" s="13" t="str">
        <f t="shared" si="52"/>
        <v>Sentencias por delito de abuso sexual</v>
      </c>
      <c r="G254" s="55" t="str">
        <f t="shared" si="52"/>
        <v>Abuso Sexual</v>
      </c>
      <c r="H254" s="38" t="s">
        <v>17</v>
      </c>
      <c r="I254" s="37" t="s">
        <v>300</v>
      </c>
      <c r="J254" s="12" t="s">
        <v>398</v>
      </c>
      <c r="K254" s="12" t="str">
        <f t="shared" si="50"/>
        <v>Sentencias Dictadas por Delitos de Abuso Sexual</v>
      </c>
      <c r="L254" s="12" t="str">
        <f t="shared" si="50"/>
        <v>Periodo 2013-2019</v>
      </c>
      <c r="M254" s="12" t="str">
        <f t="shared" si="50"/>
        <v>Número de sentencias</v>
      </c>
      <c r="N254" s="33" t="s">
        <v>5964</v>
      </c>
      <c r="O254" s="27" t="str">
        <f>"Sentencias Dictadas por Delitos de Abuso Sexual por Delito en el 10° Juzgado de Garantía de "&amp;[1]!Ingresos_Historicos[[#This Row],[territorio]]&amp;" para el Periodo 2013-2019"</f>
        <v>Sentencias Dictadas por Delitos de Abuso Sexual por Delito en el 10° Juzgado de Garantía de Región de Arica y Parinacota para el Periodo 2013-2019</v>
      </c>
      <c r="P254" s="42" t="str">
        <f>"Gráfico que muestra la evolución anual de la frecuencia de Sentencias Dictadas por Delitos de Abuso Sexual por Delito en el 10°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10° Juzgado de Garantía de Región de Arica y Parinacota para el Periodo 2013-2019 de acuerdo a datos provenientes del Poder Judicial de Chile.</v>
      </c>
      <c r="Q254" s="14" t="str">
        <f t="shared" si="51"/>
        <v>Gráfico de Evolución</v>
      </c>
      <c r="R254" s="77" t="s">
        <v>6077</v>
      </c>
      <c r="S254" s="15" t="s">
        <v>6631</v>
      </c>
      <c r="T254" s="65" t="s">
        <v>5919</v>
      </c>
      <c r="U254" s="24" t="s">
        <v>397</v>
      </c>
      <c r="V254" s="19" t="str">
        <f>+Ingresos_Historicos[[#This Row],[idcoleccion]]&amp;"-"&amp;Ingresos_Historicos[[#This Row],[id]]</f>
        <v>300-0244</v>
      </c>
      <c r="W254" s="19" t="e">
        <f>+VLOOKUP(Ingresos_Historicos[[#This Row],[Filtro URL]],Estructura!$X$4:$Y$366,2,0)</f>
        <v>#N/A</v>
      </c>
      <c r="X254" s="19" t="str">
        <f>+VLOOKUP(Ingresos_Historicos[[#This Row],[tema]],Estructura!$A$4:$C$18,3,0)</f>
        <v>T-306</v>
      </c>
      <c r="Y254" s="19" t="str">
        <f>+VLOOKUP(Ingresos_Historicos[[#This Row],[contenido]],Estructura!$E$4:$G$18,3,0)</f>
        <v>C-301</v>
      </c>
      <c r="Z254" s="19" t="str">
        <f>+VLOOKUP(Ingresos_Historicos[[#This Row],[Filtro Integrado]],Estructura!$M$4:$O$367,3,0)</f>
        <v>FI-303</v>
      </c>
      <c r="AA254" s="19" t="str">
        <f>+VLOOKUP(Ingresos_Historicos[[#This Row],[Muestra]],Estructura!$Q$4:$S$194,3,0)</f>
        <v>M-306</v>
      </c>
    </row>
    <row r="255" spans="1:27" ht="51" x14ac:dyDescent="0.3">
      <c r="A255" s="71" t="s">
        <v>641</v>
      </c>
      <c r="B255" s="12">
        <f t="shared" ref="B255:D270" si="53">+B254</f>
        <v>300</v>
      </c>
      <c r="C255" s="13" t="str">
        <f t="shared" si="53"/>
        <v>Violencia contra la mujer</v>
      </c>
      <c r="D255" s="13" t="str">
        <f t="shared" si="53"/>
        <v>Mujeres</v>
      </c>
      <c r="E255" s="39">
        <v>62</v>
      </c>
      <c r="F255" s="13" t="str">
        <f t="shared" si="52"/>
        <v>Sentencias por delito de abuso sexual</v>
      </c>
      <c r="G255" s="55" t="str">
        <f t="shared" si="52"/>
        <v>Abuso Sexual</v>
      </c>
      <c r="H255" s="38" t="s">
        <v>17</v>
      </c>
      <c r="I255" s="37" t="s">
        <v>300</v>
      </c>
      <c r="J255" s="12" t="s">
        <v>398</v>
      </c>
      <c r="K255" s="12" t="str">
        <f t="shared" si="50"/>
        <v>Sentencias Dictadas por Delitos de Abuso Sexual</v>
      </c>
      <c r="L255" s="12" t="str">
        <f t="shared" si="50"/>
        <v>Periodo 2013-2019</v>
      </c>
      <c r="M255" s="12" t="str">
        <f t="shared" si="50"/>
        <v>Número de sentencias</v>
      </c>
      <c r="N255" s="33" t="s">
        <v>5964</v>
      </c>
      <c r="O255" s="27" t="str">
        <f>"Sentencias Dictadas por Delitos de Abuso Sexual por Delito en el 11° Juzgado de Garantía de "&amp;[1]!Ingresos_Historicos[[#This Row],[territorio]]&amp;" para el Periodo 2013-2019"</f>
        <v>Sentencias Dictadas por Delitos de Abuso Sexual por Delito en el 11° Juzgado de Garantía de Región de Ñuble para el Periodo 2013-2019</v>
      </c>
      <c r="P255" s="42" t="str">
        <f>"Gráfico que muestra la evolución anual de la frecuencia de Sentencias Dictadas por Delitos de Abuso Sexual por Delito en el 11°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11° Juzgado de Garantía de Región de Ñuble para el Periodo 2013-2019 de acuerdo a datos provenientes del Poder Judicial de Chile.</v>
      </c>
      <c r="Q255" s="14" t="str">
        <f t="shared" si="51"/>
        <v>Gráfico de Evolución</v>
      </c>
      <c r="R255" s="77" t="s">
        <v>6077</v>
      </c>
      <c r="S255" s="15" t="s">
        <v>6632</v>
      </c>
      <c r="T255" s="65" t="s">
        <v>5919</v>
      </c>
      <c r="U255" s="24" t="s">
        <v>397</v>
      </c>
      <c r="V255" s="19" t="str">
        <f>+Ingresos_Historicos[[#This Row],[idcoleccion]]&amp;"-"&amp;Ingresos_Historicos[[#This Row],[id]]</f>
        <v>300-0245</v>
      </c>
      <c r="W255" s="19" t="e">
        <f>+VLOOKUP(Ingresos_Historicos[[#This Row],[Filtro URL]],Estructura!$X$4:$Y$366,2,0)</f>
        <v>#N/A</v>
      </c>
      <c r="X255" s="19" t="str">
        <f>+VLOOKUP(Ingresos_Historicos[[#This Row],[tema]],Estructura!$A$4:$C$18,3,0)</f>
        <v>T-306</v>
      </c>
      <c r="Y255" s="19" t="str">
        <f>+VLOOKUP(Ingresos_Historicos[[#This Row],[contenido]],Estructura!$E$4:$G$18,3,0)</f>
        <v>C-301</v>
      </c>
      <c r="Z255" s="19" t="str">
        <f>+VLOOKUP(Ingresos_Historicos[[#This Row],[Filtro Integrado]],Estructura!$M$4:$O$367,3,0)</f>
        <v>FI-303</v>
      </c>
      <c r="AA255" s="19" t="str">
        <f>+VLOOKUP(Ingresos_Historicos[[#This Row],[Muestra]],Estructura!$Q$4:$S$194,3,0)</f>
        <v>M-306</v>
      </c>
    </row>
    <row r="256" spans="1:27" ht="51" x14ac:dyDescent="0.3">
      <c r="A256" s="71" t="s">
        <v>642</v>
      </c>
      <c r="B256" s="12">
        <f t="shared" si="53"/>
        <v>300</v>
      </c>
      <c r="C256" s="13" t="str">
        <f t="shared" si="53"/>
        <v>Violencia contra la mujer</v>
      </c>
      <c r="D256" s="13" t="str">
        <f t="shared" si="53"/>
        <v>Mujeres</v>
      </c>
      <c r="E256" s="39">
        <v>63</v>
      </c>
      <c r="F256" s="13" t="str">
        <f t="shared" si="52"/>
        <v>Sentencias por delito de abuso sexual</v>
      </c>
      <c r="G256" s="55" t="str">
        <f t="shared" si="52"/>
        <v>Abuso Sexual</v>
      </c>
      <c r="H256" s="38" t="s">
        <v>17</v>
      </c>
      <c r="I256" s="37" t="s">
        <v>300</v>
      </c>
      <c r="J256" s="12" t="s">
        <v>398</v>
      </c>
      <c r="K256" s="12" t="str">
        <f t="shared" ref="K256:M271" si="54">+K255</f>
        <v>Sentencias Dictadas por Delitos de Abuso Sexual</v>
      </c>
      <c r="L256" s="12" t="str">
        <f t="shared" si="54"/>
        <v>Periodo 2013-2019</v>
      </c>
      <c r="M256" s="12" t="str">
        <f t="shared" si="54"/>
        <v>Número de sentencias</v>
      </c>
      <c r="N256" s="33" t="s">
        <v>5964</v>
      </c>
      <c r="O256" s="27" t="str">
        <f>"Sentencias Dictadas por Delitos de Abuso Sexual por Delito en el 12° Juzgado de Garantía de "&amp;[1]!Ingresos_Historicos[[#This Row],[territorio]]&amp;" para el Periodo 2013-2019"</f>
        <v>Sentencias Dictadas por Delitos de Abuso Sexual por Delito en el 12° Juzgado de Garantía de Región de Tarapacá para el Periodo 2013-2019</v>
      </c>
      <c r="P256" s="42" t="str">
        <f>"Gráfico que muestra la evolución anual de la frecuencia de Sentencias Dictadas por Delitos de Abuso Sexual por Delito en el 12°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12° Juzgado de Garantía de Región de Tarapacá para el Periodo 2013-2019 de acuerdo a datos provenientes del Poder Judicial de Chile.</v>
      </c>
      <c r="Q256" s="14" t="str">
        <f t="shared" si="51"/>
        <v>Gráfico de Evolución</v>
      </c>
      <c r="R256" s="77" t="s">
        <v>6077</v>
      </c>
      <c r="S256" s="15" t="s">
        <v>6633</v>
      </c>
      <c r="T256" s="65" t="s">
        <v>5919</v>
      </c>
      <c r="U256" s="24" t="s">
        <v>397</v>
      </c>
      <c r="V256" s="19" t="str">
        <f>+Ingresos_Historicos[[#This Row],[idcoleccion]]&amp;"-"&amp;Ingresos_Historicos[[#This Row],[id]]</f>
        <v>300-0246</v>
      </c>
      <c r="W256" s="19" t="e">
        <f>+VLOOKUP(Ingresos_Historicos[[#This Row],[Filtro URL]],Estructura!$X$4:$Y$366,2,0)</f>
        <v>#N/A</v>
      </c>
      <c r="X256" s="19" t="str">
        <f>+VLOOKUP(Ingresos_Historicos[[#This Row],[tema]],Estructura!$A$4:$C$18,3,0)</f>
        <v>T-306</v>
      </c>
      <c r="Y256" s="19" t="str">
        <f>+VLOOKUP(Ingresos_Historicos[[#This Row],[contenido]],Estructura!$E$4:$G$18,3,0)</f>
        <v>C-301</v>
      </c>
      <c r="Z256" s="19" t="str">
        <f>+VLOOKUP(Ingresos_Historicos[[#This Row],[Filtro Integrado]],Estructura!$M$4:$O$367,3,0)</f>
        <v>FI-303</v>
      </c>
      <c r="AA256" s="19" t="str">
        <f>+VLOOKUP(Ingresos_Historicos[[#This Row],[Muestra]],Estructura!$Q$4:$S$194,3,0)</f>
        <v>M-306</v>
      </c>
    </row>
    <row r="257" spans="1:27" ht="51" x14ac:dyDescent="0.3">
      <c r="A257" s="71" t="s">
        <v>643</v>
      </c>
      <c r="B257" s="12">
        <f t="shared" si="53"/>
        <v>300</v>
      </c>
      <c r="C257" s="13" t="str">
        <f t="shared" si="53"/>
        <v>Violencia contra la mujer</v>
      </c>
      <c r="D257" s="13" t="str">
        <f t="shared" si="53"/>
        <v>Mujeres</v>
      </c>
      <c r="E257" s="39">
        <v>64</v>
      </c>
      <c r="F257" s="13" t="str">
        <f t="shared" ref="F257:G272" si="55">+F256</f>
        <v>Sentencias por delito de abuso sexual</v>
      </c>
      <c r="G257" s="55" t="str">
        <f t="shared" si="55"/>
        <v>Abuso Sexual</v>
      </c>
      <c r="H257" s="38" t="s">
        <v>17</v>
      </c>
      <c r="I257" s="37" t="s">
        <v>300</v>
      </c>
      <c r="J257" s="12" t="s">
        <v>398</v>
      </c>
      <c r="K257" s="12" t="str">
        <f t="shared" si="54"/>
        <v>Sentencias Dictadas por Delitos de Abuso Sexual</v>
      </c>
      <c r="L257" s="12" t="str">
        <f t="shared" si="54"/>
        <v>Periodo 2013-2019</v>
      </c>
      <c r="M257" s="12" t="str">
        <f t="shared" si="54"/>
        <v>Número de sentencias</v>
      </c>
      <c r="N257" s="33" t="s">
        <v>5964</v>
      </c>
      <c r="O257" s="27" t="str">
        <f>"Sentencias Dictadas por Delitos de Abuso Sexual por Delito en el 13° Juzgado de Garantía de "&amp;[1]!Ingresos_Historicos[[#This Row],[territorio]]&amp;" para el Periodo 2013-2019"</f>
        <v>Sentencias Dictadas por Delitos de Abuso Sexual por Delito en el 13° Juzgado de Garantía de Región de Antofagasta para el Periodo 2013-2019</v>
      </c>
      <c r="P257" s="42" t="str">
        <f>"Gráfico que muestra la evolución anual de la frecuencia de Sentencias Dictadas por Delitos de Abuso Sexual por Delito en el 13°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13° Juzgado de Garantía de Región de Antofagasta para el Periodo 2013-2019 de acuerdo a datos provenientes del Poder Judicial de Chile.</v>
      </c>
      <c r="Q257" s="14" t="str">
        <f t="shared" si="51"/>
        <v>Gráfico de Evolución</v>
      </c>
      <c r="R257" s="77" t="s">
        <v>6077</v>
      </c>
      <c r="S257" s="15" t="s">
        <v>6634</v>
      </c>
      <c r="T257" s="65" t="s">
        <v>5919</v>
      </c>
      <c r="U257" s="24" t="s">
        <v>397</v>
      </c>
      <c r="V257" s="19" t="str">
        <f>+Ingresos_Historicos[[#This Row],[idcoleccion]]&amp;"-"&amp;Ingresos_Historicos[[#This Row],[id]]</f>
        <v>300-0247</v>
      </c>
      <c r="W257" s="19" t="e">
        <f>+VLOOKUP(Ingresos_Historicos[[#This Row],[Filtro URL]],Estructura!$X$4:$Y$366,2,0)</f>
        <v>#N/A</v>
      </c>
      <c r="X257" s="19" t="str">
        <f>+VLOOKUP(Ingresos_Historicos[[#This Row],[tema]],Estructura!$A$4:$C$18,3,0)</f>
        <v>T-306</v>
      </c>
      <c r="Y257" s="19" t="str">
        <f>+VLOOKUP(Ingresos_Historicos[[#This Row],[contenido]],Estructura!$E$4:$G$18,3,0)</f>
        <v>C-301</v>
      </c>
      <c r="Z257" s="19" t="str">
        <f>+VLOOKUP(Ingresos_Historicos[[#This Row],[Filtro Integrado]],Estructura!$M$4:$O$367,3,0)</f>
        <v>FI-303</v>
      </c>
      <c r="AA257" s="19" t="str">
        <f>+VLOOKUP(Ingresos_Historicos[[#This Row],[Muestra]],Estructura!$Q$4:$S$194,3,0)</f>
        <v>M-306</v>
      </c>
    </row>
    <row r="258" spans="1:27" ht="51" x14ac:dyDescent="0.3">
      <c r="A258" s="71" t="s">
        <v>644</v>
      </c>
      <c r="B258" s="12">
        <f t="shared" si="53"/>
        <v>300</v>
      </c>
      <c r="C258" s="13" t="str">
        <f t="shared" si="53"/>
        <v>Violencia contra la mujer</v>
      </c>
      <c r="D258" s="13" t="str">
        <f t="shared" si="53"/>
        <v>Mujeres</v>
      </c>
      <c r="E258" s="39">
        <v>65</v>
      </c>
      <c r="F258" s="13" t="str">
        <f t="shared" si="55"/>
        <v>Sentencias por delito de abuso sexual</v>
      </c>
      <c r="G258" s="55" t="str">
        <f t="shared" si="55"/>
        <v>Abuso Sexual</v>
      </c>
      <c r="H258" s="38" t="s">
        <v>17</v>
      </c>
      <c r="I258" s="37" t="s">
        <v>300</v>
      </c>
      <c r="J258" s="12" t="s">
        <v>398</v>
      </c>
      <c r="K258" s="12" t="str">
        <f t="shared" si="54"/>
        <v>Sentencias Dictadas por Delitos de Abuso Sexual</v>
      </c>
      <c r="L258" s="12" t="str">
        <f t="shared" si="54"/>
        <v>Periodo 2013-2019</v>
      </c>
      <c r="M258" s="12" t="str">
        <f t="shared" si="54"/>
        <v>Número de sentencias</v>
      </c>
      <c r="N258" s="33" t="s">
        <v>5964</v>
      </c>
      <c r="O258" s="27" t="str">
        <f>"Sentencias Dictadas por Delitos de Abuso Sexual por Delito en el 14° Juzgado de Garantía de "&amp;[1]!Ingresos_Historicos[[#This Row],[territorio]]&amp;" para el Periodo 2013-2019"</f>
        <v>Sentencias Dictadas por Delitos de Abuso Sexual por Delito en el 14° Juzgado de Garantía de Región de Atacama para el Periodo 2013-2019</v>
      </c>
      <c r="P258" s="42" t="str">
        <f>"Gráfico que muestra la evolución anual de la frecuencia de Sentencias Dictadas por Delitos de Abuso Sexual por Delito en el 14°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14° Juzgado de Garantía de Región de Atacama para el Periodo 2013-2019 de acuerdo a datos provenientes del Poder Judicial de Chile.</v>
      </c>
      <c r="Q258" s="14" t="str">
        <f t="shared" si="51"/>
        <v>Gráfico de Evolución</v>
      </c>
      <c r="R258" s="77" t="s">
        <v>6077</v>
      </c>
      <c r="S258" s="15" t="s">
        <v>6635</v>
      </c>
      <c r="T258" s="65" t="s">
        <v>5919</v>
      </c>
      <c r="U258" s="24" t="s">
        <v>397</v>
      </c>
      <c r="V258" s="19" t="str">
        <f>+Ingresos_Historicos[[#This Row],[idcoleccion]]&amp;"-"&amp;Ingresos_Historicos[[#This Row],[id]]</f>
        <v>300-0248</v>
      </c>
      <c r="W258" s="19" t="e">
        <f>+VLOOKUP(Ingresos_Historicos[[#This Row],[Filtro URL]],Estructura!$X$4:$Y$366,2,0)</f>
        <v>#N/A</v>
      </c>
      <c r="X258" s="19" t="str">
        <f>+VLOOKUP(Ingresos_Historicos[[#This Row],[tema]],Estructura!$A$4:$C$18,3,0)</f>
        <v>T-306</v>
      </c>
      <c r="Y258" s="19" t="str">
        <f>+VLOOKUP(Ingresos_Historicos[[#This Row],[contenido]],Estructura!$E$4:$G$18,3,0)</f>
        <v>C-301</v>
      </c>
      <c r="Z258" s="19" t="str">
        <f>+VLOOKUP(Ingresos_Historicos[[#This Row],[Filtro Integrado]],Estructura!$M$4:$O$367,3,0)</f>
        <v>FI-303</v>
      </c>
      <c r="AA258" s="19" t="str">
        <f>+VLOOKUP(Ingresos_Historicos[[#This Row],[Muestra]],Estructura!$Q$4:$S$194,3,0)</f>
        <v>M-306</v>
      </c>
    </row>
    <row r="259" spans="1:27" ht="51" x14ac:dyDescent="0.3">
      <c r="A259" s="71" t="s">
        <v>645</v>
      </c>
      <c r="B259" s="12">
        <f t="shared" si="53"/>
        <v>300</v>
      </c>
      <c r="C259" s="13" t="str">
        <f t="shared" si="53"/>
        <v>Violencia contra la mujer</v>
      </c>
      <c r="D259" s="13" t="str">
        <f t="shared" si="53"/>
        <v>Mujeres</v>
      </c>
      <c r="E259" s="39">
        <v>66</v>
      </c>
      <c r="F259" s="13" t="str">
        <f t="shared" si="55"/>
        <v>Sentencias por delito de abuso sexual</v>
      </c>
      <c r="G259" s="55" t="str">
        <f t="shared" si="55"/>
        <v>Abuso Sexual</v>
      </c>
      <c r="H259" s="38" t="s">
        <v>17</v>
      </c>
      <c r="I259" s="37" t="s">
        <v>300</v>
      </c>
      <c r="J259" s="12" t="s">
        <v>398</v>
      </c>
      <c r="K259" s="12" t="str">
        <f t="shared" si="54"/>
        <v>Sentencias Dictadas por Delitos de Abuso Sexual</v>
      </c>
      <c r="L259" s="12" t="str">
        <f t="shared" si="54"/>
        <v>Periodo 2013-2019</v>
      </c>
      <c r="M259" s="12" t="str">
        <f t="shared" si="54"/>
        <v>Número de sentencias</v>
      </c>
      <c r="N259" s="33" t="s">
        <v>5964</v>
      </c>
      <c r="O259" s="27" t="str">
        <f>"Sentencias Dictadas por Delitos de Abuso Sexual por Delito en el 15° Juzgado de Garantía de "&amp;[1]!Ingresos_Historicos[[#This Row],[territorio]]&amp;" para el Periodo 2013-2019"</f>
        <v>Sentencias Dictadas por Delitos de Abuso Sexual por Delito en el 15° Juzgado de Garantía de Región de Coquimbo para el Periodo 2013-2019</v>
      </c>
      <c r="P259" s="42" t="str">
        <f>"Gráfico que muestra la evolución anual de la frecuencia de Sentencias Dictadas por Delitos de Abuso Sexual por Delito en el 15°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15° Juzgado de Garantía de Región de Coquimbo para el Periodo 2013-2019 de acuerdo a datos provenientes del Poder Judicial de Chile.</v>
      </c>
      <c r="Q259" s="14" t="str">
        <f t="shared" si="51"/>
        <v>Gráfico de Evolución</v>
      </c>
      <c r="R259" s="77" t="s">
        <v>6077</v>
      </c>
      <c r="S259" s="15" t="s">
        <v>6636</v>
      </c>
      <c r="T259" s="65" t="s">
        <v>5919</v>
      </c>
      <c r="U259" s="24" t="s">
        <v>397</v>
      </c>
      <c r="V259" s="19" t="str">
        <f>+Ingresos_Historicos[[#This Row],[idcoleccion]]&amp;"-"&amp;Ingresos_Historicos[[#This Row],[id]]</f>
        <v>300-0249</v>
      </c>
      <c r="W259" s="19" t="e">
        <f>+VLOOKUP(Ingresos_Historicos[[#This Row],[Filtro URL]],Estructura!$X$4:$Y$366,2,0)</f>
        <v>#N/A</v>
      </c>
      <c r="X259" s="19" t="str">
        <f>+VLOOKUP(Ingresos_Historicos[[#This Row],[tema]],Estructura!$A$4:$C$18,3,0)</f>
        <v>T-306</v>
      </c>
      <c r="Y259" s="19" t="str">
        <f>+VLOOKUP(Ingresos_Historicos[[#This Row],[contenido]],Estructura!$E$4:$G$18,3,0)</f>
        <v>C-301</v>
      </c>
      <c r="Z259" s="19" t="str">
        <f>+VLOOKUP(Ingresos_Historicos[[#This Row],[Filtro Integrado]],Estructura!$M$4:$O$367,3,0)</f>
        <v>FI-303</v>
      </c>
      <c r="AA259" s="19" t="str">
        <f>+VLOOKUP(Ingresos_Historicos[[#This Row],[Muestra]],Estructura!$Q$4:$S$194,3,0)</f>
        <v>M-306</v>
      </c>
    </row>
    <row r="260" spans="1:27" ht="51" x14ac:dyDescent="0.3">
      <c r="A260" s="71" t="s">
        <v>646</v>
      </c>
      <c r="B260" s="12">
        <f t="shared" si="53"/>
        <v>300</v>
      </c>
      <c r="C260" s="13" t="str">
        <f t="shared" si="53"/>
        <v>Violencia contra la mujer</v>
      </c>
      <c r="D260" s="13" t="str">
        <f t="shared" si="53"/>
        <v>Mujeres</v>
      </c>
      <c r="E260" s="39">
        <v>67</v>
      </c>
      <c r="F260" s="13" t="str">
        <f t="shared" si="55"/>
        <v>Sentencias por delito de abuso sexual</v>
      </c>
      <c r="G260" s="55" t="str">
        <f t="shared" si="55"/>
        <v>Abuso Sexual</v>
      </c>
      <c r="H260" s="38" t="s">
        <v>17</v>
      </c>
      <c r="I260" s="37" t="s">
        <v>300</v>
      </c>
      <c r="J260" s="12" t="s">
        <v>398</v>
      </c>
      <c r="K260" s="12" t="str">
        <f t="shared" si="54"/>
        <v>Sentencias Dictadas por Delitos de Abuso Sexual</v>
      </c>
      <c r="L260" s="12" t="str">
        <f t="shared" si="54"/>
        <v>Periodo 2013-2019</v>
      </c>
      <c r="M260" s="12" t="str">
        <f t="shared" si="54"/>
        <v>Número de sentencias</v>
      </c>
      <c r="N260" s="33" t="s">
        <v>5964</v>
      </c>
      <c r="O260" s="27" t="str">
        <f>"Sentencias Dictadas por Delitos de Abuso Sexual por Delito en el 1° Juzgado de Garantía de "&amp;[1]!Ingresos_Historicos[[#This Row],[territorio]]&amp;" para el Periodo 2013-2019"</f>
        <v>Sentencias Dictadas por Delitos de Abuso Sexual por Delito en el 1° Juzgado de Garantía de Región de Valparaíso para el Periodo 2013-2019</v>
      </c>
      <c r="P260" s="42" t="str">
        <f>"Gráfico que muestra la evolución anual de la frecuencia de Sentencias Dictadas por Delitos de Abuso Sexual por Delito en el 1°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1° Juzgado de Garantía de Región de Valparaíso para el Periodo 2013-2019 de acuerdo a datos provenientes del Poder Judicial de Chile.</v>
      </c>
      <c r="Q260" s="14" t="str">
        <f t="shared" si="51"/>
        <v>Gráfico de Evolución</v>
      </c>
      <c r="R260" s="77" t="s">
        <v>6077</v>
      </c>
      <c r="S260" s="15" t="s">
        <v>6637</v>
      </c>
      <c r="T260" s="65" t="s">
        <v>5919</v>
      </c>
      <c r="U260" s="24" t="s">
        <v>397</v>
      </c>
      <c r="V260" s="19" t="str">
        <f>+Ingresos_Historicos[[#This Row],[idcoleccion]]&amp;"-"&amp;Ingresos_Historicos[[#This Row],[id]]</f>
        <v>300-0250</v>
      </c>
      <c r="W260" s="19" t="e">
        <f>+VLOOKUP(Ingresos_Historicos[[#This Row],[Filtro URL]],Estructura!$X$4:$Y$366,2,0)</f>
        <v>#N/A</v>
      </c>
      <c r="X260" s="19" t="str">
        <f>+VLOOKUP(Ingresos_Historicos[[#This Row],[tema]],Estructura!$A$4:$C$18,3,0)</f>
        <v>T-306</v>
      </c>
      <c r="Y260" s="19" t="str">
        <f>+VLOOKUP(Ingresos_Historicos[[#This Row],[contenido]],Estructura!$E$4:$G$18,3,0)</f>
        <v>C-301</v>
      </c>
      <c r="Z260" s="19" t="str">
        <f>+VLOOKUP(Ingresos_Historicos[[#This Row],[Filtro Integrado]],Estructura!$M$4:$O$367,3,0)</f>
        <v>FI-303</v>
      </c>
      <c r="AA260" s="19" t="str">
        <f>+VLOOKUP(Ingresos_Historicos[[#This Row],[Muestra]],Estructura!$Q$4:$S$194,3,0)</f>
        <v>M-306</v>
      </c>
    </row>
    <row r="261" spans="1:27" ht="51" x14ac:dyDescent="0.3">
      <c r="A261" s="71" t="s">
        <v>647</v>
      </c>
      <c r="B261" s="12">
        <f t="shared" si="53"/>
        <v>300</v>
      </c>
      <c r="C261" s="13" t="str">
        <f t="shared" si="53"/>
        <v>Violencia contra la mujer</v>
      </c>
      <c r="D261" s="13" t="str">
        <f t="shared" si="53"/>
        <v>Mujeres</v>
      </c>
      <c r="E261" s="39">
        <v>68</v>
      </c>
      <c r="F261" s="13" t="str">
        <f t="shared" si="55"/>
        <v>Sentencias por delito de abuso sexual</v>
      </c>
      <c r="G261" s="55" t="str">
        <f t="shared" si="55"/>
        <v>Abuso Sexual</v>
      </c>
      <c r="H261" s="38" t="s">
        <v>17</v>
      </c>
      <c r="I261" s="37" t="s">
        <v>300</v>
      </c>
      <c r="J261" s="12" t="s">
        <v>398</v>
      </c>
      <c r="K261" s="12" t="str">
        <f t="shared" si="54"/>
        <v>Sentencias Dictadas por Delitos de Abuso Sexual</v>
      </c>
      <c r="L261" s="12" t="str">
        <f t="shared" si="54"/>
        <v>Periodo 2013-2019</v>
      </c>
      <c r="M261" s="12" t="str">
        <f t="shared" si="54"/>
        <v>Número de sentencias</v>
      </c>
      <c r="N261" s="33" t="s">
        <v>5964</v>
      </c>
      <c r="O261" s="27" t="str">
        <f>"Sentencias Dictadas por Delitos de Abuso Sexual por Delito en el 2° Juzgado de Garantía de "&amp;[1]!Ingresos_Historicos[[#This Row],[territorio]]&amp;" para el Periodo 2013-2019"</f>
        <v>Sentencias Dictadas por Delitos de Abuso Sexual por Delito en el 2° Juzgado de Garantía de Región de O'Higgins para el Periodo 2013-2019</v>
      </c>
      <c r="P261" s="42" t="str">
        <f>"Gráfico que muestra la evolución anual de la frecuencia de Sentencias Dictadas por Delitos de Abuso Sexual por Delito en el 2°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2° Juzgado de Garantía de Región de O'Higgins para el Periodo 2013-2019 de acuerdo a datos provenientes del Poder Judicial de Chile.</v>
      </c>
      <c r="Q261" s="14" t="str">
        <f t="shared" si="51"/>
        <v>Gráfico de Evolución</v>
      </c>
      <c r="R261" s="77" t="s">
        <v>6077</v>
      </c>
      <c r="S261" s="15" t="s">
        <v>6638</v>
      </c>
      <c r="T261" s="65" t="s">
        <v>5919</v>
      </c>
      <c r="U261" s="24" t="s">
        <v>397</v>
      </c>
      <c r="V261" s="19" t="str">
        <f>+Ingresos_Historicos[[#This Row],[idcoleccion]]&amp;"-"&amp;Ingresos_Historicos[[#This Row],[id]]</f>
        <v>300-0251</v>
      </c>
      <c r="W261" s="19" t="e">
        <f>+VLOOKUP(Ingresos_Historicos[[#This Row],[Filtro URL]],Estructura!$X$4:$Y$366,2,0)</f>
        <v>#N/A</v>
      </c>
      <c r="X261" s="19" t="str">
        <f>+VLOOKUP(Ingresos_Historicos[[#This Row],[tema]],Estructura!$A$4:$C$18,3,0)</f>
        <v>T-306</v>
      </c>
      <c r="Y261" s="19" t="str">
        <f>+VLOOKUP(Ingresos_Historicos[[#This Row],[contenido]],Estructura!$E$4:$G$18,3,0)</f>
        <v>C-301</v>
      </c>
      <c r="Z261" s="19" t="str">
        <f>+VLOOKUP(Ingresos_Historicos[[#This Row],[Filtro Integrado]],Estructura!$M$4:$O$367,3,0)</f>
        <v>FI-303</v>
      </c>
      <c r="AA261" s="19" t="str">
        <f>+VLOOKUP(Ingresos_Historicos[[#This Row],[Muestra]],Estructura!$Q$4:$S$194,3,0)</f>
        <v>M-306</v>
      </c>
    </row>
    <row r="262" spans="1:27" ht="51" x14ac:dyDescent="0.3">
      <c r="A262" s="71" t="s">
        <v>648</v>
      </c>
      <c r="B262" s="12">
        <f t="shared" si="53"/>
        <v>300</v>
      </c>
      <c r="C262" s="13" t="str">
        <f t="shared" si="53"/>
        <v>Violencia contra la mujer</v>
      </c>
      <c r="D262" s="13" t="str">
        <f t="shared" si="53"/>
        <v>Mujeres</v>
      </c>
      <c r="E262" s="39">
        <v>69</v>
      </c>
      <c r="F262" s="13" t="str">
        <f t="shared" si="55"/>
        <v>Sentencias por delito de abuso sexual</v>
      </c>
      <c r="G262" s="55" t="str">
        <f t="shared" si="55"/>
        <v>Abuso Sexual</v>
      </c>
      <c r="H262" s="38" t="s">
        <v>17</v>
      </c>
      <c r="I262" s="37" t="s">
        <v>300</v>
      </c>
      <c r="J262" s="12" t="s">
        <v>398</v>
      </c>
      <c r="K262" s="12" t="str">
        <f t="shared" si="54"/>
        <v>Sentencias Dictadas por Delitos de Abuso Sexual</v>
      </c>
      <c r="L262" s="12" t="str">
        <f t="shared" si="54"/>
        <v>Periodo 2013-2019</v>
      </c>
      <c r="M262" s="12" t="str">
        <f t="shared" si="54"/>
        <v>Número de sentencias</v>
      </c>
      <c r="N262" s="33" t="s">
        <v>5964</v>
      </c>
      <c r="O262" s="27" t="str">
        <f>"Sentencias Dictadas por Delitos de Abuso Sexual por Delito en el 3° Juzgado de Garantía de "&amp;[1]!Ingresos_Historicos[[#This Row],[territorio]]&amp;" para el Periodo 2013-2019"</f>
        <v>Sentencias Dictadas por Delitos de Abuso Sexual por Delito en el 3° Juzgado de Garantía de Región de Maule para el Periodo 2013-2019</v>
      </c>
      <c r="P262" s="42" t="str">
        <f>"Gráfico que muestra la evolución anual de la frecuencia de Sentencias Dictadas por Delitos de Abuso Sexual por Delito en el 3°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3° Juzgado de Garantía de Región de Maule para el Periodo 2013-2019 de acuerdo a datos provenientes del Poder Judicial de Chile.</v>
      </c>
      <c r="Q262" s="14" t="str">
        <f t="shared" si="51"/>
        <v>Gráfico de Evolución</v>
      </c>
      <c r="R262" s="77" t="s">
        <v>6077</v>
      </c>
      <c r="S262" s="15" t="s">
        <v>6639</v>
      </c>
      <c r="T262" s="65" t="s">
        <v>5919</v>
      </c>
      <c r="U262" s="24" t="s">
        <v>397</v>
      </c>
      <c r="V262" s="19" t="str">
        <f>+Ingresos_Historicos[[#This Row],[idcoleccion]]&amp;"-"&amp;Ingresos_Historicos[[#This Row],[id]]</f>
        <v>300-0252</v>
      </c>
      <c r="W262" s="19" t="e">
        <f>+VLOOKUP(Ingresos_Historicos[[#This Row],[Filtro URL]],Estructura!$X$4:$Y$366,2,0)</f>
        <v>#N/A</v>
      </c>
      <c r="X262" s="19" t="str">
        <f>+VLOOKUP(Ingresos_Historicos[[#This Row],[tema]],Estructura!$A$4:$C$18,3,0)</f>
        <v>T-306</v>
      </c>
      <c r="Y262" s="19" t="str">
        <f>+VLOOKUP(Ingresos_Historicos[[#This Row],[contenido]],Estructura!$E$4:$G$18,3,0)</f>
        <v>C-301</v>
      </c>
      <c r="Z262" s="19" t="str">
        <f>+VLOOKUP(Ingresos_Historicos[[#This Row],[Filtro Integrado]],Estructura!$M$4:$O$367,3,0)</f>
        <v>FI-303</v>
      </c>
      <c r="AA262" s="19" t="str">
        <f>+VLOOKUP(Ingresos_Historicos[[#This Row],[Muestra]],Estructura!$Q$4:$S$194,3,0)</f>
        <v>M-306</v>
      </c>
    </row>
    <row r="263" spans="1:27" ht="51" x14ac:dyDescent="0.3">
      <c r="A263" s="71" t="s">
        <v>649</v>
      </c>
      <c r="B263" s="12">
        <f t="shared" si="53"/>
        <v>300</v>
      </c>
      <c r="C263" s="13" t="str">
        <f t="shared" si="53"/>
        <v>Violencia contra la mujer</v>
      </c>
      <c r="D263" s="13" t="str">
        <f t="shared" si="53"/>
        <v>Mujeres</v>
      </c>
      <c r="E263" s="39">
        <v>70</v>
      </c>
      <c r="F263" s="13" t="str">
        <f t="shared" si="55"/>
        <v>Sentencias por delito de abuso sexual</v>
      </c>
      <c r="G263" s="55" t="str">
        <f t="shared" si="55"/>
        <v>Abuso Sexual</v>
      </c>
      <c r="H263" s="38" t="s">
        <v>17</v>
      </c>
      <c r="I263" s="37" t="s">
        <v>300</v>
      </c>
      <c r="J263" s="12" t="s">
        <v>398</v>
      </c>
      <c r="K263" s="12" t="str">
        <f t="shared" si="54"/>
        <v>Sentencias Dictadas por Delitos de Abuso Sexual</v>
      </c>
      <c r="L263" s="12" t="str">
        <f t="shared" si="54"/>
        <v>Periodo 2013-2019</v>
      </c>
      <c r="M263" s="12" t="str">
        <f t="shared" si="54"/>
        <v>Número de sentencias</v>
      </c>
      <c r="N263" s="33" t="s">
        <v>5964</v>
      </c>
      <c r="O263" s="27" t="str">
        <f>"Sentencias Dictadas por Delitos de Abuso Sexual por Delito en el 4° Juzgado de Garantía de "&amp;[1]!Ingresos_Historicos[[#This Row],[territorio]]&amp;" para el Periodo 2013-2019"</f>
        <v>Sentencias Dictadas por Delitos de Abuso Sexual por Delito en el 4° Juzgado de Garantía de Región del Biobío para el Periodo 2013-2019</v>
      </c>
      <c r="P263" s="42" t="str">
        <f>"Gráfico que muestra la evolución anual de la frecuencia de Sentencias Dictadas por Delitos de Abuso Sexual por Delito en el 4°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4° Juzgado de Garantía de Región del Biobío para el Periodo 2013-2019 de acuerdo a datos provenientes del Poder Judicial de Chile.</v>
      </c>
      <c r="Q263" s="14" t="str">
        <f t="shared" si="51"/>
        <v>Gráfico de Evolución</v>
      </c>
      <c r="R263" s="77" t="s">
        <v>6077</v>
      </c>
      <c r="S263" s="15" t="s">
        <v>6640</v>
      </c>
      <c r="T263" s="65" t="s">
        <v>5919</v>
      </c>
      <c r="U263" s="24" t="s">
        <v>397</v>
      </c>
      <c r="V263" s="19" t="str">
        <f>+Ingresos_Historicos[[#This Row],[idcoleccion]]&amp;"-"&amp;Ingresos_Historicos[[#This Row],[id]]</f>
        <v>300-0253</v>
      </c>
      <c r="W263" s="19" t="e">
        <f>+VLOOKUP(Ingresos_Historicos[[#This Row],[Filtro URL]],Estructura!$X$4:$Y$366,2,0)</f>
        <v>#N/A</v>
      </c>
      <c r="X263" s="19" t="str">
        <f>+VLOOKUP(Ingresos_Historicos[[#This Row],[tema]],Estructura!$A$4:$C$18,3,0)</f>
        <v>T-306</v>
      </c>
      <c r="Y263" s="19" t="str">
        <f>+VLOOKUP(Ingresos_Historicos[[#This Row],[contenido]],Estructura!$E$4:$G$18,3,0)</f>
        <v>C-301</v>
      </c>
      <c r="Z263" s="19" t="str">
        <f>+VLOOKUP(Ingresos_Historicos[[#This Row],[Filtro Integrado]],Estructura!$M$4:$O$367,3,0)</f>
        <v>FI-303</v>
      </c>
      <c r="AA263" s="19" t="str">
        <f>+VLOOKUP(Ingresos_Historicos[[#This Row],[Muestra]],Estructura!$Q$4:$S$194,3,0)</f>
        <v>M-306</v>
      </c>
    </row>
    <row r="264" spans="1:27" ht="51" x14ac:dyDescent="0.3">
      <c r="A264" s="71" t="s">
        <v>650</v>
      </c>
      <c r="B264" s="12">
        <f t="shared" si="53"/>
        <v>300</v>
      </c>
      <c r="C264" s="13" t="str">
        <f t="shared" si="53"/>
        <v>Violencia contra la mujer</v>
      </c>
      <c r="D264" s="13" t="str">
        <f t="shared" si="53"/>
        <v>Mujeres</v>
      </c>
      <c r="E264" s="39">
        <v>71</v>
      </c>
      <c r="F264" s="13" t="str">
        <f t="shared" si="55"/>
        <v>Sentencias por delito de abuso sexual</v>
      </c>
      <c r="G264" s="55" t="str">
        <f t="shared" si="55"/>
        <v>Abuso Sexual</v>
      </c>
      <c r="H264" s="38" t="s">
        <v>17</v>
      </c>
      <c r="I264" s="37" t="s">
        <v>300</v>
      </c>
      <c r="J264" s="12" t="s">
        <v>398</v>
      </c>
      <c r="K264" s="12" t="str">
        <f t="shared" si="54"/>
        <v>Sentencias Dictadas por Delitos de Abuso Sexual</v>
      </c>
      <c r="L264" s="12" t="str">
        <f t="shared" si="54"/>
        <v>Periodo 2013-2019</v>
      </c>
      <c r="M264" s="12" t="str">
        <f t="shared" si="54"/>
        <v>Número de sentencias</v>
      </c>
      <c r="N264" s="33" t="s">
        <v>5964</v>
      </c>
      <c r="O264" s="27" t="str">
        <f>"Sentencias Dictadas por Delitos de Abuso Sexual por Delito en el 5° Juzgado de Garantía de "&amp;[1]!Ingresos_Historicos[[#This Row],[territorio]]&amp;" para el Periodo 2013-2019"</f>
        <v>Sentencias Dictadas por Delitos de Abuso Sexual por Delito en el 5° Juzgado de Garantía de Región de La Araucanía para el Periodo 2013-2019</v>
      </c>
      <c r="P264" s="42" t="str">
        <f>"Gráfico que muestra la evolución anual de la frecuencia de Sentencias Dictadas por Delitos de Abuso Sexual por Delito en el 5°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5° Juzgado de Garantía de Región de La Araucanía para el Periodo 2013-2019 de acuerdo a datos provenientes del Poder Judicial de Chile.</v>
      </c>
      <c r="Q264" s="14" t="str">
        <f t="shared" si="51"/>
        <v>Gráfico de Evolución</v>
      </c>
      <c r="R264" s="77" t="s">
        <v>6077</v>
      </c>
      <c r="S264" s="15" t="s">
        <v>6641</v>
      </c>
      <c r="T264" s="65" t="s">
        <v>5919</v>
      </c>
      <c r="U264" s="24" t="s">
        <v>397</v>
      </c>
      <c r="V264" s="19" t="str">
        <f>+Ingresos_Historicos[[#This Row],[idcoleccion]]&amp;"-"&amp;Ingresos_Historicos[[#This Row],[id]]</f>
        <v>300-0254</v>
      </c>
      <c r="W264" s="19" t="e">
        <f>+VLOOKUP(Ingresos_Historicos[[#This Row],[Filtro URL]],Estructura!$X$4:$Y$366,2,0)</f>
        <v>#N/A</v>
      </c>
      <c r="X264" s="19" t="str">
        <f>+VLOOKUP(Ingresos_Historicos[[#This Row],[tema]],Estructura!$A$4:$C$18,3,0)</f>
        <v>T-306</v>
      </c>
      <c r="Y264" s="19" t="str">
        <f>+VLOOKUP(Ingresos_Historicos[[#This Row],[contenido]],Estructura!$E$4:$G$18,3,0)</f>
        <v>C-301</v>
      </c>
      <c r="Z264" s="19" t="str">
        <f>+VLOOKUP(Ingresos_Historicos[[#This Row],[Filtro Integrado]],Estructura!$M$4:$O$367,3,0)</f>
        <v>FI-303</v>
      </c>
      <c r="AA264" s="19" t="str">
        <f>+VLOOKUP(Ingresos_Historicos[[#This Row],[Muestra]],Estructura!$Q$4:$S$194,3,0)</f>
        <v>M-306</v>
      </c>
    </row>
    <row r="265" spans="1:27" ht="51" x14ac:dyDescent="0.3">
      <c r="A265" s="71" t="s">
        <v>651</v>
      </c>
      <c r="B265" s="12">
        <f t="shared" si="53"/>
        <v>300</v>
      </c>
      <c r="C265" s="13" t="str">
        <f t="shared" si="53"/>
        <v>Violencia contra la mujer</v>
      </c>
      <c r="D265" s="13" t="str">
        <f t="shared" si="53"/>
        <v>Mujeres</v>
      </c>
      <c r="E265" s="39">
        <v>72</v>
      </c>
      <c r="F265" s="13" t="str">
        <f t="shared" si="55"/>
        <v>Sentencias por delito de abuso sexual</v>
      </c>
      <c r="G265" s="55" t="str">
        <f t="shared" si="55"/>
        <v>Abuso Sexual</v>
      </c>
      <c r="H265" s="38" t="s">
        <v>17</v>
      </c>
      <c r="I265" s="37" t="s">
        <v>300</v>
      </c>
      <c r="J265" s="12" t="s">
        <v>398</v>
      </c>
      <c r="K265" s="12" t="str">
        <f t="shared" si="54"/>
        <v>Sentencias Dictadas por Delitos de Abuso Sexual</v>
      </c>
      <c r="L265" s="12" t="str">
        <f t="shared" si="54"/>
        <v>Periodo 2013-2019</v>
      </c>
      <c r="M265" s="12" t="str">
        <f t="shared" si="54"/>
        <v>Número de sentencias</v>
      </c>
      <c r="N265" s="33" t="s">
        <v>5964</v>
      </c>
      <c r="O265" s="27" t="str">
        <f>"Sentencias Dictadas por Delitos de Abuso Sexual por Delito en el 6° Juzgado de Garantía de "&amp;[1]!Ingresos_Historicos[[#This Row],[territorio]]&amp;" para el Periodo 2013-2019"</f>
        <v>Sentencias Dictadas por Delitos de Abuso Sexual por Delito en el 6° Juzgado de Garantía de Región de Los Lagos para el Periodo 2013-2019</v>
      </c>
      <c r="P265" s="42" t="str">
        <f>"Gráfico que muestra la evolución anual de la frecuencia de Sentencias Dictadas por Delitos de Abuso Sexual por Delito en el 6°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6° Juzgado de Garantía de Región de Los Lagos para el Periodo 2013-2019 de acuerdo a datos provenientes del Poder Judicial de Chile.</v>
      </c>
      <c r="Q265" s="14" t="str">
        <f t="shared" si="51"/>
        <v>Gráfico de Evolución</v>
      </c>
      <c r="R265" s="77" t="s">
        <v>6077</v>
      </c>
      <c r="S265" s="15" t="s">
        <v>6642</v>
      </c>
      <c r="T265" s="65" t="s">
        <v>5919</v>
      </c>
      <c r="U265" s="24" t="s">
        <v>397</v>
      </c>
      <c r="V265" s="19" t="str">
        <f>+Ingresos_Historicos[[#This Row],[idcoleccion]]&amp;"-"&amp;Ingresos_Historicos[[#This Row],[id]]</f>
        <v>300-0255</v>
      </c>
      <c r="W265" s="19" t="e">
        <f>+VLOOKUP(Ingresos_Historicos[[#This Row],[Filtro URL]],Estructura!$X$4:$Y$366,2,0)</f>
        <v>#N/A</v>
      </c>
      <c r="X265" s="19" t="str">
        <f>+VLOOKUP(Ingresos_Historicos[[#This Row],[tema]],Estructura!$A$4:$C$18,3,0)</f>
        <v>T-306</v>
      </c>
      <c r="Y265" s="19" t="str">
        <f>+VLOOKUP(Ingresos_Historicos[[#This Row],[contenido]],Estructura!$E$4:$G$18,3,0)</f>
        <v>C-301</v>
      </c>
      <c r="Z265" s="19" t="str">
        <f>+VLOOKUP(Ingresos_Historicos[[#This Row],[Filtro Integrado]],Estructura!$M$4:$O$367,3,0)</f>
        <v>FI-303</v>
      </c>
      <c r="AA265" s="19" t="str">
        <f>+VLOOKUP(Ingresos_Historicos[[#This Row],[Muestra]],Estructura!$Q$4:$S$194,3,0)</f>
        <v>M-306</v>
      </c>
    </row>
    <row r="266" spans="1:27" ht="51" x14ac:dyDescent="0.3">
      <c r="A266" s="71" t="s">
        <v>652</v>
      </c>
      <c r="B266" s="12">
        <f t="shared" si="53"/>
        <v>300</v>
      </c>
      <c r="C266" s="13" t="str">
        <f t="shared" si="53"/>
        <v>Violencia contra la mujer</v>
      </c>
      <c r="D266" s="13" t="str">
        <f t="shared" si="53"/>
        <v>Mujeres</v>
      </c>
      <c r="E266" s="39">
        <v>73</v>
      </c>
      <c r="F266" s="13" t="str">
        <f t="shared" si="55"/>
        <v>Sentencias por delito de abuso sexual</v>
      </c>
      <c r="G266" s="55" t="str">
        <f t="shared" si="55"/>
        <v>Abuso Sexual</v>
      </c>
      <c r="H266" s="38" t="s">
        <v>17</v>
      </c>
      <c r="I266" s="37" t="s">
        <v>300</v>
      </c>
      <c r="J266" s="12" t="s">
        <v>398</v>
      </c>
      <c r="K266" s="12" t="str">
        <f t="shared" si="54"/>
        <v>Sentencias Dictadas por Delitos de Abuso Sexual</v>
      </c>
      <c r="L266" s="12" t="str">
        <f t="shared" si="54"/>
        <v>Periodo 2013-2019</v>
      </c>
      <c r="M266" s="12" t="str">
        <f t="shared" si="54"/>
        <v>Número de sentencias</v>
      </c>
      <c r="N266" s="33" t="s">
        <v>5964</v>
      </c>
      <c r="O266" s="27" t="str">
        <f>"Sentencias Dictadas por Delitos de Abuso Sexual por Delito en el 7° Juzgado de Garantía de "&amp;[1]!Ingresos_Historicos[[#This Row],[territorio]]&amp;" para el Periodo 2013-2019"</f>
        <v>Sentencias Dictadas por Delitos de Abuso Sexual por Delito en el 7° Juzgado de Garantía de Región de Aysén para el Periodo 2013-2019</v>
      </c>
      <c r="P266" s="42" t="str">
        <f>"Gráfico que muestra la evolución anual de la frecuencia de Sentencias Dictadas por Delitos de Abuso Sexual por Delito en el 7°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7° Juzgado de Garantía de Región de Aysén para el Periodo 2013-2019 de acuerdo a datos provenientes del Poder Judicial de Chile.</v>
      </c>
      <c r="Q266" s="14" t="str">
        <f t="shared" si="51"/>
        <v>Gráfico de Evolución</v>
      </c>
      <c r="R266" s="77" t="s">
        <v>6077</v>
      </c>
      <c r="S266" s="15" t="s">
        <v>6643</v>
      </c>
      <c r="T266" s="65" t="s">
        <v>5919</v>
      </c>
      <c r="U266" s="24" t="s">
        <v>397</v>
      </c>
      <c r="V266" s="19" t="str">
        <f>+Ingresos_Historicos[[#This Row],[idcoleccion]]&amp;"-"&amp;Ingresos_Historicos[[#This Row],[id]]</f>
        <v>300-0256</v>
      </c>
      <c r="W266" s="19" t="e">
        <f>+VLOOKUP(Ingresos_Historicos[[#This Row],[Filtro URL]],Estructura!$X$4:$Y$366,2,0)</f>
        <v>#N/A</v>
      </c>
      <c r="X266" s="19" t="str">
        <f>+VLOOKUP(Ingresos_Historicos[[#This Row],[tema]],Estructura!$A$4:$C$18,3,0)</f>
        <v>T-306</v>
      </c>
      <c r="Y266" s="19" t="str">
        <f>+VLOOKUP(Ingresos_Historicos[[#This Row],[contenido]],Estructura!$E$4:$G$18,3,0)</f>
        <v>C-301</v>
      </c>
      <c r="Z266" s="19" t="str">
        <f>+VLOOKUP(Ingresos_Historicos[[#This Row],[Filtro Integrado]],Estructura!$M$4:$O$367,3,0)</f>
        <v>FI-303</v>
      </c>
      <c r="AA266" s="19" t="str">
        <f>+VLOOKUP(Ingresos_Historicos[[#This Row],[Muestra]],Estructura!$Q$4:$S$194,3,0)</f>
        <v>M-306</v>
      </c>
    </row>
    <row r="267" spans="1:27" ht="51" x14ac:dyDescent="0.3">
      <c r="A267" s="71" t="s">
        <v>653</v>
      </c>
      <c r="B267" s="12">
        <f t="shared" si="53"/>
        <v>300</v>
      </c>
      <c r="C267" s="13" t="str">
        <f t="shared" si="53"/>
        <v>Violencia contra la mujer</v>
      </c>
      <c r="D267" s="13" t="str">
        <f t="shared" si="53"/>
        <v>Mujeres</v>
      </c>
      <c r="E267" s="39">
        <v>74</v>
      </c>
      <c r="F267" s="13" t="str">
        <f t="shared" si="55"/>
        <v>Sentencias por delito de abuso sexual</v>
      </c>
      <c r="G267" s="55" t="str">
        <f t="shared" si="55"/>
        <v>Abuso Sexual</v>
      </c>
      <c r="H267" s="38" t="s">
        <v>17</v>
      </c>
      <c r="I267" s="37" t="s">
        <v>300</v>
      </c>
      <c r="J267" s="12" t="s">
        <v>398</v>
      </c>
      <c r="K267" s="12" t="str">
        <f t="shared" si="54"/>
        <v>Sentencias Dictadas por Delitos de Abuso Sexual</v>
      </c>
      <c r="L267" s="12" t="str">
        <f t="shared" si="54"/>
        <v>Periodo 2013-2019</v>
      </c>
      <c r="M267" s="12" t="str">
        <f t="shared" si="54"/>
        <v>Número de sentencias</v>
      </c>
      <c r="N267" s="33" t="s">
        <v>5964</v>
      </c>
      <c r="O267" s="27" t="str">
        <f>"Sentencias Dictadas por Delitos de Abuso Sexual por Delito en el 8° Juzgado de Garantía de "&amp;[1]!Ingresos_Historicos[[#This Row],[territorio]]&amp;" para el Periodo 2013-2019"</f>
        <v>Sentencias Dictadas por Delitos de Abuso Sexual por Delito en el 8° Juzgado de Garantía de Región de Magallanes para el Periodo 2013-2019</v>
      </c>
      <c r="P267" s="42" t="str">
        <f>"Gráfico que muestra la evolución anual de la frecuencia de Sentencias Dictadas por Delitos de Abuso Sexual por Delito en el 8°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8° Juzgado de Garantía de Región de Magallanes para el Periodo 2013-2019 de acuerdo a datos provenientes del Poder Judicial de Chile.</v>
      </c>
      <c r="Q267" s="14" t="str">
        <f t="shared" si="51"/>
        <v>Gráfico de Evolución</v>
      </c>
      <c r="R267" s="77" t="s">
        <v>6077</v>
      </c>
      <c r="S267" s="15" t="s">
        <v>6644</v>
      </c>
      <c r="T267" s="65" t="s">
        <v>5919</v>
      </c>
      <c r="U267" s="24" t="s">
        <v>397</v>
      </c>
      <c r="V267" s="19" t="str">
        <f>+Ingresos_Historicos[[#This Row],[idcoleccion]]&amp;"-"&amp;Ingresos_Historicos[[#This Row],[id]]</f>
        <v>300-0257</v>
      </c>
      <c r="W267" s="19" t="e">
        <f>+VLOOKUP(Ingresos_Historicos[[#This Row],[Filtro URL]],Estructura!$X$4:$Y$366,2,0)</f>
        <v>#N/A</v>
      </c>
      <c r="X267" s="19" t="str">
        <f>+VLOOKUP(Ingresos_Historicos[[#This Row],[tema]],Estructura!$A$4:$C$18,3,0)</f>
        <v>T-306</v>
      </c>
      <c r="Y267" s="19" t="str">
        <f>+VLOOKUP(Ingresos_Historicos[[#This Row],[contenido]],Estructura!$E$4:$G$18,3,0)</f>
        <v>C-301</v>
      </c>
      <c r="Z267" s="19" t="str">
        <f>+VLOOKUP(Ingresos_Historicos[[#This Row],[Filtro Integrado]],Estructura!$M$4:$O$367,3,0)</f>
        <v>FI-303</v>
      </c>
      <c r="AA267" s="19" t="str">
        <f>+VLOOKUP(Ingresos_Historicos[[#This Row],[Muestra]],Estructura!$Q$4:$S$194,3,0)</f>
        <v>M-306</v>
      </c>
    </row>
    <row r="268" spans="1:27" ht="51" x14ac:dyDescent="0.3">
      <c r="A268" s="71" t="s">
        <v>654</v>
      </c>
      <c r="B268" s="12">
        <f t="shared" si="53"/>
        <v>300</v>
      </c>
      <c r="C268" s="13" t="str">
        <f t="shared" si="53"/>
        <v>Violencia contra la mujer</v>
      </c>
      <c r="D268" s="13" t="str">
        <f t="shared" si="53"/>
        <v>Mujeres</v>
      </c>
      <c r="E268" s="39">
        <v>75</v>
      </c>
      <c r="F268" s="13" t="str">
        <f t="shared" si="55"/>
        <v>Sentencias por delito de abuso sexual</v>
      </c>
      <c r="G268" s="55" t="str">
        <f t="shared" si="55"/>
        <v>Abuso Sexual</v>
      </c>
      <c r="H268" s="38" t="s">
        <v>17</v>
      </c>
      <c r="I268" s="37" t="s">
        <v>300</v>
      </c>
      <c r="J268" s="12" t="s">
        <v>398</v>
      </c>
      <c r="K268" s="12" t="str">
        <f t="shared" si="54"/>
        <v>Sentencias Dictadas por Delitos de Abuso Sexual</v>
      </c>
      <c r="L268" s="12" t="str">
        <f t="shared" si="54"/>
        <v>Periodo 2013-2019</v>
      </c>
      <c r="M268" s="12" t="str">
        <f t="shared" si="54"/>
        <v>Número de sentencias</v>
      </c>
      <c r="N268" s="33" t="s">
        <v>5964</v>
      </c>
      <c r="O268" s="27" t="str">
        <f>"Sentencias Dictadas por Delitos de Abuso Sexual por Delito en el 9° Juzgado de Garantía de "&amp;[1]!Ingresos_Historicos[[#This Row],[territorio]]&amp;" para el Periodo 2013-2019"</f>
        <v>Sentencias Dictadas por Delitos de Abuso Sexual por Delito en el 9° Juzgado de Garantía de Región Metropolitana para el Periodo 2013-2019</v>
      </c>
      <c r="P268" s="42" t="str">
        <f>"Gráfico que muestra la evolución anual de la frecuencia de Sentencias Dictadas por Delitos de Abuso Sexual por Delito en el 9°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9° Juzgado de Garantía de Región Metropolitana para el Periodo 2013-2019 de acuerdo a datos provenientes del Poder Judicial de Chile.</v>
      </c>
      <c r="Q268" s="14" t="str">
        <f t="shared" si="51"/>
        <v>Gráfico de Evolución</v>
      </c>
      <c r="R268" s="77" t="s">
        <v>6077</v>
      </c>
      <c r="S268" s="15" t="s">
        <v>6645</v>
      </c>
      <c r="T268" s="65" t="s">
        <v>5919</v>
      </c>
      <c r="U268" s="24" t="s">
        <v>397</v>
      </c>
      <c r="V268" s="19" t="str">
        <f>+Ingresos_Historicos[[#This Row],[idcoleccion]]&amp;"-"&amp;Ingresos_Historicos[[#This Row],[id]]</f>
        <v>300-0258</v>
      </c>
      <c r="W268" s="19" t="e">
        <f>+VLOOKUP(Ingresos_Historicos[[#This Row],[Filtro URL]],Estructura!$X$4:$Y$366,2,0)</f>
        <v>#N/A</v>
      </c>
      <c r="X268" s="19" t="str">
        <f>+VLOOKUP(Ingresos_Historicos[[#This Row],[tema]],Estructura!$A$4:$C$18,3,0)</f>
        <v>T-306</v>
      </c>
      <c r="Y268" s="19" t="str">
        <f>+VLOOKUP(Ingresos_Historicos[[#This Row],[contenido]],Estructura!$E$4:$G$18,3,0)</f>
        <v>C-301</v>
      </c>
      <c r="Z268" s="19" t="str">
        <f>+VLOOKUP(Ingresos_Historicos[[#This Row],[Filtro Integrado]],Estructura!$M$4:$O$367,3,0)</f>
        <v>FI-303</v>
      </c>
      <c r="AA268" s="19" t="str">
        <f>+VLOOKUP(Ingresos_Historicos[[#This Row],[Muestra]],Estructura!$Q$4:$S$194,3,0)</f>
        <v>M-306</v>
      </c>
    </row>
    <row r="269" spans="1:27" ht="51" x14ac:dyDescent="0.3">
      <c r="A269" s="71" t="s">
        <v>655</v>
      </c>
      <c r="B269" s="12">
        <f t="shared" si="53"/>
        <v>300</v>
      </c>
      <c r="C269" s="13" t="str">
        <f t="shared" si="53"/>
        <v>Violencia contra la mujer</v>
      </c>
      <c r="D269" s="13" t="str">
        <f t="shared" si="53"/>
        <v>Mujeres</v>
      </c>
      <c r="E269" s="39">
        <v>76</v>
      </c>
      <c r="F269" s="13" t="str">
        <f t="shared" si="55"/>
        <v>Sentencias por delito de abuso sexual</v>
      </c>
      <c r="G269" s="55" t="str">
        <f t="shared" si="55"/>
        <v>Abuso Sexual</v>
      </c>
      <c r="H269" s="38" t="s">
        <v>17</v>
      </c>
      <c r="I269" s="37" t="s">
        <v>28</v>
      </c>
      <c r="J269" s="12" t="s">
        <v>398</v>
      </c>
      <c r="K269" s="12" t="str">
        <f t="shared" si="54"/>
        <v>Sentencias Dictadas por Delitos de Abuso Sexual</v>
      </c>
      <c r="L269" s="12" t="str">
        <f t="shared" si="54"/>
        <v>Periodo 2013-2019</v>
      </c>
      <c r="M269" s="12" t="str">
        <f t="shared" si="54"/>
        <v>Número de sentencias</v>
      </c>
      <c r="N269" s="33" t="s">
        <v>5964</v>
      </c>
      <c r="O269" s="27" t="str">
        <f>"Sentencias Dictadas por Delitos de Abuso Sexual por Delito en el Juzgado de Garantía de "&amp;[1]!Ingresos_Historicos[[#This Row],[territorio]]&amp;" para el Periodo 2013-2019"</f>
        <v>Sentencias Dictadas por Delitos de Abuso Sexual por Delito en el Juzgado de Garantía de Región de Los Ríos para el Periodo 2013-2019</v>
      </c>
      <c r="P269"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Los Ríos para el Periodo 2013-2019 de acuerdo a datos provenientes del Poder Judicial de Chile.</v>
      </c>
      <c r="Q269" s="14" t="str">
        <f t="shared" si="51"/>
        <v>Gráfico de Evolución</v>
      </c>
      <c r="R269" s="77" t="s">
        <v>6078</v>
      </c>
      <c r="S269" s="15" t="s">
        <v>6646</v>
      </c>
      <c r="T269" s="65" t="s">
        <v>5920</v>
      </c>
      <c r="U269" s="24" t="s">
        <v>397</v>
      </c>
      <c r="V269" s="19" t="str">
        <f>+Ingresos_Historicos[[#This Row],[idcoleccion]]&amp;"-"&amp;Ingresos_Historicos[[#This Row],[id]]</f>
        <v>300-0259</v>
      </c>
      <c r="W269" s="19" t="e">
        <f>+VLOOKUP(Ingresos_Historicos[[#This Row],[Filtro URL]],Estructura!$X$4:$Y$366,2,0)</f>
        <v>#N/A</v>
      </c>
      <c r="X269" s="19" t="str">
        <f>+VLOOKUP(Ingresos_Historicos[[#This Row],[tema]],Estructura!$A$4:$C$18,3,0)</f>
        <v>T-306</v>
      </c>
      <c r="Y269" s="19" t="str">
        <f>+VLOOKUP(Ingresos_Historicos[[#This Row],[contenido]],Estructura!$E$4:$G$18,3,0)</f>
        <v>C-301</v>
      </c>
      <c r="Z269" s="19" t="str">
        <f>+VLOOKUP(Ingresos_Historicos[[#This Row],[Filtro Integrado]],Estructura!$M$4:$O$367,3,0)</f>
        <v>FI-303</v>
      </c>
      <c r="AA269" s="19" t="str">
        <f>+VLOOKUP(Ingresos_Historicos[[#This Row],[Muestra]],Estructura!$Q$4:$S$194,3,0)</f>
        <v>M-306</v>
      </c>
    </row>
    <row r="270" spans="1:27" ht="51" x14ac:dyDescent="0.3">
      <c r="A270" s="71" t="s">
        <v>656</v>
      </c>
      <c r="B270" s="12">
        <f t="shared" si="53"/>
        <v>300</v>
      </c>
      <c r="C270" s="13" t="str">
        <f t="shared" si="53"/>
        <v>Violencia contra la mujer</v>
      </c>
      <c r="D270" s="13" t="str">
        <f t="shared" si="53"/>
        <v>Mujeres</v>
      </c>
      <c r="E270" s="39">
        <v>77</v>
      </c>
      <c r="F270" s="13" t="str">
        <f t="shared" si="55"/>
        <v>Sentencias por delito de abuso sexual</v>
      </c>
      <c r="G270" s="55" t="str">
        <f t="shared" si="55"/>
        <v>Abuso Sexual</v>
      </c>
      <c r="H270" s="38" t="s">
        <v>17</v>
      </c>
      <c r="I270" s="37" t="s">
        <v>355</v>
      </c>
      <c r="J270" s="12" t="s">
        <v>398</v>
      </c>
      <c r="K270" s="12" t="str">
        <f t="shared" si="54"/>
        <v>Sentencias Dictadas por Delitos de Abuso Sexual</v>
      </c>
      <c r="L270" s="12" t="str">
        <f t="shared" si="54"/>
        <v>Periodo 2013-2019</v>
      </c>
      <c r="M270" s="12" t="str">
        <f t="shared" si="54"/>
        <v>Número de sentencias</v>
      </c>
      <c r="N270" s="33" t="s">
        <v>5964</v>
      </c>
      <c r="O270" s="27" t="str">
        <f>"Sentencias Dictadas por Delitos de Abuso Sexual por Delito en el Juzgado de Garantía de "&amp;[1]!Ingresos_Historicos[[#This Row],[territorio]]&amp;" para el Periodo 2013-2019"</f>
        <v>Sentencias Dictadas por Delitos de Abuso Sexual por Delito en el Juzgado de Garantía de Región de Arica y Parinacota para el Periodo 2013-2019</v>
      </c>
      <c r="P270"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Arica y Parinacota para el Periodo 2013-2019 de acuerdo a datos provenientes del Poder Judicial de Chile.</v>
      </c>
      <c r="Q270" s="14" t="str">
        <f t="shared" si="51"/>
        <v>Gráfico de Evolución</v>
      </c>
      <c r="R270" s="77" t="s">
        <v>6079</v>
      </c>
      <c r="S270" s="15" t="s">
        <v>6647</v>
      </c>
      <c r="T270" s="65" t="s">
        <v>5920</v>
      </c>
      <c r="U270" s="24" t="s">
        <v>397</v>
      </c>
      <c r="V270" s="19" t="str">
        <f>+Ingresos_Historicos[[#This Row],[idcoleccion]]&amp;"-"&amp;Ingresos_Historicos[[#This Row],[id]]</f>
        <v>300-0260</v>
      </c>
      <c r="W270" s="19" t="e">
        <f>+VLOOKUP(Ingresos_Historicos[[#This Row],[Filtro URL]],Estructura!$X$4:$Y$366,2,0)</f>
        <v>#N/A</v>
      </c>
      <c r="X270" s="19" t="str">
        <f>+VLOOKUP(Ingresos_Historicos[[#This Row],[tema]],Estructura!$A$4:$C$18,3,0)</f>
        <v>T-306</v>
      </c>
      <c r="Y270" s="19" t="str">
        <f>+VLOOKUP(Ingresos_Historicos[[#This Row],[contenido]],Estructura!$E$4:$G$18,3,0)</f>
        <v>C-301</v>
      </c>
      <c r="Z270" s="19" t="str">
        <f>+VLOOKUP(Ingresos_Historicos[[#This Row],[Filtro Integrado]],Estructura!$M$4:$O$367,3,0)</f>
        <v>FI-303</v>
      </c>
      <c r="AA270" s="19" t="str">
        <f>+VLOOKUP(Ingresos_Historicos[[#This Row],[Muestra]],Estructura!$Q$4:$S$194,3,0)</f>
        <v>M-306</v>
      </c>
    </row>
    <row r="271" spans="1:27" ht="51" x14ac:dyDescent="0.3">
      <c r="A271" s="71" t="s">
        <v>657</v>
      </c>
      <c r="B271" s="12">
        <f t="shared" ref="B271:D286" si="56">+B270</f>
        <v>300</v>
      </c>
      <c r="C271" s="13" t="str">
        <f t="shared" si="56"/>
        <v>Violencia contra la mujer</v>
      </c>
      <c r="D271" s="13" t="str">
        <f t="shared" si="56"/>
        <v>Mujeres</v>
      </c>
      <c r="E271" s="39">
        <v>78</v>
      </c>
      <c r="F271" s="13" t="str">
        <f t="shared" si="55"/>
        <v>Sentencias por delito de abuso sexual</v>
      </c>
      <c r="G271" s="55" t="str">
        <f t="shared" si="55"/>
        <v>Abuso Sexual</v>
      </c>
      <c r="H271" s="38" t="s">
        <v>17</v>
      </c>
      <c r="I271" s="37" t="s">
        <v>351</v>
      </c>
      <c r="J271" s="12" t="s">
        <v>398</v>
      </c>
      <c r="K271" s="12" t="str">
        <f t="shared" si="54"/>
        <v>Sentencias Dictadas por Delitos de Abuso Sexual</v>
      </c>
      <c r="L271" s="12" t="str">
        <f t="shared" si="54"/>
        <v>Periodo 2013-2019</v>
      </c>
      <c r="M271" s="12" t="str">
        <f t="shared" si="54"/>
        <v>Número de sentencias</v>
      </c>
      <c r="N271" s="33" t="s">
        <v>5964</v>
      </c>
      <c r="O271" s="27" t="str">
        <f>"Sentencias Dictadas por Delitos de Abuso Sexual por Delito en el Juzgado de Garantía de "&amp;[1]!Ingresos_Historicos[[#This Row],[territorio]]&amp;" para el Periodo 2013-2019"</f>
        <v>Sentencias Dictadas por Delitos de Abuso Sexual por Delito en el Juzgado de Garantía de Región de Ñuble para el Periodo 2013-2019</v>
      </c>
      <c r="P271"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Ñuble para el Periodo 2013-2019 de acuerdo a datos provenientes del Poder Judicial de Chile.</v>
      </c>
      <c r="Q271" s="14" t="str">
        <f t="shared" si="51"/>
        <v>Gráfico de Evolución</v>
      </c>
      <c r="R271" s="77" t="s">
        <v>6080</v>
      </c>
      <c r="S271" s="15" t="s">
        <v>6648</v>
      </c>
      <c r="T271" s="65" t="s">
        <v>5920</v>
      </c>
      <c r="U271" s="24" t="s">
        <v>397</v>
      </c>
      <c r="V271" s="19" t="str">
        <f>+Ingresos_Historicos[[#This Row],[idcoleccion]]&amp;"-"&amp;Ingresos_Historicos[[#This Row],[id]]</f>
        <v>300-0261</v>
      </c>
      <c r="W271" s="19" t="e">
        <f>+VLOOKUP(Ingresos_Historicos[[#This Row],[Filtro URL]],Estructura!$X$4:$Y$366,2,0)</f>
        <v>#N/A</v>
      </c>
      <c r="X271" s="19" t="str">
        <f>+VLOOKUP(Ingresos_Historicos[[#This Row],[tema]],Estructura!$A$4:$C$18,3,0)</f>
        <v>T-306</v>
      </c>
      <c r="Y271" s="19" t="str">
        <f>+VLOOKUP(Ingresos_Historicos[[#This Row],[contenido]],Estructura!$E$4:$G$18,3,0)</f>
        <v>C-301</v>
      </c>
      <c r="Z271" s="19" t="str">
        <f>+VLOOKUP(Ingresos_Historicos[[#This Row],[Filtro Integrado]],Estructura!$M$4:$O$367,3,0)</f>
        <v>FI-303</v>
      </c>
      <c r="AA271" s="19" t="str">
        <f>+VLOOKUP(Ingresos_Historicos[[#This Row],[Muestra]],Estructura!$Q$4:$S$194,3,0)</f>
        <v>M-306</v>
      </c>
    </row>
    <row r="272" spans="1:27" ht="51" x14ac:dyDescent="0.3">
      <c r="A272" s="71" t="s">
        <v>658</v>
      </c>
      <c r="B272" s="12">
        <f t="shared" si="56"/>
        <v>300</v>
      </c>
      <c r="C272" s="13" t="str">
        <f t="shared" si="56"/>
        <v>Violencia contra la mujer</v>
      </c>
      <c r="D272" s="13" t="str">
        <f t="shared" si="56"/>
        <v>Mujeres</v>
      </c>
      <c r="E272" s="39">
        <v>79</v>
      </c>
      <c r="F272" s="13" t="str">
        <f t="shared" si="55"/>
        <v>Sentencias por delito de abuso sexual</v>
      </c>
      <c r="G272" s="55" t="str">
        <f t="shared" si="55"/>
        <v>Abuso Sexual</v>
      </c>
      <c r="H272" s="38" t="s">
        <v>17</v>
      </c>
      <c r="I272" s="37" t="s">
        <v>362</v>
      </c>
      <c r="J272" s="12" t="s">
        <v>398</v>
      </c>
      <c r="K272" s="12" t="str">
        <f t="shared" ref="K272:M287" si="57">+K271</f>
        <v>Sentencias Dictadas por Delitos de Abuso Sexual</v>
      </c>
      <c r="L272" s="12" t="str">
        <f t="shared" si="57"/>
        <v>Periodo 2013-2019</v>
      </c>
      <c r="M272" s="12" t="str">
        <f t="shared" si="57"/>
        <v>Número de sentencias</v>
      </c>
      <c r="N272" s="33" t="s">
        <v>5964</v>
      </c>
      <c r="O272" s="27" t="str">
        <f>"Sentencias Dictadas por Delitos de Abuso Sexual por Delito en el Juzgado de Garantía de "&amp;[1]!Ingresos_Historicos[[#This Row],[territorio]]&amp;" para el Periodo 2013-2019"</f>
        <v>Sentencias Dictadas por Delitos de Abuso Sexual por Delito en el Juzgado de Garantía de Región de Tarapacá para el Periodo 2013-2019</v>
      </c>
      <c r="P272"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Tarapacá para el Periodo 2013-2019 de acuerdo a datos provenientes del Poder Judicial de Chile.</v>
      </c>
      <c r="Q272" s="14" t="str">
        <f t="shared" si="51"/>
        <v>Gráfico de Evolución</v>
      </c>
      <c r="R272" s="77" t="s">
        <v>6081</v>
      </c>
      <c r="S272" s="15" t="s">
        <v>6649</v>
      </c>
      <c r="T272" s="65" t="s">
        <v>5921</v>
      </c>
      <c r="U272" s="24" t="s">
        <v>397</v>
      </c>
      <c r="V272" s="19" t="str">
        <f>+Ingresos_Historicos[[#This Row],[idcoleccion]]&amp;"-"&amp;Ingresos_Historicos[[#This Row],[id]]</f>
        <v>300-0262</v>
      </c>
      <c r="W272" s="19" t="e">
        <f>+VLOOKUP(Ingresos_Historicos[[#This Row],[Filtro URL]],Estructura!$X$4:$Y$366,2,0)</f>
        <v>#N/A</v>
      </c>
      <c r="X272" s="19" t="str">
        <f>+VLOOKUP(Ingresos_Historicos[[#This Row],[tema]],Estructura!$A$4:$C$18,3,0)</f>
        <v>T-306</v>
      </c>
      <c r="Y272" s="19" t="str">
        <f>+VLOOKUP(Ingresos_Historicos[[#This Row],[contenido]],Estructura!$E$4:$G$18,3,0)</f>
        <v>C-301</v>
      </c>
      <c r="Z272" s="19" t="str">
        <f>+VLOOKUP(Ingresos_Historicos[[#This Row],[Filtro Integrado]],Estructura!$M$4:$O$367,3,0)</f>
        <v>FI-303</v>
      </c>
      <c r="AA272" s="19" t="str">
        <f>+VLOOKUP(Ingresos_Historicos[[#This Row],[Muestra]],Estructura!$Q$4:$S$194,3,0)</f>
        <v>M-306</v>
      </c>
    </row>
    <row r="273" spans="1:27" ht="51" x14ac:dyDescent="0.3">
      <c r="A273" s="71" t="s">
        <v>659</v>
      </c>
      <c r="B273" s="12">
        <f t="shared" si="56"/>
        <v>300</v>
      </c>
      <c r="C273" s="13" t="str">
        <f t="shared" si="56"/>
        <v>Violencia contra la mujer</v>
      </c>
      <c r="D273" s="13" t="str">
        <f t="shared" si="56"/>
        <v>Mujeres</v>
      </c>
      <c r="E273" s="39">
        <v>80</v>
      </c>
      <c r="F273" s="13" t="str">
        <f t="shared" ref="F273:G288" si="58">+F272</f>
        <v>Sentencias por delito de abuso sexual</v>
      </c>
      <c r="G273" s="55" t="str">
        <f t="shared" si="58"/>
        <v>Abuso Sexual</v>
      </c>
      <c r="H273" s="38" t="s">
        <v>17</v>
      </c>
      <c r="I273" s="37" t="s">
        <v>6082</v>
      </c>
      <c r="J273" s="12" t="s">
        <v>398</v>
      </c>
      <c r="K273" s="12" t="str">
        <f t="shared" si="57"/>
        <v>Sentencias Dictadas por Delitos de Abuso Sexual</v>
      </c>
      <c r="L273" s="12" t="str">
        <f t="shared" si="57"/>
        <v>Periodo 2013-2019</v>
      </c>
      <c r="M273" s="12" t="str">
        <f t="shared" si="57"/>
        <v>Número de sentencias</v>
      </c>
      <c r="N273" s="33" t="s">
        <v>5964</v>
      </c>
      <c r="O273" s="27" t="str">
        <f>"Sentencias Dictadas por Delitos de Abuso Sexual por Delito en el Juzgado de Garantía de "&amp;[1]!Ingresos_Historicos[[#This Row],[territorio]]&amp;" para el Periodo 2013-2019"</f>
        <v>Sentencias Dictadas por Delitos de Abuso Sexual por Delito en el Juzgado de Garantía de Región de Antofagasta para el Periodo 2013-2019</v>
      </c>
      <c r="P273"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Antofagasta para el Periodo 2013-2019 de acuerdo a datos provenientes del Poder Judicial de Chile.</v>
      </c>
      <c r="Q273" s="14" t="str">
        <f t="shared" si="51"/>
        <v>Gráfico de Evolución</v>
      </c>
      <c r="R273" s="77" t="s">
        <v>6083</v>
      </c>
      <c r="S273" s="15" t="s">
        <v>6650</v>
      </c>
      <c r="T273" s="65" t="s">
        <v>5958</v>
      </c>
      <c r="U273" s="24" t="s">
        <v>397</v>
      </c>
      <c r="V273" s="19" t="str">
        <f>+Ingresos_Historicos[[#This Row],[idcoleccion]]&amp;"-"&amp;Ingresos_Historicos[[#This Row],[id]]</f>
        <v>300-0263</v>
      </c>
      <c r="W273" s="19" t="e">
        <f>+VLOOKUP(Ingresos_Historicos[[#This Row],[Filtro URL]],Estructura!$X$4:$Y$366,2,0)</f>
        <v>#N/A</v>
      </c>
      <c r="X273" s="19" t="str">
        <f>+VLOOKUP(Ingresos_Historicos[[#This Row],[tema]],Estructura!$A$4:$C$18,3,0)</f>
        <v>T-306</v>
      </c>
      <c r="Y273" s="19" t="str">
        <f>+VLOOKUP(Ingresos_Historicos[[#This Row],[contenido]],Estructura!$E$4:$G$18,3,0)</f>
        <v>C-301</v>
      </c>
      <c r="Z273" s="19" t="str">
        <f>+VLOOKUP(Ingresos_Historicos[[#This Row],[Filtro Integrado]],Estructura!$M$4:$O$367,3,0)</f>
        <v>FI-303</v>
      </c>
      <c r="AA273" s="19" t="str">
        <f>+VLOOKUP(Ingresos_Historicos[[#This Row],[Muestra]],Estructura!$Q$4:$S$194,3,0)</f>
        <v>M-306</v>
      </c>
    </row>
    <row r="274" spans="1:27" ht="51" x14ac:dyDescent="0.3">
      <c r="A274" s="71" t="s">
        <v>660</v>
      </c>
      <c r="B274" s="12">
        <f t="shared" si="56"/>
        <v>300</v>
      </c>
      <c r="C274" s="13" t="str">
        <f t="shared" si="56"/>
        <v>Violencia contra la mujer</v>
      </c>
      <c r="D274" s="13" t="str">
        <f t="shared" si="56"/>
        <v>Mujeres</v>
      </c>
      <c r="E274" s="39">
        <v>81</v>
      </c>
      <c r="F274" s="13" t="str">
        <f t="shared" si="58"/>
        <v>Sentencias por delito de abuso sexual</v>
      </c>
      <c r="G274" s="55" t="str">
        <f t="shared" si="58"/>
        <v>Abuso Sexual</v>
      </c>
      <c r="H274" s="38" t="s">
        <v>17</v>
      </c>
      <c r="I274" s="37" t="s">
        <v>213</v>
      </c>
      <c r="J274" s="12" t="s">
        <v>398</v>
      </c>
      <c r="K274" s="12" t="str">
        <f t="shared" si="57"/>
        <v>Sentencias Dictadas por Delitos de Abuso Sexual</v>
      </c>
      <c r="L274" s="12" t="str">
        <f t="shared" si="57"/>
        <v>Periodo 2013-2019</v>
      </c>
      <c r="M274" s="12" t="str">
        <f t="shared" si="57"/>
        <v>Número de sentencias</v>
      </c>
      <c r="N274" s="33" t="s">
        <v>5964</v>
      </c>
      <c r="O274" s="27" t="str">
        <f>"Sentencias Dictadas por Delitos de Abuso Sexual por Delito en el Juzgado de Garantía de "&amp;[1]!Ingresos_Historicos[[#This Row],[territorio]]&amp;" para el Periodo 2013-2019"</f>
        <v>Sentencias Dictadas por Delitos de Abuso Sexual por Delito en el Juzgado de Garantía de Región de Atacama para el Periodo 2013-2019</v>
      </c>
      <c r="P274"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Atacama para el Periodo 2013-2019 de acuerdo a datos provenientes del Poder Judicial de Chile.</v>
      </c>
      <c r="Q274" s="14" t="str">
        <f t="shared" si="51"/>
        <v>Gráfico de Evolución</v>
      </c>
      <c r="R274" s="77" t="s">
        <v>6084</v>
      </c>
      <c r="S274" s="15" t="s">
        <v>6651</v>
      </c>
      <c r="T274" s="65" t="s">
        <v>5958</v>
      </c>
      <c r="U274" s="24" t="s">
        <v>397</v>
      </c>
      <c r="V274" s="19" t="str">
        <f>+Ingresos_Historicos[[#This Row],[idcoleccion]]&amp;"-"&amp;Ingresos_Historicos[[#This Row],[id]]</f>
        <v>300-0264</v>
      </c>
      <c r="W274" s="19" t="e">
        <f>+VLOOKUP(Ingresos_Historicos[[#This Row],[Filtro URL]],Estructura!$X$4:$Y$366,2,0)</f>
        <v>#N/A</v>
      </c>
      <c r="X274" s="19" t="str">
        <f>+VLOOKUP(Ingresos_Historicos[[#This Row],[tema]],Estructura!$A$4:$C$18,3,0)</f>
        <v>T-306</v>
      </c>
      <c r="Y274" s="19" t="str">
        <f>+VLOOKUP(Ingresos_Historicos[[#This Row],[contenido]],Estructura!$E$4:$G$18,3,0)</f>
        <v>C-301</v>
      </c>
      <c r="Z274" s="19" t="str">
        <f>+VLOOKUP(Ingresos_Historicos[[#This Row],[Filtro Integrado]],Estructura!$M$4:$O$367,3,0)</f>
        <v>FI-303</v>
      </c>
      <c r="AA274" s="19" t="str">
        <f>+VLOOKUP(Ingresos_Historicos[[#This Row],[Muestra]],Estructura!$Q$4:$S$194,3,0)</f>
        <v>M-306</v>
      </c>
    </row>
    <row r="275" spans="1:27" ht="51" x14ac:dyDescent="0.3">
      <c r="A275" s="71" t="s">
        <v>661</v>
      </c>
      <c r="B275" s="12">
        <f t="shared" si="56"/>
        <v>300</v>
      </c>
      <c r="C275" s="13" t="str">
        <f t="shared" si="56"/>
        <v>Violencia contra la mujer</v>
      </c>
      <c r="D275" s="13" t="str">
        <f t="shared" si="56"/>
        <v>Mujeres</v>
      </c>
      <c r="E275" s="39">
        <v>82</v>
      </c>
      <c r="F275" s="13" t="str">
        <f t="shared" si="58"/>
        <v>Sentencias por delito de abuso sexual</v>
      </c>
      <c r="G275" s="55" t="str">
        <f t="shared" si="58"/>
        <v>Abuso Sexual</v>
      </c>
      <c r="H275" s="38" t="s">
        <v>17</v>
      </c>
      <c r="I275" s="37" t="s">
        <v>218</v>
      </c>
      <c r="J275" s="12" t="s">
        <v>398</v>
      </c>
      <c r="K275" s="12" t="str">
        <f t="shared" si="57"/>
        <v>Sentencias Dictadas por Delitos de Abuso Sexual</v>
      </c>
      <c r="L275" s="12" t="str">
        <f t="shared" si="57"/>
        <v>Periodo 2013-2019</v>
      </c>
      <c r="M275" s="12" t="str">
        <f t="shared" si="57"/>
        <v>Número de sentencias</v>
      </c>
      <c r="N275" s="33" t="s">
        <v>5964</v>
      </c>
      <c r="O275" s="27" t="str">
        <f>"Sentencias Dictadas por Delitos de Abuso Sexual por Delito en el Juzgado de Garantía de "&amp;[1]!Ingresos_Historicos[[#This Row],[territorio]]&amp;" para el Periodo 2013-2019"</f>
        <v>Sentencias Dictadas por Delitos de Abuso Sexual por Delito en el Juzgado de Garantía de Región de Coquimbo para el Periodo 2013-2019</v>
      </c>
      <c r="P275" s="42" t="str">
        <f>"Gráfico que muestra la evolución anual de la frecuencia de Sentencias Dictadas por Delitos de Abuso Sexual por Delito en el Juzgado de Garantía de "&amp;[1]!Ingresos_Historicos[[#This Row],[territorio]]&amp;" para el Periodo 2013-2019 de acuerdo a datos provenientes del Poder Judicial de Chile."</f>
        <v>Gráfico que muestra la evolución anual de la frecuencia de Sentencias Dictadas por Delitos de Abuso Sexual por Delito en el Juzgado de Garantía de Región de Coquimbo para el Periodo 2013-2019 de acuerdo a datos provenientes del Poder Judicial de Chile.</v>
      </c>
      <c r="Q275" s="14" t="str">
        <f t="shared" si="51"/>
        <v>Gráfico de Evolución</v>
      </c>
      <c r="R275" s="77" t="s">
        <v>6085</v>
      </c>
      <c r="S275" s="15" t="s">
        <v>6652</v>
      </c>
      <c r="T275" s="65" t="s">
        <v>5958</v>
      </c>
      <c r="U275" s="24" t="s">
        <v>397</v>
      </c>
      <c r="V275" s="19" t="str">
        <f>+Ingresos_Historicos[[#This Row],[idcoleccion]]&amp;"-"&amp;Ingresos_Historicos[[#This Row],[id]]</f>
        <v>300-0265</v>
      </c>
      <c r="W275" s="19" t="e">
        <f>+VLOOKUP(Ingresos_Historicos[[#This Row],[Filtro URL]],Estructura!$X$4:$Y$366,2,0)</f>
        <v>#N/A</v>
      </c>
      <c r="X275" s="19" t="str">
        <f>+VLOOKUP(Ingresos_Historicos[[#This Row],[tema]],Estructura!$A$4:$C$18,3,0)</f>
        <v>T-306</v>
      </c>
      <c r="Y275" s="19" t="str">
        <f>+VLOOKUP(Ingresos_Historicos[[#This Row],[contenido]],Estructura!$E$4:$G$18,3,0)</f>
        <v>C-301</v>
      </c>
      <c r="Z275" s="19" t="str">
        <f>+VLOOKUP(Ingresos_Historicos[[#This Row],[Filtro Integrado]],Estructura!$M$4:$O$367,3,0)</f>
        <v>FI-303</v>
      </c>
      <c r="AA275" s="19" t="str">
        <f>+VLOOKUP(Ingresos_Historicos[[#This Row],[Muestra]],Estructura!$Q$4:$S$194,3,0)</f>
        <v>M-306</v>
      </c>
    </row>
    <row r="276" spans="1:27" ht="51" x14ac:dyDescent="0.3">
      <c r="A276" s="32" t="s">
        <v>662</v>
      </c>
      <c r="B276" s="12">
        <f t="shared" si="56"/>
        <v>300</v>
      </c>
      <c r="C276" s="13" t="str">
        <f t="shared" si="56"/>
        <v>Violencia contra la mujer</v>
      </c>
      <c r="D276" s="13" t="str">
        <f t="shared" si="56"/>
        <v>Mujeres</v>
      </c>
      <c r="E276" s="18">
        <v>270102004</v>
      </c>
      <c r="F276" s="13" t="str">
        <f t="shared" si="58"/>
        <v>Sentencias por delito de abuso sexual</v>
      </c>
      <c r="G276" s="55" t="str">
        <f t="shared" si="58"/>
        <v>Abuso Sexual</v>
      </c>
      <c r="H276" s="30" t="s">
        <v>19</v>
      </c>
      <c r="I276" s="31" t="s">
        <v>14</v>
      </c>
      <c r="J276" s="12" t="s">
        <v>15</v>
      </c>
      <c r="K276" s="12" t="s">
        <v>5961</v>
      </c>
      <c r="L276" s="12" t="str">
        <f t="shared" si="57"/>
        <v>Periodo 2013-2019</v>
      </c>
      <c r="M276" s="12" t="s">
        <v>5963</v>
      </c>
      <c r="N276" s="33" t="s">
        <v>5964</v>
      </c>
      <c r="O276" s="27" t="s">
        <v>6086</v>
      </c>
      <c r="P276" s="42" t="s">
        <v>6087</v>
      </c>
      <c r="Q276" s="14" t="s">
        <v>5967</v>
      </c>
      <c r="R276" s="77" t="s">
        <v>5974</v>
      </c>
      <c r="S276" s="15" t="s">
        <v>6653</v>
      </c>
      <c r="T276" s="65" t="s">
        <v>5906</v>
      </c>
      <c r="U276" s="24" t="s">
        <v>397</v>
      </c>
      <c r="V276" s="19" t="str">
        <f>+Ingresos_Historicos[[#This Row],[idcoleccion]]&amp;"-"&amp;Ingresos_Historicos[[#This Row],[id]]</f>
        <v>300-0266</v>
      </c>
      <c r="W276" s="19" t="e">
        <f>+VLOOKUP(Ingresos_Historicos[[#This Row],[Filtro URL]],Estructura!$X$4:$Y$366,2,0)</f>
        <v>#N/A</v>
      </c>
      <c r="X276" s="19" t="str">
        <f>+VLOOKUP(Ingresos_Historicos[[#This Row],[tema]],Estructura!$A$4:$C$18,3,0)</f>
        <v>T-306</v>
      </c>
      <c r="Y276" s="19" t="str">
        <f>+VLOOKUP(Ingresos_Historicos[[#This Row],[contenido]],Estructura!$E$4:$G$18,3,0)</f>
        <v>C-301</v>
      </c>
      <c r="Z276" s="19" t="str">
        <f>+VLOOKUP(Ingresos_Historicos[[#This Row],[Filtro Integrado]],Estructura!$M$4:$O$367,3,0)</f>
        <v>FI-302</v>
      </c>
      <c r="AA276" s="19" t="str">
        <f>+VLOOKUP(Ingresos_Historicos[[#This Row],[Muestra]],Estructura!$Q$4:$S$194,3,0)</f>
        <v>M-306</v>
      </c>
    </row>
    <row r="277" spans="1:27" ht="51" x14ac:dyDescent="0.3">
      <c r="A277" s="71" t="s">
        <v>663</v>
      </c>
      <c r="B277" s="12">
        <f t="shared" si="56"/>
        <v>300</v>
      </c>
      <c r="C277" s="13" t="str">
        <f t="shared" si="56"/>
        <v>Violencia contra la mujer</v>
      </c>
      <c r="D277" s="13" t="str">
        <f t="shared" si="56"/>
        <v>Mujeres</v>
      </c>
      <c r="E277" s="18">
        <v>270102005</v>
      </c>
      <c r="F277" s="13" t="str">
        <f t="shared" si="58"/>
        <v>Sentencias por delito de abuso sexual</v>
      </c>
      <c r="G277" s="55" t="str">
        <f t="shared" si="58"/>
        <v>Abuso Sexual</v>
      </c>
      <c r="H277" s="30" t="s">
        <v>19</v>
      </c>
      <c r="I277" s="31" t="s">
        <v>14</v>
      </c>
      <c r="J277" s="12" t="s">
        <v>15</v>
      </c>
      <c r="K277" s="12" t="str">
        <f t="shared" ref="K277:K282" si="59">+K276</f>
        <v>Sentencias Dictadas por Delitos de Abuso Sexual</v>
      </c>
      <c r="L277" s="12" t="str">
        <f t="shared" si="57"/>
        <v>Periodo 2013-2019</v>
      </c>
      <c r="M277" s="12" t="str">
        <f t="shared" si="57"/>
        <v>Número de sentencias</v>
      </c>
      <c r="N277" s="33" t="s">
        <v>5964</v>
      </c>
      <c r="O277" s="27" t="s">
        <v>6088</v>
      </c>
      <c r="P277" s="42" t="s">
        <v>6089</v>
      </c>
      <c r="Q277" s="14" t="s">
        <v>5967</v>
      </c>
      <c r="R277" s="77" t="s">
        <v>5974</v>
      </c>
      <c r="S277" s="15" t="s">
        <v>6654</v>
      </c>
      <c r="T277" s="65" t="s">
        <v>5906</v>
      </c>
      <c r="U277" s="24" t="s">
        <v>397</v>
      </c>
      <c r="V277" s="19" t="str">
        <f>+Ingresos_Historicos[[#This Row],[idcoleccion]]&amp;"-"&amp;Ingresos_Historicos[[#This Row],[id]]</f>
        <v>300-0267</v>
      </c>
      <c r="W277" s="19" t="e">
        <f>+VLOOKUP(Ingresos_Historicos[[#This Row],[Filtro URL]],Estructura!$X$4:$Y$366,2,0)</f>
        <v>#N/A</v>
      </c>
      <c r="X277" s="19" t="str">
        <f>+VLOOKUP(Ingresos_Historicos[[#This Row],[tema]],Estructura!$A$4:$C$18,3,0)</f>
        <v>T-306</v>
      </c>
      <c r="Y277" s="19" t="str">
        <f>+VLOOKUP(Ingresos_Historicos[[#This Row],[contenido]],Estructura!$E$4:$G$18,3,0)</f>
        <v>C-301</v>
      </c>
      <c r="Z277" s="19" t="str">
        <f>+VLOOKUP(Ingresos_Historicos[[#This Row],[Filtro Integrado]],Estructura!$M$4:$O$367,3,0)</f>
        <v>FI-302</v>
      </c>
      <c r="AA277" s="19" t="str">
        <f>+VLOOKUP(Ingresos_Historicos[[#This Row],[Muestra]],Estructura!$Q$4:$S$194,3,0)</f>
        <v>M-306</v>
      </c>
    </row>
    <row r="278" spans="1:27" ht="51" x14ac:dyDescent="0.3">
      <c r="A278" s="71" t="s">
        <v>664</v>
      </c>
      <c r="B278" s="12">
        <f t="shared" si="56"/>
        <v>300</v>
      </c>
      <c r="C278" s="13" t="str">
        <f t="shared" si="56"/>
        <v>Violencia contra la mujer</v>
      </c>
      <c r="D278" s="13" t="str">
        <f t="shared" si="56"/>
        <v>Mujeres</v>
      </c>
      <c r="E278" s="18">
        <v>270102006</v>
      </c>
      <c r="F278" s="13" t="str">
        <f t="shared" si="58"/>
        <v>Sentencias por delito de abuso sexual</v>
      </c>
      <c r="G278" s="55" t="str">
        <f t="shared" si="58"/>
        <v>Abuso Sexual</v>
      </c>
      <c r="H278" s="30" t="s">
        <v>19</v>
      </c>
      <c r="I278" s="31" t="s">
        <v>14</v>
      </c>
      <c r="J278" s="12" t="s">
        <v>15</v>
      </c>
      <c r="K278" s="12" t="str">
        <f t="shared" si="59"/>
        <v>Sentencias Dictadas por Delitos de Abuso Sexual</v>
      </c>
      <c r="L278" s="12" t="str">
        <f t="shared" si="57"/>
        <v>Periodo 2013-2019</v>
      </c>
      <c r="M278" s="12" t="str">
        <f t="shared" si="57"/>
        <v>Número de sentencias</v>
      </c>
      <c r="N278" s="33" t="s">
        <v>5964</v>
      </c>
      <c r="O278" s="27" t="s">
        <v>6090</v>
      </c>
      <c r="P278" s="42" t="s">
        <v>6091</v>
      </c>
      <c r="Q278" s="14" t="s">
        <v>5967</v>
      </c>
      <c r="R278" s="77" t="s">
        <v>5974</v>
      </c>
      <c r="S278" s="15" t="s">
        <v>6655</v>
      </c>
      <c r="T278" s="65" t="s">
        <v>5906</v>
      </c>
      <c r="U278" s="24" t="s">
        <v>397</v>
      </c>
      <c r="V278" s="19" t="str">
        <f>+Ingresos_Historicos[[#This Row],[idcoleccion]]&amp;"-"&amp;Ingresos_Historicos[[#This Row],[id]]</f>
        <v>300-0268</v>
      </c>
      <c r="W278" s="19" t="e">
        <f>+VLOOKUP(Ingresos_Historicos[[#This Row],[Filtro URL]],Estructura!$X$4:$Y$366,2,0)</f>
        <v>#N/A</v>
      </c>
      <c r="X278" s="19" t="str">
        <f>+VLOOKUP(Ingresos_Historicos[[#This Row],[tema]],Estructura!$A$4:$C$18,3,0)</f>
        <v>T-306</v>
      </c>
      <c r="Y278" s="19" t="str">
        <f>+VLOOKUP(Ingresos_Historicos[[#This Row],[contenido]],Estructura!$E$4:$G$18,3,0)</f>
        <v>C-301</v>
      </c>
      <c r="Z278" s="19" t="str">
        <f>+VLOOKUP(Ingresos_Historicos[[#This Row],[Filtro Integrado]],Estructura!$M$4:$O$367,3,0)</f>
        <v>FI-302</v>
      </c>
      <c r="AA278" s="19" t="str">
        <f>+VLOOKUP(Ingresos_Historicos[[#This Row],[Muestra]],Estructura!$Q$4:$S$194,3,0)</f>
        <v>M-306</v>
      </c>
    </row>
    <row r="279" spans="1:27" ht="61.2" x14ac:dyDescent="0.3">
      <c r="A279" s="71" t="s">
        <v>665</v>
      </c>
      <c r="B279" s="12">
        <f t="shared" si="56"/>
        <v>300</v>
      </c>
      <c r="C279" s="13" t="str">
        <f t="shared" si="56"/>
        <v>Violencia contra la mujer</v>
      </c>
      <c r="D279" s="13" t="str">
        <f t="shared" si="56"/>
        <v>Mujeres</v>
      </c>
      <c r="E279" s="18">
        <v>270102007</v>
      </c>
      <c r="F279" s="13" t="str">
        <f t="shared" si="58"/>
        <v>Sentencias por delito de abuso sexual</v>
      </c>
      <c r="G279" s="55" t="str">
        <f t="shared" si="58"/>
        <v>Abuso Sexual</v>
      </c>
      <c r="H279" s="30" t="s">
        <v>19</v>
      </c>
      <c r="I279" s="31" t="s">
        <v>14</v>
      </c>
      <c r="J279" s="12" t="s">
        <v>15</v>
      </c>
      <c r="K279" s="12" t="str">
        <f t="shared" si="59"/>
        <v>Sentencias Dictadas por Delitos de Abuso Sexual</v>
      </c>
      <c r="L279" s="12" t="str">
        <f t="shared" si="57"/>
        <v>Periodo 2013-2019</v>
      </c>
      <c r="M279" s="12" t="str">
        <f t="shared" si="57"/>
        <v>Número de sentencias</v>
      </c>
      <c r="N279" s="33" t="s">
        <v>5964</v>
      </c>
      <c r="O279" s="27" t="s">
        <v>6092</v>
      </c>
      <c r="P279" s="42" t="s">
        <v>6093</v>
      </c>
      <c r="Q279" s="14" t="str">
        <f t="shared" ref="Q279:Q289" si="60">+Q278</f>
        <v>Gráfico de Evolución</v>
      </c>
      <c r="R279" s="77" t="s">
        <v>5974</v>
      </c>
      <c r="S279" s="15" t="s">
        <v>6656</v>
      </c>
      <c r="T279" s="65" t="s">
        <v>5906</v>
      </c>
      <c r="U279" s="24" t="s">
        <v>397</v>
      </c>
      <c r="V279" s="19" t="str">
        <f>+Ingresos_Historicos[[#This Row],[idcoleccion]]&amp;"-"&amp;Ingresos_Historicos[[#This Row],[id]]</f>
        <v>300-0269</v>
      </c>
      <c r="W279" s="19" t="e">
        <f>+VLOOKUP(Ingresos_Historicos[[#This Row],[Filtro URL]],Estructura!$X$4:$Y$366,2,0)</f>
        <v>#N/A</v>
      </c>
      <c r="X279" s="19" t="str">
        <f>+VLOOKUP(Ingresos_Historicos[[#This Row],[tema]],Estructura!$A$4:$C$18,3,0)</f>
        <v>T-306</v>
      </c>
      <c r="Y279" s="19" t="str">
        <f>+VLOOKUP(Ingresos_Historicos[[#This Row],[contenido]],Estructura!$E$4:$G$18,3,0)</f>
        <v>C-301</v>
      </c>
      <c r="Z279" s="19" t="str">
        <f>+VLOOKUP(Ingresos_Historicos[[#This Row],[Filtro Integrado]],Estructura!$M$4:$O$367,3,0)</f>
        <v>FI-302</v>
      </c>
      <c r="AA279" s="19" t="str">
        <f>+VLOOKUP(Ingresos_Historicos[[#This Row],[Muestra]],Estructura!$Q$4:$S$194,3,0)</f>
        <v>M-306</v>
      </c>
    </row>
    <row r="280" spans="1:27" ht="51" x14ac:dyDescent="0.3">
      <c r="A280" s="71" t="s">
        <v>666</v>
      </c>
      <c r="B280" s="12">
        <f t="shared" si="56"/>
        <v>300</v>
      </c>
      <c r="C280" s="13" t="str">
        <f t="shared" si="56"/>
        <v>Violencia contra la mujer</v>
      </c>
      <c r="D280" s="13" t="str">
        <f t="shared" si="56"/>
        <v>Mujeres</v>
      </c>
      <c r="E280" s="18">
        <v>270102008</v>
      </c>
      <c r="F280" s="13" t="str">
        <f t="shared" si="58"/>
        <v>Sentencias por delito de abuso sexual</v>
      </c>
      <c r="G280" s="55" t="str">
        <f t="shared" si="58"/>
        <v>Abuso Sexual</v>
      </c>
      <c r="H280" s="30" t="s">
        <v>19</v>
      </c>
      <c r="I280" s="31" t="s">
        <v>14</v>
      </c>
      <c r="J280" s="12" t="s">
        <v>15</v>
      </c>
      <c r="K280" s="12" t="str">
        <f t="shared" si="59"/>
        <v>Sentencias Dictadas por Delitos de Abuso Sexual</v>
      </c>
      <c r="L280" s="12" t="str">
        <f t="shared" si="57"/>
        <v>Periodo 2013-2019</v>
      </c>
      <c r="M280" s="12" t="str">
        <f t="shared" si="57"/>
        <v>Número de sentencias</v>
      </c>
      <c r="N280" s="33" t="s">
        <v>5964</v>
      </c>
      <c r="O280" s="27" t="s">
        <v>6094</v>
      </c>
      <c r="P280" s="42" t="s">
        <v>6095</v>
      </c>
      <c r="Q280" s="14" t="str">
        <f t="shared" si="60"/>
        <v>Gráfico de Evolución</v>
      </c>
      <c r="R280" s="77" t="s">
        <v>5974</v>
      </c>
      <c r="S280" s="15" t="s">
        <v>6657</v>
      </c>
      <c r="T280" s="65" t="s">
        <v>5906</v>
      </c>
      <c r="U280" s="24" t="s">
        <v>397</v>
      </c>
      <c r="V280" s="19" t="str">
        <f>+Ingresos_Historicos[[#This Row],[idcoleccion]]&amp;"-"&amp;Ingresos_Historicos[[#This Row],[id]]</f>
        <v>300-0270</v>
      </c>
      <c r="W280" s="19" t="e">
        <f>+VLOOKUP(Ingresos_Historicos[[#This Row],[Filtro URL]],Estructura!$X$4:$Y$366,2,0)</f>
        <v>#N/A</v>
      </c>
      <c r="X280" s="19" t="str">
        <f>+VLOOKUP(Ingresos_Historicos[[#This Row],[tema]],Estructura!$A$4:$C$18,3,0)</f>
        <v>T-306</v>
      </c>
      <c r="Y280" s="19" t="str">
        <f>+VLOOKUP(Ingresos_Historicos[[#This Row],[contenido]],Estructura!$E$4:$G$18,3,0)</f>
        <v>C-301</v>
      </c>
      <c r="Z280" s="19" t="str">
        <f>+VLOOKUP(Ingresos_Historicos[[#This Row],[Filtro Integrado]],Estructura!$M$4:$O$367,3,0)</f>
        <v>FI-302</v>
      </c>
      <c r="AA280" s="19" t="str">
        <f>+VLOOKUP(Ingresos_Historicos[[#This Row],[Muestra]],Estructura!$Q$4:$S$194,3,0)</f>
        <v>M-306</v>
      </c>
    </row>
    <row r="281" spans="1:27" ht="51" x14ac:dyDescent="0.3">
      <c r="A281" s="71" t="s">
        <v>667</v>
      </c>
      <c r="B281" s="12">
        <f t="shared" si="56"/>
        <v>300</v>
      </c>
      <c r="C281" s="13" t="str">
        <f t="shared" si="56"/>
        <v>Violencia contra la mujer</v>
      </c>
      <c r="D281" s="13" t="str">
        <f t="shared" si="56"/>
        <v>Mujeres</v>
      </c>
      <c r="E281" s="18">
        <v>270102009</v>
      </c>
      <c r="F281" s="13" t="str">
        <f t="shared" si="58"/>
        <v>Sentencias por delito de abuso sexual</v>
      </c>
      <c r="G281" s="55" t="str">
        <f t="shared" si="58"/>
        <v>Abuso Sexual</v>
      </c>
      <c r="H281" s="30" t="s">
        <v>19</v>
      </c>
      <c r="I281" s="31" t="s">
        <v>14</v>
      </c>
      <c r="J281" s="12" t="s">
        <v>15</v>
      </c>
      <c r="K281" s="12" t="str">
        <f t="shared" si="59"/>
        <v>Sentencias Dictadas por Delitos de Abuso Sexual</v>
      </c>
      <c r="L281" s="12" t="str">
        <f t="shared" si="57"/>
        <v>Periodo 2013-2019</v>
      </c>
      <c r="M281" s="12" t="str">
        <f t="shared" si="57"/>
        <v>Número de sentencias</v>
      </c>
      <c r="N281" s="33" t="s">
        <v>5964</v>
      </c>
      <c r="O281" s="27" t="s">
        <v>6096</v>
      </c>
      <c r="P281" s="42" t="s">
        <v>6097</v>
      </c>
      <c r="Q281" s="14" t="str">
        <f t="shared" si="60"/>
        <v>Gráfico de Evolución</v>
      </c>
      <c r="R281" s="77" t="s">
        <v>5974</v>
      </c>
      <c r="S281" s="15" t="s">
        <v>6658</v>
      </c>
      <c r="T281" s="65" t="s">
        <v>5906</v>
      </c>
      <c r="U281" s="24" t="s">
        <v>397</v>
      </c>
      <c r="V281" s="19" t="str">
        <f>+Ingresos_Historicos[[#This Row],[idcoleccion]]&amp;"-"&amp;Ingresos_Historicos[[#This Row],[id]]</f>
        <v>300-0271</v>
      </c>
      <c r="W281" s="19" t="e">
        <f>+VLOOKUP(Ingresos_Historicos[[#This Row],[Filtro URL]],Estructura!$X$4:$Y$366,2,0)</f>
        <v>#N/A</v>
      </c>
      <c r="X281" s="19" t="str">
        <f>+VLOOKUP(Ingresos_Historicos[[#This Row],[tema]],Estructura!$A$4:$C$18,3,0)</f>
        <v>T-306</v>
      </c>
      <c r="Y281" s="19" t="str">
        <f>+VLOOKUP(Ingresos_Historicos[[#This Row],[contenido]],Estructura!$E$4:$G$18,3,0)</f>
        <v>C-301</v>
      </c>
      <c r="Z281" s="19" t="str">
        <f>+VLOOKUP(Ingresos_Historicos[[#This Row],[Filtro Integrado]],Estructura!$M$4:$O$367,3,0)</f>
        <v>FI-302</v>
      </c>
      <c r="AA281" s="19" t="str">
        <f>+VLOOKUP(Ingresos_Historicos[[#This Row],[Muestra]],Estructura!$Q$4:$S$194,3,0)</f>
        <v>M-306</v>
      </c>
    </row>
    <row r="282" spans="1:27" ht="51" x14ac:dyDescent="0.3">
      <c r="A282" s="71" t="s">
        <v>668</v>
      </c>
      <c r="B282" s="12">
        <f t="shared" si="56"/>
        <v>300</v>
      </c>
      <c r="C282" s="13" t="str">
        <f t="shared" si="56"/>
        <v>Violencia contra la mujer</v>
      </c>
      <c r="D282" s="13" t="str">
        <f t="shared" si="56"/>
        <v>Mujeres</v>
      </c>
      <c r="E282" s="18">
        <v>270102010</v>
      </c>
      <c r="F282" s="13" t="str">
        <f t="shared" si="58"/>
        <v>Sentencias por delito de abuso sexual</v>
      </c>
      <c r="G282" s="55" t="str">
        <f t="shared" si="58"/>
        <v>Abuso Sexual</v>
      </c>
      <c r="H282" s="30" t="s">
        <v>19</v>
      </c>
      <c r="I282" s="31" t="s">
        <v>14</v>
      </c>
      <c r="J282" s="12" t="s">
        <v>15</v>
      </c>
      <c r="K282" s="12" t="str">
        <f t="shared" si="59"/>
        <v>Sentencias Dictadas por Delitos de Abuso Sexual</v>
      </c>
      <c r="L282" s="12" t="str">
        <f t="shared" si="57"/>
        <v>Periodo 2013-2019</v>
      </c>
      <c r="M282" s="12" t="str">
        <f t="shared" si="57"/>
        <v>Número de sentencias</v>
      </c>
      <c r="N282" s="33" t="s">
        <v>5964</v>
      </c>
      <c r="O282" s="27" t="s">
        <v>6098</v>
      </c>
      <c r="P282" s="42" t="s">
        <v>6099</v>
      </c>
      <c r="Q282" s="14" t="str">
        <f t="shared" si="60"/>
        <v>Gráfico de Evolución</v>
      </c>
      <c r="R282" s="77" t="s">
        <v>5974</v>
      </c>
      <c r="S282" s="15" t="s">
        <v>6659</v>
      </c>
      <c r="T282" s="65" t="s">
        <v>5906</v>
      </c>
      <c r="U282" s="24" t="s">
        <v>397</v>
      </c>
      <c r="V282" s="19" t="str">
        <f>+Ingresos_Historicos[[#This Row],[idcoleccion]]&amp;"-"&amp;Ingresos_Historicos[[#This Row],[id]]</f>
        <v>300-0272</v>
      </c>
      <c r="W282" s="19" t="e">
        <f>+VLOOKUP(Ingresos_Historicos[[#This Row],[Filtro URL]],Estructura!$X$4:$Y$366,2,0)</f>
        <v>#N/A</v>
      </c>
      <c r="X282" s="19" t="str">
        <f>+VLOOKUP(Ingresos_Historicos[[#This Row],[tema]],Estructura!$A$4:$C$18,3,0)</f>
        <v>T-306</v>
      </c>
      <c r="Y282" s="19" t="str">
        <f>+VLOOKUP(Ingresos_Historicos[[#This Row],[contenido]],Estructura!$E$4:$G$18,3,0)</f>
        <v>C-301</v>
      </c>
      <c r="Z282" s="19" t="str">
        <f>+VLOOKUP(Ingresos_Historicos[[#This Row],[Filtro Integrado]],Estructura!$M$4:$O$367,3,0)</f>
        <v>FI-302</v>
      </c>
      <c r="AA282" s="19" t="str">
        <f>+VLOOKUP(Ingresos_Historicos[[#This Row],[Muestra]],Estructura!$Q$4:$S$194,3,0)</f>
        <v>M-306</v>
      </c>
    </row>
    <row r="283" spans="1:27" ht="51" x14ac:dyDescent="0.3">
      <c r="A283" s="71" t="s">
        <v>669</v>
      </c>
      <c r="B283" s="12">
        <f t="shared" si="56"/>
        <v>300</v>
      </c>
      <c r="C283" s="13" t="str">
        <f t="shared" si="56"/>
        <v>Violencia contra la mujer</v>
      </c>
      <c r="D283" s="13" t="str">
        <f t="shared" si="56"/>
        <v>Mujeres</v>
      </c>
      <c r="E283" s="18">
        <v>270102004</v>
      </c>
      <c r="F283" s="13" t="str">
        <f t="shared" si="58"/>
        <v>Sentencias por delito de abuso sexual</v>
      </c>
      <c r="G283" s="55" t="str">
        <f t="shared" si="58"/>
        <v>Abuso Sexual</v>
      </c>
      <c r="H283" s="30" t="s">
        <v>19</v>
      </c>
      <c r="I283" s="31" t="s">
        <v>14</v>
      </c>
      <c r="J283" s="12" t="s">
        <v>398</v>
      </c>
      <c r="K283" s="12" t="s">
        <v>5961</v>
      </c>
      <c r="L283" s="12" t="str">
        <f t="shared" si="57"/>
        <v>Periodo 2013-2019</v>
      </c>
      <c r="M283" s="12" t="s">
        <v>5963</v>
      </c>
      <c r="N283" s="33" t="s">
        <v>5964</v>
      </c>
      <c r="O283" s="27" t="s">
        <v>6100</v>
      </c>
      <c r="P283" s="42" t="s">
        <v>6101</v>
      </c>
      <c r="Q283" s="14" t="s">
        <v>5967</v>
      </c>
      <c r="R283" s="77" t="s">
        <v>5971</v>
      </c>
      <c r="S283" s="15" t="s">
        <v>6660</v>
      </c>
      <c r="T283" s="65" t="s">
        <v>5951</v>
      </c>
      <c r="U283" s="24" t="s">
        <v>397</v>
      </c>
      <c r="V283" s="19" t="str">
        <f>+Ingresos_Historicos[[#This Row],[idcoleccion]]&amp;"-"&amp;Ingresos_Historicos[[#This Row],[id]]</f>
        <v>300-0273</v>
      </c>
      <c r="W283" s="19" t="e">
        <f>+VLOOKUP(Ingresos_Historicos[[#This Row],[Filtro URL]],Estructura!$X$4:$Y$366,2,0)</f>
        <v>#N/A</v>
      </c>
      <c r="X283" s="19" t="str">
        <f>+VLOOKUP(Ingresos_Historicos[[#This Row],[tema]],Estructura!$A$4:$C$18,3,0)</f>
        <v>T-306</v>
      </c>
      <c r="Y283" s="19" t="str">
        <f>+VLOOKUP(Ingresos_Historicos[[#This Row],[contenido]],Estructura!$E$4:$G$18,3,0)</f>
        <v>C-301</v>
      </c>
      <c r="Z283" s="19" t="str">
        <f>+VLOOKUP(Ingresos_Historicos[[#This Row],[Filtro Integrado]],Estructura!$M$4:$O$367,3,0)</f>
        <v>FI-303</v>
      </c>
      <c r="AA283" s="19" t="str">
        <f>+VLOOKUP(Ingresos_Historicos[[#This Row],[Muestra]],Estructura!$Q$4:$S$194,3,0)</f>
        <v>M-306</v>
      </c>
    </row>
    <row r="284" spans="1:27" ht="61.2" x14ac:dyDescent="0.3">
      <c r="A284" s="71" t="s">
        <v>670</v>
      </c>
      <c r="B284" s="12">
        <f t="shared" si="56"/>
        <v>300</v>
      </c>
      <c r="C284" s="13" t="str">
        <f t="shared" si="56"/>
        <v>Violencia contra la mujer</v>
      </c>
      <c r="D284" s="13" t="str">
        <f t="shared" si="56"/>
        <v>Mujeres</v>
      </c>
      <c r="E284" s="18">
        <v>270102005</v>
      </c>
      <c r="F284" s="13" t="str">
        <f t="shared" si="58"/>
        <v>Sentencias por delito de abuso sexual</v>
      </c>
      <c r="G284" s="55" t="str">
        <f t="shared" si="58"/>
        <v>Abuso Sexual</v>
      </c>
      <c r="H284" s="30" t="s">
        <v>19</v>
      </c>
      <c r="I284" s="31" t="s">
        <v>14</v>
      </c>
      <c r="J284" s="12" t="s">
        <v>398</v>
      </c>
      <c r="K284" s="12" t="str">
        <f t="shared" ref="K284:M299" si="61">+K283</f>
        <v>Sentencias Dictadas por Delitos de Abuso Sexual</v>
      </c>
      <c r="L284" s="12" t="str">
        <f t="shared" si="57"/>
        <v>Periodo 2013-2019</v>
      </c>
      <c r="M284" s="12" t="str">
        <f t="shared" si="57"/>
        <v>Número de sentencias</v>
      </c>
      <c r="N284" s="33" t="s">
        <v>5964</v>
      </c>
      <c r="O284" s="27" t="s">
        <v>6102</v>
      </c>
      <c r="P284" s="42" t="s">
        <v>6103</v>
      </c>
      <c r="Q284" s="14" t="str">
        <f t="shared" si="60"/>
        <v>Gráfico de Evolución</v>
      </c>
      <c r="R284" s="77" t="s">
        <v>5971</v>
      </c>
      <c r="S284" s="15" t="s">
        <v>6661</v>
      </c>
      <c r="T284" s="65" t="s">
        <v>5951</v>
      </c>
      <c r="U284" s="24" t="s">
        <v>397</v>
      </c>
      <c r="V284" s="19" t="str">
        <f>+Ingresos_Historicos[[#This Row],[idcoleccion]]&amp;"-"&amp;Ingresos_Historicos[[#This Row],[id]]</f>
        <v>300-0274</v>
      </c>
      <c r="W284" s="19" t="e">
        <f>+VLOOKUP(Ingresos_Historicos[[#This Row],[Filtro URL]],Estructura!$X$4:$Y$366,2,0)</f>
        <v>#N/A</v>
      </c>
      <c r="X284" s="19" t="str">
        <f>+VLOOKUP(Ingresos_Historicos[[#This Row],[tema]],Estructura!$A$4:$C$18,3,0)</f>
        <v>T-306</v>
      </c>
      <c r="Y284" s="19" t="str">
        <f>+VLOOKUP(Ingresos_Historicos[[#This Row],[contenido]],Estructura!$E$4:$G$18,3,0)</f>
        <v>C-301</v>
      </c>
      <c r="Z284" s="19" t="str">
        <f>+VLOOKUP(Ingresos_Historicos[[#This Row],[Filtro Integrado]],Estructura!$M$4:$O$367,3,0)</f>
        <v>FI-303</v>
      </c>
      <c r="AA284" s="19" t="str">
        <f>+VLOOKUP(Ingresos_Historicos[[#This Row],[Muestra]],Estructura!$Q$4:$S$194,3,0)</f>
        <v>M-306</v>
      </c>
    </row>
    <row r="285" spans="1:27" ht="51" x14ac:dyDescent="0.3">
      <c r="A285" s="71" t="s">
        <v>671</v>
      </c>
      <c r="B285" s="12">
        <f t="shared" si="56"/>
        <v>300</v>
      </c>
      <c r="C285" s="13" t="str">
        <f t="shared" si="56"/>
        <v>Violencia contra la mujer</v>
      </c>
      <c r="D285" s="13" t="str">
        <f t="shared" si="56"/>
        <v>Mujeres</v>
      </c>
      <c r="E285" s="18">
        <v>270102006</v>
      </c>
      <c r="F285" s="13" t="str">
        <f t="shared" si="58"/>
        <v>Sentencias por delito de abuso sexual</v>
      </c>
      <c r="G285" s="55" t="str">
        <f t="shared" si="58"/>
        <v>Abuso Sexual</v>
      </c>
      <c r="H285" s="30" t="s">
        <v>19</v>
      </c>
      <c r="I285" s="31" t="s">
        <v>14</v>
      </c>
      <c r="J285" s="12" t="s">
        <v>398</v>
      </c>
      <c r="K285" s="12" t="str">
        <f t="shared" si="61"/>
        <v>Sentencias Dictadas por Delitos de Abuso Sexual</v>
      </c>
      <c r="L285" s="12" t="str">
        <f t="shared" si="57"/>
        <v>Periodo 2013-2019</v>
      </c>
      <c r="M285" s="12" t="str">
        <f t="shared" si="57"/>
        <v>Número de sentencias</v>
      </c>
      <c r="N285" s="33" t="s">
        <v>5964</v>
      </c>
      <c r="O285" s="27" t="s">
        <v>6104</v>
      </c>
      <c r="P285" s="42" t="s">
        <v>6105</v>
      </c>
      <c r="Q285" s="14" t="str">
        <f t="shared" si="60"/>
        <v>Gráfico de Evolución</v>
      </c>
      <c r="R285" s="77" t="s">
        <v>5971</v>
      </c>
      <c r="S285" s="15" t="s">
        <v>6662</v>
      </c>
      <c r="T285" s="65" t="s">
        <v>5951</v>
      </c>
      <c r="U285" s="24" t="s">
        <v>397</v>
      </c>
      <c r="V285" s="19" t="str">
        <f>+Ingresos_Historicos[[#This Row],[idcoleccion]]&amp;"-"&amp;Ingresos_Historicos[[#This Row],[id]]</f>
        <v>300-0275</v>
      </c>
      <c r="W285" s="19" t="e">
        <f>+VLOOKUP(Ingresos_Historicos[[#This Row],[Filtro URL]],Estructura!$X$4:$Y$366,2,0)</f>
        <v>#N/A</v>
      </c>
      <c r="X285" s="19" t="str">
        <f>+VLOOKUP(Ingresos_Historicos[[#This Row],[tema]],Estructura!$A$4:$C$18,3,0)</f>
        <v>T-306</v>
      </c>
      <c r="Y285" s="19" t="str">
        <f>+VLOOKUP(Ingresos_Historicos[[#This Row],[contenido]],Estructura!$E$4:$G$18,3,0)</f>
        <v>C-301</v>
      </c>
      <c r="Z285" s="19" t="str">
        <f>+VLOOKUP(Ingresos_Historicos[[#This Row],[Filtro Integrado]],Estructura!$M$4:$O$367,3,0)</f>
        <v>FI-303</v>
      </c>
      <c r="AA285" s="19" t="str">
        <f>+VLOOKUP(Ingresos_Historicos[[#This Row],[Muestra]],Estructura!$Q$4:$S$194,3,0)</f>
        <v>M-306</v>
      </c>
    </row>
    <row r="286" spans="1:27" ht="61.2" x14ac:dyDescent="0.3">
      <c r="A286" s="71" t="s">
        <v>672</v>
      </c>
      <c r="B286" s="12">
        <f t="shared" si="56"/>
        <v>300</v>
      </c>
      <c r="C286" s="13" t="str">
        <f t="shared" si="56"/>
        <v>Violencia contra la mujer</v>
      </c>
      <c r="D286" s="13" t="str">
        <f t="shared" si="56"/>
        <v>Mujeres</v>
      </c>
      <c r="E286" s="18">
        <v>270102007</v>
      </c>
      <c r="F286" s="13" t="str">
        <f t="shared" si="58"/>
        <v>Sentencias por delito de abuso sexual</v>
      </c>
      <c r="G286" s="55" t="str">
        <f t="shared" si="58"/>
        <v>Abuso Sexual</v>
      </c>
      <c r="H286" s="30" t="s">
        <v>19</v>
      </c>
      <c r="I286" s="31" t="s">
        <v>14</v>
      </c>
      <c r="J286" s="12" t="s">
        <v>398</v>
      </c>
      <c r="K286" s="12" t="str">
        <f t="shared" si="61"/>
        <v>Sentencias Dictadas por Delitos de Abuso Sexual</v>
      </c>
      <c r="L286" s="12" t="str">
        <f t="shared" si="57"/>
        <v>Periodo 2013-2019</v>
      </c>
      <c r="M286" s="12" t="str">
        <f t="shared" si="57"/>
        <v>Número de sentencias</v>
      </c>
      <c r="N286" s="33" t="s">
        <v>5964</v>
      </c>
      <c r="O286" s="27" t="s">
        <v>6106</v>
      </c>
      <c r="P286" s="42" t="s">
        <v>6107</v>
      </c>
      <c r="Q286" s="14" t="str">
        <f t="shared" si="60"/>
        <v>Gráfico de Evolución</v>
      </c>
      <c r="R286" s="77" t="s">
        <v>5971</v>
      </c>
      <c r="S286" s="15" t="s">
        <v>6663</v>
      </c>
      <c r="T286" s="65" t="s">
        <v>5951</v>
      </c>
      <c r="U286" s="24" t="s">
        <v>397</v>
      </c>
      <c r="V286" s="19" t="str">
        <f>+Ingresos_Historicos[[#This Row],[idcoleccion]]&amp;"-"&amp;Ingresos_Historicos[[#This Row],[id]]</f>
        <v>300-0276</v>
      </c>
      <c r="W286" s="19" t="e">
        <f>+VLOOKUP(Ingresos_Historicos[[#This Row],[Filtro URL]],Estructura!$X$4:$Y$366,2,0)</f>
        <v>#N/A</v>
      </c>
      <c r="X286" s="19" t="str">
        <f>+VLOOKUP(Ingresos_Historicos[[#This Row],[tema]],Estructura!$A$4:$C$18,3,0)</f>
        <v>T-306</v>
      </c>
      <c r="Y286" s="19" t="str">
        <f>+VLOOKUP(Ingresos_Historicos[[#This Row],[contenido]],Estructura!$E$4:$G$18,3,0)</f>
        <v>C-301</v>
      </c>
      <c r="Z286" s="19" t="str">
        <f>+VLOOKUP(Ingresos_Historicos[[#This Row],[Filtro Integrado]],Estructura!$M$4:$O$367,3,0)</f>
        <v>FI-303</v>
      </c>
      <c r="AA286" s="19" t="str">
        <f>+VLOOKUP(Ingresos_Historicos[[#This Row],[Muestra]],Estructura!$Q$4:$S$194,3,0)</f>
        <v>M-306</v>
      </c>
    </row>
    <row r="287" spans="1:27" ht="61.2" x14ac:dyDescent="0.3">
      <c r="A287" s="71" t="s">
        <v>673</v>
      </c>
      <c r="B287" s="12">
        <f t="shared" ref="B287:D302" si="62">+B286</f>
        <v>300</v>
      </c>
      <c r="C287" s="13" t="str">
        <f t="shared" si="62"/>
        <v>Violencia contra la mujer</v>
      </c>
      <c r="D287" s="13" t="str">
        <f t="shared" si="62"/>
        <v>Mujeres</v>
      </c>
      <c r="E287" s="18">
        <v>270102008</v>
      </c>
      <c r="F287" s="13" t="str">
        <f t="shared" si="58"/>
        <v>Sentencias por delito de abuso sexual</v>
      </c>
      <c r="G287" s="55" t="str">
        <f t="shared" si="58"/>
        <v>Abuso Sexual</v>
      </c>
      <c r="H287" s="30" t="s">
        <v>19</v>
      </c>
      <c r="I287" s="31" t="s">
        <v>14</v>
      </c>
      <c r="J287" s="12" t="s">
        <v>398</v>
      </c>
      <c r="K287" s="12" t="str">
        <f t="shared" si="61"/>
        <v>Sentencias Dictadas por Delitos de Abuso Sexual</v>
      </c>
      <c r="L287" s="12" t="str">
        <f t="shared" si="57"/>
        <v>Periodo 2013-2019</v>
      </c>
      <c r="M287" s="12" t="str">
        <f t="shared" si="57"/>
        <v>Número de sentencias</v>
      </c>
      <c r="N287" s="33" t="s">
        <v>5964</v>
      </c>
      <c r="O287" s="27" t="s">
        <v>6108</v>
      </c>
      <c r="P287" s="42" t="s">
        <v>6109</v>
      </c>
      <c r="Q287" s="14" t="str">
        <f t="shared" si="60"/>
        <v>Gráfico de Evolución</v>
      </c>
      <c r="R287" s="77" t="s">
        <v>5971</v>
      </c>
      <c r="S287" s="15" t="s">
        <v>6664</v>
      </c>
      <c r="T287" s="65" t="s">
        <v>5951</v>
      </c>
      <c r="U287" s="24" t="s">
        <v>397</v>
      </c>
      <c r="V287" s="19" t="str">
        <f>+Ingresos_Historicos[[#This Row],[idcoleccion]]&amp;"-"&amp;Ingresos_Historicos[[#This Row],[id]]</f>
        <v>300-0277</v>
      </c>
      <c r="W287" s="19" t="e">
        <f>+VLOOKUP(Ingresos_Historicos[[#This Row],[Filtro URL]],Estructura!$X$4:$Y$366,2,0)</f>
        <v>#N/A</v>
      </c>
      <c r="X287" s="19" t="str">
        <f>+VLOOKUP(Ingresos_Historicos[[#This Row],[tema]],Estructura!$A$4:$C$18,3,0)</f>
        <v>T-306</v>
      </c>
      <c r="Y287" s="19" t="str">
        <f>+VLOOKUP(Ingresos_Historicos[[#This Row],[contenido]],Estructura!$E$4:$G$18,3,0)</f>
        <v>C-301</v>
      </c>
      <c r="Z287" s="19" t="str">
        <f>+VLOOKUP(Ingresos_Historicos[[#This Row],[Filtro Integrado]],Estructura!$M$4:$O$367,3,0)</f>
        <v>FI-303</v>
      </c>
      <c r="AA287" s="19" t="str">
        <f>+VLOOKUP(Ingresos_Historicos[[#This Row],[Muestra]],Estructura!$Q$4:$S$194,3,0)</f>
        <v>M-306</v>
      </c>
    </row>
    <row r="288" spans="1:27" ht="51" x14ac:dyDescent="0.3">
      <c r="A288" s="71" t="s">
        <v>674</v>
      </c>
      <c r="B288" s="12">
        <f t="shared" si="62"/>
        <v>300</v>
      </c>
      <c r="C288" s="13" t="str">
        <f t="shared" si="62"/>
        <v>Violencia contra la mujer</v>
      </c>
      <c r="D288" s="13" t="str">
        <f t="shared" si="62"/>
        <v>Mujeres</v>
      </c>
      <c r="E288" s="18">
        <v>270102009</v>
      </c>
      <c r="F288" s="13" t="str">
        <f t="shared" si="58"/>
        <v>Sentencias por delito de abuso sexual</v>
      </c>
      <c r="G288" s="55" t="str">
        <f t="shared" si="58"/>
        <v>Abuso Sexual</v>
      </c>
      <c r="H288" s="30" t="s">
        <v>19</v>
      </c>
      <c r="I288" s="31" t="s">
        <v>14</v>
      </c>
      <c r="J288" s="12" t="s">
        <v>398</v>
      </c>
      <c r="K288" s="12" t="str">
        <f t="shared" si="61"/>
        <v>Sentencias Dictadas por Delitos de Abuso Sexual</v>
      </c>
      <c r="L288" s="12" t="str">
        <f t="shared" si="61"/>
        <v>Periodo 2013-2019</v>
      </c>
      <c r="M288" s="12" t="str">
        <f t="shared" si="61"/>
        <v>Número de sentencias</v>
      </c>
      <c r="N288" s="33" t="s">
        <v>5964</v>
      </c>
      <c r="O288" s="27" t="s">
        <v>6110</v>
      </c>
      <c r="P288" s="42" t="s">
        <v>6111</v>
      </c>
      <c r="Q288" s="14" t="str">
        <f t="shared" si="60"/>
        <v>Gráfico de Evolución</v>
      </c>
      <c r="R288" s="77" t="s">
        <v>5971</v>
      </c>
      <c r="S288" s="15" t="s">
        <v>6665</v>
      </c>
      <c r="T288" s="65" t="s">
        <v>5951</v>
      </c>
      <c r="U288" s="24" t="s">
        <v>397</v>
      </c>
      <c r="V288" s="19" t="str">
        <f>+Ingresos_Historicos[[#This Row],[idcoleccion]]&amp;"-"&amp;Ingresos_Historicos[[#This Row],[id]]</f>
        <v>300-0278</v>
      </c>
      <c r="W288" s="19" t="e">
        <f>+VLOOKUP(Ingresos_Historicos[[#This Row],[Filtro URL]],Estructura!$X$4:$Y$366,2,0)</f>
        <v>#N/A</v>
      </c>
      <c r="X288" s="19" t="str">
        <f>+VLOOKUP(Ingresos_Historicos[[#This Row],[tema]],Estructura!$A$4:$C$18,3,0)</f>
        <v>T-306</v>
      </c>
      <c r="Y288" s="19" t="str">
        <f>+VLOOKUP(Ingresos_Historicos[[#This Row],[contenido]],Estructura!$E$4:$G$18,3,0)</f>
        <v>C-301</v>
      </c>
      <c r="Z288" s="19" t="str">
        <f>+VLOOKUP(Ingresos_Historicos[[#This Row],[Filtro Integrado]],Estructura!$M$4:$O$367,3,0)</f>
        <v>FI-303</v>
      </c>
      <c r="AA288" s="19" t="str">
        <f>+VLOOKUP(Ingresos_Historicos[[#This Row],[Muestra]],Estructura!$Q$4:$S$194,3,0)</f>
        <v>M-306</v>
      </c>
    </row>
    <row r="289" spans="1:27" ht="51" x14ac:dyDescent="0.3">
      <c r="A289" s="71" t="s">
        <v>675</v>
      </c>
      <c r="B289" s="12">
        <f t="shared" si="62"/>
        <v>300</v>
      </c>
      <c r="C289" s="13" t="str">
        <f t="shared" si="62"/>
        <v>Violencia contra la mujer</v>
      </c>
      <c r="D289" s="13" t="str">
        <f t="shared" si="62"/>
        <v>Mujeres</v>
      </c>
      <c r="E289" s="18">
        <v>270102010</v>
      </c>
      <c r="F289" s="13" t="str">
        <f t="shared" ref="F289:G304" si="63">+F288</f>
        <v>Sentencias por delito de abuso sexual</v>
      </c>
      <c r="G289" s="55" t="str">
        <f t="shared" si="63"/>
        <v>Abuso Sexual</v>
      </c>
      <c r="H289" s="30" t="s">
        <v>19</v>
      </c>
      <c r="I289" s="31" t="s">
        <v>14</v>
      </c>
      <c r="J289" s="12" t="s">
        <v>398</v>
      </c>
      <c r="K289" s="12" t="str">
        <f t="shared" si="61"/>
        <v>Sentencias Dictadas por Delitos de Abuso Sexual</v>
      </c>
      <c r="L289" s="12" t="str">
        <f t="shared" si="61"/>
        <v>Periodo 2013-2019</v>
      </c>
      <c r="M289" s="12" t="str">
        <f t="shared" si="61"/>
        <v>Número de sentencias</v>
      </c>
      <c r="N289" s="33" t="s">
        <v>5964</v>
      </c>
      <c r="O289" s="27" t="s">
        <v>6112</v>
      </c>
      <c r="P289" s="42" t="s">
        <v>6113</v>
      </c>
      <c r="Q289" s="14" t="str">
        <f t="shared" si="60"/>
        <v>Gráfico de Evolución</v>
      </c>
      <c r="R289" s="77" t="s">
        <v>5971</v>
      </c>
      <c r="S289" s="15" t="s">
        <v>6666</v>
      </c>
      <c r="T289" s="65" t="s">
        <v>5951</v>
      </c>
      <c r="U289" s="24" t="s">
        <v>397</v>
      </c>
      <c r="V289" s="19" t="str">
        <f>+Ingresos_Historicos[[#This Row],[idcoleccion]]&amp;"-"&amp;Ingresos_Historicos[[#This Row],[id]]</f>
        <v>300-0279</v>
      </c>
      <c r="W289" s="19" t="e">
        <f>+VLOOKUP(Ingresos_Historicos[[#This Row],[Filtro URL]],Estructura!$X$4:$Y$366,2,0)</f>
        <v>#N/A</v>
      </c>
      <c r="X289" s="19" t="str">
        <f>+VLOOKUP(Ingresos_Historicos[[#This Row],[tema]],Estructura!$A$4:$C$18,3,0)</f>
        <v>T-306</v>
      </c>
      <c r="Y289" s="19" t="str">
        <f>+VLOOKUP(Ingresos_Historicos[[#This Row],[contenido]],Estructura!$E$4:$G$18,3,0)</f>
        <v>C-301</v>
      </c>
      <c r="Z289" s="19" t="str">
        <f>+VLOOKUP(Ingresos_Historicos[[#This Row],[Filtro Integrado]],Estructura!$M$4:$O$367,3,0)</f>
        <v>FI-303</v>
      </c>
      <c r="AA289" s="19" t="str">
        <f>+VLOOKUP(Ingresos_Historicos[[#This Row],[Muestra]],Estructura!$Q$4:$S$194,3,0)</f>
        <v>M-306</v>
      </c>
    </row>
    <row r="290" spans="1:27" ht="60" x14ac:dyDescent="0.3">
      <c r="A290" s="32" t="s">
        <v>676</v>
      </c>
      <c r="B290" s="12">
        <f t="shared" si="62"/>
        <v>300</v>
      </c>
      <c r="C290" s="13" t="str">
        <f t="shared" si="62"/>
        <v>Violencia contra la mujer</v>
      </c>
      <c r="D290" s="13" t="str">
        <f t="shared" si="62"/>
        <v>Mujeres</v>
      </c>
      <c r="E290" s="26">
        <v>1</v>
      </c>
      <c r="F290" s="13" t="str">
        <f t="shared" si="63"/>
        <v>Sentencias por delito de abuso sexual</v>
      </c>
      <c r="G290" s="55" t="str">
        <f t="shared" si="63"/>
        <v>Abuso Sexual</v>
      </c>
      <c r="H290" s="29" t="s">
        <v>15</v>
      </c>
      <c r="I290" s="28" t="s">
        <v>367</v>
      </c>
      <c r="J290" s="12" t="s">
        <v>398</v>
      </c>
      <c r="K290" s="12" t="s">
        <v>6114</v>
      </c>
      <c r="L290" s="12" t="str">
        <f t="shared" si="61"/>
        <v>Periodo 2013-2019</v>
      </c>
      <c r="M290" s="12" t="s">
        <v>6115</v>
      </c>
      <c r="N290" s="33" t="s">
        <v>5964</v>
      </c>
      <c r="O290"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0"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0" s="14" t="s">
        <v>5967</v>
      </c>
      <c r="R290" s="77" t="s">
        <v>5975</v>
      </c>
      <c r="S290" s="15" t="s">
        <v>6667</v>
      </c>
      <c r="T290" s="65" t="s">
        <v>5922</v>
      </c>
      <c r="U290" s="24" t="s">
        <v>397</v>
      </c>
      <c r="V290" s="19" t="str">
        <f>+Ingresos_Historicos[[#This Row],[idcoleccion]]&amp;"-"&amp;Ingresos_Historicos[[#This Row],[id]]</f>
        <v>300-0280</v>
      </c>
      <c r="W290" s="19">
        <f>+VLOOKUP(Ingresos_Historicos[[#This Row],[Filtro URL]],Estructura!$X$4:$Y$366,2,0)</f>
        <v>30200001</v>
      </c>
      <c r="X290" s="19" t="str">
        <f>+VLOOKUP(Ingresos_Historicos[[#This Row],[tema]],Estructura!$A$4:$C$18,3,0)</f>
        <v>T-306</v>
      </c>
      <c r="Y290" s="19" t="str">
        <f>+VLOOKUP(Ingresos_Historicos[[#This Row],[contenido]],Estructura!$E$4:$G$18,3,0)</f>
        <v>C-301</v>
      </c>
      <c r="Z290" s="19" t="str">
        <f>+VLOOKUP(Ingresos_Historicos[[#This Row],[Filtro Integrado]],Estructura!$M$4:$O$367,3,0)</f>
        <v>FI-303</v>
      </c>
      <c r="AA290" s="19" t="str">
        <f>+VLOOKUP(Ingresos_Historicos[[#This Row],[Muestra]],Estructura!$Q$4:$S$194,3,0)</f>
        <v>M-307</v>
      </c>
    </row>
    <row r="291" spans="1:27" ht="60" x14ac:dyDescent="0.3">
      <c r="A291" s="71" t="s">
        <v>677</v>
      </c>
      <c r="B291" s="12">
        <f t="shared" si="62"/>
        <v>300</v>
      </c>
      <c r="C291" s="13" t="str">
        <f t="shared" si="62"/>
        <v>Violencia contra la mujer</v>
      </c>
      <c r="D291" s="13" t="str">
        <f t="shared" si="62"/>
        <v>Mujeres</v>
      </c>
      <c r="E291" s="26">
        <v>2</v>
      </c>
      <c r="F291" s="13" t="str">
        <f t="shared" si="63"/>
        <v>Sentencias por delito de abuso sexual</v>
      </c>
      <c r="G291" s="55" t="str">
        <f t="shared" si="63"/>
        <v>Abuso Sexual</v>
      </c>
      <c r="H291" s="29" t="s">
        <v>15</v>
      </c>
      <c r="I291" s="28" t="s">
        <v>368</v>
      </c>
      <c r="J291" s="12" t="s">
        <v>398</v>
      </c>
      <c r="K291" s="12" t="s">
        <v>6114</v>
      </c>
      <c r="L291" s="12" t="str">
        <f t="shared" si="61"/>
        <v>Periodo 2013-2019</v>
      </c>
      <c r="M291" s="12" t="str">
        <f t="shared" si="61"/>
        <v>Porcentaje</v>
      </c>
      <c r="N291" s="33" t="s">
        <v>5964</v>
      </c>
      <c r="O291"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1"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1" s="14" t="str">
        <f>+Q290</f>
        <v>Gráfico de Evolución</v>
      </c>
      <c r="R291" s="77" t="s">
        <v>5976</v>
      </c>
      <c r="S291" s="15" t="s">
        <v>6668</v>
      </c>
      <c r="T291" s="65" t="s">
        <v>5923</v>
      </c>
      <c r="U291" s="24" t="s">
        <v>397</v>
      </c>
      <c r="V291" s="19" t="str">
        <f>+Ingresos_Historicos[[#This Row],[idcoleccion]]&amp;"-"&amp;Ingresos_Historicos[[#This Row],[id]]</f>
        <v>300-0281</v>
      </c>
      <c r="W291" s="19">
        <f>+VLOOKUP(Ingresos_Historicos[[#This Row],[Filtro URL]],Estructura!$X$4:$Y$366,2,0)</f>
        <v>30200002</v>
      </c>
      <c r="X291" s="19" t="str">
        <f>+VLOOKUP(Ingresos_Historicos[[#This Row],[tema]],Estructura!$A$4:$C$18,3,0)</f>
        <v>T-306</v>
      </c>
      <c r="Y291" s="19" t="str">
        <f>+VLOOKUP(Ingresos_Historicos[[#This Row],[contenido]],Estructura!$E$4:$G$18,3,0)</f>
        <v>C-301</v>
      </c>
      <c r="Z291" s="19" t="str">
        <f>+VLOOKUP(Ingresos_Historicos[[#This Row],[Filtro Integrado]],Estructura!$M$4:$O$367,3,0)</f>
        <v>FI-303</v>
      </c>
      <c r="AA291" s="19" t="str">
        <f>+VLOOKUP(Ingresos_Historicos[[#This Row],[Muestra]],Estructura!$Q$4:$S$194,3,0)</f>
        <v>M-307</v>
      </c>
    </row>
    <row r="292" spans="1:27" ht="60" x14ac:dyDescent="0.3">
      <c r="A292" s="71" t="s">
        <v>678</v>
      </c>
      <c r="B292" s="12">
        <f t="shared" si="62"/>
        <v>300</v>
      </c>
      <c r="C292" s="13" t="str">
        <f t="shared" si="62"/>
        <v>Violencia contra la mujer</v>
      </c>
      <c r="D292" s="13" t="str">
        <f t="shared" si="62"/>
        <v>Mujeres</v>
      </c>
      <c r="E292" s="26">
        <v>3</v>
      </c>
      <c r="F292" s="13" t="str">
        <f t="shared" si="63"/>
        <v>Sentencias por delito de abuso sexual</v>
      </c>
      <c r="G292" s="55" t="str">
        <f t="shared" si="63"/>
        <v>Abuso Sexual</v>
      </c>
      <c r="H292" s="29" t="s">
        <v>15</v>
      </c>
      <c r="I292" s="28" t="s">
        <v>369</v>
      </c>
      <c r="J292" s="12" t="s">
        <v>398</v>
      </c>
      <c r="K292" s="12" t="s">
        <v>6114</v>
      </c>
      <c r="L292" s="12" t="str">
        <f t="shared" si="61"/>
        <v>Periodo 2013-2019</v>
      </c>
      <c r="M292" s="12" t="str">
        <f t="shared" si="61"/>
        <v>Porcentaje</v>
      </c>
      <c r="N292" s="33" t="s">
        <v>5964</v>
      </c>
      <c r="O292"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2"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2" s="14" t="str">
        <f>+Q291</f>
        <v>Gráfico de Evolución</v>
      </c>
      <c r="R292" s="77" t="s">
        <v>5977</v>
      </c>
      <c r="S292" s="15" t="s">
        <v>6669</v>
      </c>
      <c r="T292" s="65" t="s">
        <v>5925</v>
      </c>
      <c r="U292" s="24" t="s">
        <v>397</v>
      </c>
      <c r="V292" s="19" t="str">
        <f>+Ingresos_Historicos[[#This Row],[idcoleccion]]&amp;"-"&amp;Ingresos_Historicos[[#This Row],[id]]</f>
        <v>300-0282</v>
      </c>
      <c r="W292" s="19">
        <f>+VLOOKUP(Ingresos_Historicos[[#This Row],[Filtro URL]],Estructura!$X$4:$Y$366,2,0)</f>
        <v>30200003</v>
      </c>
      <c r="X292" s="19" t="str">
        <f>+VLOOKUP(Ingresos_Historicos[[#This Row],[tema]],Estructura!$A$4:$C$18,3,0)</f>
        <v>T-306</v>
      </c>
      <c r="Y292" s="19" t="str">
        <f>+VLOOKUP(Ingresos_Historicos[[#This Row],[contenido]],Estructura!$E$4:$G$18,3,0)</f>
        <v>C-301</v>
      </c>
      <c r="Z292" s="19" t="str">
        <f>+VLOOKUP(Ingresos_Historicos[[#This Row],[Filtro Integrado]],Estructura!$M$4:$O$367,3,0)</f>
        <v>FI-303</v>
      </c>
      <c r="AA292" s="19" t="str">
        <f>+VLOOKUP(Ingresos_Historicos[[#This Row],[Muestra]],Estructura!$Q$4:$S$194,3,0)</f>
        <v>M-307</v>
      </c>
    </row>
    <row r="293" spans="1:27" ht="60" x14ac:dyDescent="0.3">
      <c r="A293" s="71" t="s">
        <v>679</v>
      </c>
      <c r="B293" s="12">
        <f t="shared" si="62"/>
        <v>300</v>
      </c>
      <c r="C293" s="13" t="str">
        <f t="shared" si="62"/>
        <v>Violencia contra la mujer</v>
      </c>
      <c r="D293" s="13" t="str">
        <f t="shared" si="62"/>
        <v>Mujeres</v>
      </c>
      <c r="E293" s="26">
        <v>4</v>
      </c>
      <c r="F293" s="13" t="str">
        <f t="shared" si="63"/>
        <v>Sentencias por delito de abuso sexual</v>
      </c>
      <c r="G293" s="55" t="str">
        <f t="shared" si="63"/>
        <v>Abuso Sexual</v>
      </c>
      <c r="H293" s="29" t="s">
        <v>15</v>
      </c>
      <c r="I293" s="28" t="s">
        <v>370</v>
      </c>
      <c r="J293" s="12" t="s">
        <v>398</v>
      </c>
      <c r="K293" s="12" t="s">
        <v>6114</v>
      </c>
      <c r="L293" s="12" t="str">
        <f t="shared" si="61"/>
        <v>Periodo 2013-2019</v>
      </c>
      <c r="M293" s="12" t="str">
        <f t="shared" si="61"/>
        <v>Porcentaje</v>
      </c>
      <c r="N293" s="33" t="s">
        <v>5964</v>
      </c>
      <c r="O293"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3"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3" s="14" t="str">
        <f>+Q292</f>
        <v>Gráfico de Evolución</v>
      </c>
      <c r="R293" s="77" t="s">
        <v>5978</v>
      </c>
      <c r="S293" s="15" t="s">
        <v>6670</v>
      </c>
      <c r="T293" s="65" t="s">
        <v>5926</v>
      </c>
      <c r="U293" s="24" t="s">
        <v>397</v>
      </c>
      <c r="V293" s="19" t="str">
        <f>+Ingresos_Historicos[[#This Row],[idcoleccion]]&amp;"-"&amp;Ingresos_Historicos[[#This Row],[id]]</f>
        <v>300-0283</v>
      </c>
      <c r="W293" s="19">
        <f>+VLOOKUP(Ingresos_Historicos[[#This Row],[Filtro URL]],Estructura!$X$4:$Y$366,2,0)</f>
        <v>30200004</v>
      </c>
      <c r="X293" s="19" t="str">
        <f>+VLOOKUP(Ingresos_Historicos[[#This Row],[tema]],Estructura!$A$4:$C$18,3,0)</f>
        <v>T-306</v>
      </c>
      <c r="Y293" s="19" t="str">
        <f>+VLOOKUP(Ingresos_Historicos[[#This Row],[contenido]],Estructura!$E$4:$G$18,3,0)</f>
        <v>C-301</v>
      </c>
      <c r="Z293" s="19" t="str">
        <f>+VLOOKUP(Ingresos_Historicos[[#This Row],[Filtro Integrado]],Estructura!$M$4:$O$367,3,0)</f>
        <v>FI-303</v>
      </c>
      <c r="AA293" s="19" t="str">
        <f>+VLOOKUP(Ingresos_Historicos[[#This Row],[Muestra]],Estructura!$Q$4:$S$194,3,0)</f>
        <v>M-307</v>
      </c>
    </row>
    <row r="294" spans="1:27" ht="60" x14ac:dyDescent="0.3">
      <c r="A294" s="71" t="s">
        <v>680</v>
      </c>
      <c r="B294" s="12">
        <f t="shared" si="62"/>
        <v>300</v>
      </c>
      <c r="C294" s="13" t="str">
        <f t="shared" si="62"/>
        <v>Violencia contra la mujer</v>
      </c>
      <c r="D294" s="13" t="str">
        <f t="shared" si="62"/>
        <v>Mujeres</v>
      </c>
      <c r="E294" s="26">
        <v>5</v>
      </c>
      <c r="F294" s="13" t="str">
        <f t="shared" si="63"/>
        <v>Sentencias por delito de abuso sexual</v>
      </c>
      <c r="G294" s="55" t="str">
        <f t="shared" si="63"/>
        <v>Abuso Sexual</v>
      </c>
      <c r="H294" s="29" t="s">
        <v>15</v>
      </c>
      <c r="I294" s="28" t="s">
        <v>371</v>
      </c>
      <c r="J294" s="12" t="s">
        <v>398</v>
      </c>
      <c r="K294" s="12" t="s">
        <v>6114</v>
      </c>
      <c r="L294" s="12" t="str">
        <f t="shared" si="61"/>
        <v>Periodo 2013-2019</v>
      </c>
      <c r="M294" s="12" t="str">
        <f t="shared" si="61"/>
        <v>Porcentaje</v>
      </c>
      <c r="N294" s="33" t="s">
        <v>5964</v>
      </c>
      <c r="O294"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4"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4" s="14" t="str">
        <f>+Q293</f>
        <v>Gráfico de Evolución</v>
      </c>
      <c r="R294" s="77" t="s">
        <v>5979</v>
      </c>
      <c r="S294" s="15" t="s">
        <v>6671</v>
      </c>
      <c r="T294" s="65" t="s">
        <v>5927</v>
      </c>
      <c r="U294" s="24" t="s">
        <v>397</v>
      </c>
      <c r="V294" s="19" t="str">
        <f>+Ingresos_Historicos[[#This Row],[idcoleccion]]&amp;"-"&amp;Ingresos_Historicos[[#This Row],[id]]</f>
        <v>300-0284</v>
      </c>
      <c r="W294" s="19">
        <f>+VLOOKUP(Ingresos_Historicos[[#This Row],[Filtro URL]],Estructura!$X$4:$Y$366,2,0)</f>
        <v>30200005</v>
      </c>
      <c r="X294" s="19" t="str">
        <f>+VLOOKUP(Ingresos_Historicos[[#This Row],[tema]],Estructura!$A$4:$C$18,3,0)</f>
        <v>T-306</v>
      </c>
      <c r="Y294" s="19" t="str">
        <f>+VLOOKUP(Ingresos_Historicos[[#This Row],[contenido]],Estructura!$E$4:$G$18,3,0)</f>
        <v>C-301</v>
      </c>
      <c r="Z294" s="19" t="str">
        <f>+VLOOKUP(Ingresos_Historicos[[#This Row],[Filtro Integrado]],Estructura!$M$4:$O$367,3,0)</f>
        <v>FI-303</v>
      </c>
      <c r="AA294" s="19" t="str">
        <f>+VLOOKUP(Ingresos_Historicos[[#This Row],[Muestra]],Estructura!$Q$4:$S$194,3,0)</f>
        <v>M-307</v>
      </c>
    </row>
    <row r="295" spans="1:27" ht="60" x14ac:dyDescent="0.3">
      <c r="A295" s="71" t="s">
        <v>681</v>
      </c>
      <c r="B295" s="12">
        <f t="shared" si="62"/>
        <v>300</v>
      </c>
      <c r="C295" s="13" t="str">
        <f t="shared" si="62"/>
        <v>Violencia contra la mujer</v>
      </c>
      <c r="D295" s="13" t="str">
        <f t="shared" si="62"/>
        <v>Mujeres</v>
      </c>
      <c r="E295" s="26">
        <v>6</v>
      </c>
      <c r="F295" s="13" t="str">
        <f t="shared" si="63"/>
        <v>Sentencias por delito de abuso sexual</v>
      </c>
      <c r="G295" s="55" t="str">
        <f t="shared" si="63"/>
        <v>Abuso Sexual</v>
      </c>
      <c r="H295" s="29" t="s">
        <v>15</v>
      </c>
      <c r="I295" s="28" t="s">
        <v>372</v>
      </c>
      <c r="J295" s="12" t="s">
        <v>398</v>
      </c>
      <c r="K295" s="12" t="s">
        <v>6114</v>
      </c>
      <c r="L295" s="12" t="str">
        <f t="shared" si="61"/>
        <v>Periodo 2013-2019</v>
      </c>
      <c r="M295" s="12" t="str">
        <f t="shared" si="61"/>
        <v>Porcentaje</v>
      </c>
      <c r="N295" s="33" t="s">
        <v>5964</v>
      </c>
      <c r="O295"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5"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5" s="14" t="str">
        <f t="shared" ref="Q295:Q302" si="64">+Q294</f>
        <v>Gráfico de Evolución</v>
      </c>
      <c r="R295" s="77" t="s">
        <v>5980</v>
      </c>
      <c r="S295" s="15" t="s">
        <v>6672</v>
      </c>
      <c r="T295" s="65" t="s">
        <v>5928</v>
      </c>
      <c r="U295" s="24" t="s">
        <v>397</v>
      </c>
      <c r="V295" s="19" t="str">
        <f>+Ingresos_Historicos[[#This Row],[idcoleccion]]&amp;"-"&amp;Ingresos_Historicos[[#This Row],[id]]</f>
        <v>300-0285</v>
      </c>
      <c r="W295" s="19">
        <f>+VLOOKUP(Ingresos_Historicos[[#This Row],[Filtro URL]],Estructura!$X$4:$Y$366,2,0)</f>
        <v>30200006</v>
      </c>
      <c r="X295" s="19" t="str">
        <f>+VLOOKUP(Ingresos_Historicos[[#This Row],[tema]],Estructura!$A$4:$C$18,3,0)</f>
        <v>T-306</v>
      </c>
      <c r="Y295" s="19" t="str">
        <f>+VLOOKUP(Ingresos_Historicos[[#This Row],[contenido]],Estructura!$E$4:$G$18,3,0)</f>
        <v>C-301</v>
      </c>
      <c r="Z295" s="19" t="str">
        <f>+VLOOKUP(Ingresos_Historicos[[#This Row],[Filtro Integrado]],Estructura!$M$4:$O$367,3,0)</f>
        <v>FI-303</v>
      </c>
      <c r="AA295" s="19" t="str">
        <f>+VLOOKUP(Ingresos_Historicos[[#This Row],[Muestra]],Estructura!$Q$4:$S$194,3,0)</f>
        <v>M-307</v>
      </c>
    </row>
    <row r="296" spans="1:27" ht="60" x14ac:dyDescent="0.3">
      <c r="A296" s="71" t="s">
        <v>682</v>
      </c>
      <c r="B296" s="12">
        <f t="shared" si="62"/>
        <v>300</v>
      </c>
      <c r="C296" s="13" t="str">
        <f t="shared" si="62"/>
        <v>Violencia contra la mujer</v>
      </c>
      <c r="D296" s="13" t="str">
        <f t="shared" si="62"/>
        <v>Mujeres</v>
      </c>
      <c r="E296" s="26">
        <v>7</v>
      </c>
      <c r="F296" s="13" t="str">
        <f t="shared" si="63"/>
        <v>Sentencias por delito de abuso sexual</v>
      </c>
      <c r="G296" s="55" t="str">
        <f t="shared" si="63"/>
        <v>Abuso Sexual</v>
      </c>
      <c r="H296" s="29" t="s">
        <v>15</v>
      </c>
      <c r="I296" s="28" t="s">
        <v>373</v>
      </c>
      <c r="J296" s="12" t="s">
        <v>398</v>
      </c>
      <c r="K296" s="12" t="s">
        <v>6114</v>
      </c>
      <c r="L296" s="12" t="str">
        <f t="shared" si="61"/>
        <v>Periodo 2013-2019</v>
      </c>
      <c r="M296" s="12" t="str">
        <f t="shared" si="61"/>
        <v>Porcentaje</v>
      </c>
      <c r="N296" s="33" t="s">
        <v>5964</v>
      </c>
      <c r="O296"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6"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6" s="14" t="str">
        <f t="shared" si="64"/>
        <v>Gráfico de Evolución</v>
      </c>
      <c r="R296" s="77" t="s">
        <v>5981</v>
      </c>
      <c r="S296" s="15" t="s">
        <v>6673</v>
      </c>
      <c r="T296" s="65" t="s">
        <v>5929</v>
      </c>
      <c r="U296" s="24" t="s">
        <v>397</v>
      </c>
      <c r="V296" s="19" t="str">
        <f>+Ingresos_Historicos[[#This Row],[idcoleccion]]&amp;"-"&amp;Ingresos_Historicos[[#This Row],[id]]</f>
        <v>300-0286</v>
      </c>
      <c r="W296" s="19">
        <f>+VLOOKUP(Ingresos_Historicos[[#This Row],[Filtro URL]],Estructura!$X$4:$Y$366,2,0)</f>
        <v>30200007</v>
      </c>
      <c r="X296" s="19" t="str">
        <f>+VLOOKUP(Ingresos_Historicos[[#This Row],[tema]],Estructura!$A$4:$C$18,3,0)</f>
        <v>T-306</v>
      </c>
      <c r="Y296" s="19" t="str">
        <f>+VLOOKUP(Ingresos_Historicos[[#This Row],[contenido]],Estructura!$E$4:$G$18,3,0)</f>
        <v>C-301</v>
      </c>
      <c r="Z296" s="19" t="str">
        <f>+VLOOKUP(Ingresos_Historicos[[#This Row],[Filtro Integrado]],Estructura!$M$4:$O$367,3,0)</f>
        <v>FI-303</v>
      </c>
      <c r="AA296" s="19" t="str">
        <f>+VLOOKUP(Ingresos_Historicos[[#This Row],[Muestra]],Estructura!$Q$4:$S$194,3,0)</f>
        <v>M-307</v>
      </c>
    </row>
    <row r="297" spans="1:27" ht="60" x14ac:dyDescent="0.3">
      <c r="A297" s="71" t="s">
        <v>683</v>
      </c>
      <c r="B297" s="12">
        <f t="shared" si="62"/>
        <v>300</v>
      </c>
      <c r="C297" s="13" t="str">
        <f t="shared" si="62"/>
        <v>Violencia contra la mujer</v>
      </c>
      <c r="D297" s="13" t="str">
        <f t="shared" si="62"/>
        <v>Mujeres</v>
      </c>
      <c r="E297" s="26">
        <v>8</v>
      </c>
      <c r="F297" s="13" t="str">
        <f t="shared" si="63"/>
        <v>Sentencias por delito de abuso sexual</v>
      </c>
      <c r="G297" s="55" t="str">
        <f t="shared" si="63"/>
        <v>Abuso Sexual</v>
      </c>
      <c r="H297" s="29" t="s">
        <v>15</v>
      </c>
      <c r="I297" s="28" t="s">
        <v>374</v>
      </c>
      <c r="J297" s="12" t="s">
        <v>398</v>
      </c>
      <c r="K297" s="12" t="s">
        <v>6114</v>
      </c>
      <c r="L297" s="12" t="str">
        <f t="shared" si="61"/>
        <v>Periodo 2013-2019</v>
      </c>
      <c r="M297" s="12" t="str">
        <f t="shared" si="61"/>
        <v>Porcentaje</v>
      </c>
      <c r="N297" s="33" t="s">
        <v>5964</v>
      </c>
      <c r="O297"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7"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7" s="14" t="str">
        <f t="shared" si="64"/>
        <v>Gráfico de Evolución</v>
      </c>
      <c r="R297" s="77" t="s">
        <v>5982</v>
      </c>
      <c r="S297" s="15" t="s">
        <v>6674</v>
      </c>
      <c r="T297" s="65" t="s">
        <v>5930</v>
      </c>
      <c r="U297" s="24" t="s">
        <v>397</v>
      </c>
      <c r="V297" s="19" t="str">
        <f>+Ingresos_Historicos[[#This Row],[idcoleccion]]&amp;"-"&amp;Ingresos_Historicos[[#This Row],[id]]</f>
        <v>300-0287</v>
      </c>
      <c r="W297" s="19">
        <f>+VLOOKUP(Ingresos_Historicos[[#This Row],[Filtro URL]],Estructura!$X$4:$Y$366,2,0)</f>
        <v>30200008</v>
      </c>
      <c r="X297" s="19" t="str">
        <f>+VLOOKUP(Ingresos_Historicos[[#This Row],[tema]],Estructura!$A$4:$C$18,3,0)</f>
        <v>T-306</v>
      </c>
      <c r="Y297" s="19" t="str">
        <f>+VLOOKUP(Ingresos_Historicos[[#This Row],[contenido]],Estructura!$E$4:$G$18,3,0)</f>
        <v>C-301</v>
      </c>
      <c r="Z297" s="19" t="str">
        <f>+VLOOKUP(Ingresos_Historicos[[#This Row],[Filtro Integrado]],Estructura!$M$4:$O$367,3,0)</f>
        <v>FI-303</v>
      </c>
      <c r="AA297" s="19" t="str">
        <f>+VLOOKUP(Ingresos_Historicos[[#This Row],[Muestra]],Estructura!$Q$4:$S$194,3,0)</f>
        <v>M-307</v>
      </c>
    </row>
    <row r="298" spans="1:27" ht="60" x14ac:dyDescent="0.3">
      <c r="A298" s="71" t="s">
        <v>684</v>
      </c>
      <c r="B298" s="12">
        <f t="shared" si="62"/>
        <v>300</v>
      </c>
      <c r="C298" s="13" t="str">
        <f t="shared" si="62"/>
        <v>Violencia contra la mujer</v>
      </c>
      <c r="D298" s="13" t="str">
        <f t="shared" si="62"/>
        <v>Mujeres</v>
      </c>
      <c r="E298" s="26">
        <v>9</v>
      </c>
      <c r="F298" s="13" t="str">
        <f t="shared" si="63"/>
        <v>Sentencias por delito de abuso sexual</v>
      </c>
      <c r="G298" s="55" t="str">
        <f t="shared" si="63"/>
        <v>Abuso Sexual</v>
      </c>
      <c r="H298" s="29" t="s">
        <v>15</v>
      </c>
      <c r="I298" s="28" t="s">
        <v>375</v>
      </c>
      <c r="J298" s="12" t="s">
        <v>398</v>
      </c>
      <c r="K298" s="12" t="s">
        <v>6114</v>
      </c>
      <c r="L298" s="12" t="str">
        <f t="shared" si="61"/>
        <v>Periodo 2013-2019</v>
      </c>
      <c r="M298" s="12" t="str">
        <f t="shared" si="61"/>
        <v>Porcentaje</v>
      </c>
      <c r="N298" s="33" t="s">
        <v>5964</v>
      </c>
      <c r="O298"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8"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8" s="14" t="str">
        <f t="shared" si="64"/>
        <v>Gráfico de Evolución</v>
      </c>
      <c r="R298" s="77" t="s">
        <v>5983</v>
      </c>
      <c r="S298" s="15" t="s">
        <v>6675</v>
      </c>
      <c r="T298" s="65" t="s">
        <v>5931</v>
      </c>
      <c r="U298" s="24" t="s">
        <v>397</v>
      </c>
      <c r="V298" s="19" t="str">
        <f>+Ingresos_Historicos[[#This Row],[idcoleccion]]&amp;"-"&amp;Ingresos_Historicos[[#This Row],[id]]</f>
        <v>300-0288</v>
      </c>
      <c r="W298" s="19">
        <f>+VLOOKUP(Ingresos_Historicos[[#This Row],[Filtro URL]],Estructura!$X$4:$Y$366,2,0)</f>
        <v>30200009</v>
      </c>
      <c r="X298" s="19" t="str">
        <f>+VLOOKUP(Ingresos_Historicos[[#This Row],[tema]],Estructura!$A$4:$C$18,3,0)</f>
        <v>T-306</v>
      </c>
      <c r="Y298" s="19" t="str">
        <f>+VLOOKUP(Ingresos_Historicos[[#This Row],[contenido]],Estructura!$E$4:$G$18,3,0)</f>
        <v>C-301</v>
      </c>
      <c r="Z298" s="19" t="str">
        <f>+VLOOKUP(Ingresos_Historicos[[#This Row],[Filtro Integrado]],Estructura!$M$4:$O$367,3,0)</f>
        <v>FI-303</v>
      </c>
      <c r="AA298" s="19" t="str">
        <f>+VLOOKUP(Ingresos_Historicos[[#This Row],[Muestra]],Estructura!$Q$4:$S$194,3,0)</f>
        <v>M-307</v>
      </c>
    </row>
    <row r="299" spans="1:27" ht="60" x14ac:dyDescent="0.3">
      <c r="A299" s="71" t="s">
        <v>685</v>
      </c>
      <c r="B299" s="12">
        <f t="shared" si="62"/>
        <v>300</v>
      </c>
      <c r="C299" s="13" t="str">
        <f t="shared" si="62"/>
        <v>Violencia contra la mujer</v>
      </c>
      <c r="D299" s="13" t="str">
        <f t="shared" si="62"/>
        <v>Mujeres</v>
      </c>
      <c r="E299" s="26">
        <v>10</v>
      </c>
      <c r="F299" s="13" t="str">
        <f t="shared" si="63"/>
        <v>Sentencias por delito de abuso sexual</v>
      </c>
      <c r="G299" s="55" t="str">
        <f t="shared" si="63"/>
        <v>Abuso Sexual</v>
      </c>
      <c r="H299" s="29" t="s">
        <v>15</v>
      </c>
      <c r="I299" s="28" t="s">
        <v>376</v>
      </c>
      <c r="J299" s="12" t="s">
        <v>398</v>
      </c>
      <c r="K299" s="12" t="s">
        <v>6114</v>
      </c>
      <c r="L299" s="12" t="str">
        <f t="shared" si="61"/>
        <v>Periodo 2013-2019</v>
      </c>
      <c r="M299" s="12" t="str">
        <f t="shared" si="61"/>
        <v>Porcentaje</v>
      </c>
      <c r="N299" s="33" t="s">
        <v>5964</v>
      </c>
      <c r="O299"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299"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299" s="14" t="str">
        <f t="shared" si="64"/>
        <v>Gráfico de Evolución</v>
      </c>
      <c r="R299" s="77" t="s">
        <v>5984</v>
      </c>
      <c r="S299" s="15" t="s">
        <v>6676</v>
      </c>
      <c r="T299" s="65" t="s">
        <v>5932</v>
      </c>
      <c r="U299" s="24" t="s">
        <v>397</v>
      </c>
      <c r="V299" s="19" t="str">
        <f>+Ingresos_Historicos[[#This Row],[idcoleccion]]&amp;"-"&amp;Ingresos_Historicos[[#This Row],[id]]</f>
        <v>300-0289</v>
      </c>
      <c r="W299" s="19">
        <f>+VLOOKUP(Ingresos_Historicos[[#This Row],[Filtro URL]],Estructura!$X$4:$Y$366,2,0)</f>
        <v>30200010</v>
      </c>
      <c r="X299" s="19" t="str">
        <f>+VLOOKUP(Ingresos_Historicos[[#This Row],[tema]],Estructura!$A$4:$C$18,3,0)</f>
        <v>T-306</v>
      </c>
      <c r="Y299" s="19" t="str">
        <f>+VLOOKUP(Ingresos_Historicos[[#This Row],[contenido]],Estructura!$E$4:$G$18,3,0)</f>
        <v>C-301</v>
      </c>
      <c r="Z299" s="19" t="str">
        <f>+VLOOKUP(Ingresos_Historicos[[#This Row],[Filtro Integrado]],Estructura!$M$4:$O$367,3,0)</f>
        <v>FI-303</v>
      </c>
      <c r="AA299" s="19" t="str">
        <f>+VLOOKUP(Ingresos_Historicos[[#This Row],[Muestra]],Estructura!$Q$4:$S$194,3,0)</f>
        <v>M-307</v>
      </c>
    </row>
    <row r="300" spans="1:27" ht="60" x14ac:dyDescent="0.3">
      <c r="A300" s="71" t="s">
        <v>686</v>
      </c>
      <c r="B300" s="12">
        <f t="shared" si="62"/>
        <v>300</v>
      </c>
      <c r="C300" s="13" t="str">
        <f t="shared" si="62"/>
        <v>Violencia contra la mujer</v>
      </c>
      <c r="D300" s="13" t="str">
        <f t="shared" si="62"/>
        <v>Mujeres</v>
      </c>
      <c r="E300" s="26">
        <v>11</v>
      </c>
      <c r="F300" s="13" t="str">
        <f t="shared" si="63"/>
        <v>Sentencias por delito de abuso sexual</v>
      </c>
      <c r="G300" s="55" t="str">
        <f t="shared" si="63"/>
        <v>Abuso Sexual</v>
      </c>
      <c r="H300" s="29" t="s">
        <v>15</v>
      </c>
      <c r="I300" s="28" t="s">
        <v>377</v>
      </c>
      <c r="J300" s="12" t="s">
        <v>398</v>
      </c>
      <c r="K300" s="12" t="s">
        <v>6114</v>
      </c>
      <c r="L300" s="12" t="str">
        <f t="shared" ref="L300:M315" si="65">+L299</f>
        <v>Periodo 2013-2019</v>
      </c>
      <c r="M300" s="12" t="str">
        <f t="shared" si="65"/>
        <v>Porcentaje</v>
      </c>
      <c r="N300" s="33" t="s">
        <v>5964</v>
      </c>
      <c r="O300"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300"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300" s="14" t="str">
        <f t="shared" si="64"/>
        <v>Gráfico de Evolución</v>
      </c>
      <c r="R300" s="77" t="s">
        <v>5985</v>
      </c>
      <c r="S300" s="15" t="s">
        <v>6677</v>
      </c>
      <c r="T300" s="65" t="s">
        <v>5933</v>
      </c>
      <c r="U300" s="24" t="s">
        <v>397</v>
      </c>
      <c r="V300" s="19" t="str">
        <f>+Ingresos_Historicos[[#This Row],[idcoleccion]]&amp;"-"&amp;Ingresos_Historicos[[#This Row],[id]]</f>
        <v>300-0290</v>
      </c>
      <c r="W300" s="19">
        <f>+VLOOKUP(Ingresos_Historicos[[#This Row],[Filtro URL]],Estructura!$X$4:$Y$366,2,0)</f>
        <v>30200011</v>
      </c>
      <c r="X300" s="19" t="str">
        <f>+VLOOKUP(Ingresos_Historicos[[#This Row],[tema]],Estructura!$A$4:$C$18,3,0)</f>
        <v>T-306</v>
      </c>
      <c r="Y300" s="19" t="str">
        <f>+VLOOKUP(Ingresos_Historicos[[#This Row],[contenido]],Estructura!$E$4:$G$18,3,0)</f>
        <v>C-301</v>
      </c>
      <c r="Z300" s="19" t="str">
        <f>+VLOOKUP(Ingresos_Historicos[[#This Row],[Filtro Integrado]],Estructura!$M$4:$O$367,3,0)</f>
        <v>FI-303</v>
      </c>
      <c r="AA300" s="19" t="str">
        <f>+VLOOKUP(Ingresos_Historicos[[#This Row],[Muestra]],Estructura!$Q$4:$S$194,3,0)</f>
        <v>M-307</v>
      </c>
    </row>
    <row r="301" spans="1:27" ht="60" x14ac:dyDescent="0.3">
      <c r="A301" s="71" t="s">
        <v>687</v>
      </c>
      <c r="B301" s="12">
        <f t="shared" si="62"/>
        <v>300</v>
      </c>
      <c r="C301" s="13" t="str">
        <f t="shared" si="62"/>
        <v>Violencia contra la mujer</v>
      </c>
      <c r="D301" s="13" t="str">
        <f t="shared" si="62"/>
        <v>Mujeres</v>
      </c>
      <c r="E301" s="26">
        <v>12</v>
      </c>
      <c r="F301" s="13" t="str">
        <f t="shared" si="63"/>
        <v>Sentencias por delito de abuso sexual</v>
      </c>
      <c r="G301" s="55" t="str">
        <f t="shared" si="63"/>
        <v>Abuso Sexual</v>
      </c>
      <c r="H301" s="29" t="s">
        <v>15</v>
      </c>
      <c r="I301" s="28" t="s">
        <v>378</v>
      </c>
      <c r="J301" s="12" t="s">
        <v>398</v>
      </c>
      <c r="K301" s="12" t="s">
        <v>6114</v>
      </c>
      <c r="L301" s="12" t="str">
        <f t="shared" si="65"/>
        <v>Periodo 2013-2019</v>
      </c>
      <c r="M301" s="12" t="str">
        <f t="shared" si="65"/>
        <v>Porcentaje</v>
      </c>
      <c r="N301" s="33" t="s">
        <v>5964</v>
      </c>
      <c r="O301"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301"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301" s="14" t="str">
        <f t="shared" si="64"/>
        <v>Gráfico de Evolución</v>
      </c>
      <c r="R301" s="77" t="s">
        <v>5986</v>
      </c>
      <c r="S301" s="15" t="s">
        <v>6678</v>
      </c>
      <c r="T301" s="65" t="s">
        <v>5934</v>
      </c>
      <c r="U301" s="24" t="s">
        <v>397</v>
      </c>
      <c r="V301" s="19" t="str">
        <f>+Ingresos_Historicos[[#This Row],[idcoleccion]]&amp;"-"&amp;Ingresos_Historicos[[#This Row],[id]]</f>
        <v>300-0291</v>
      </c>
      <c r="W301" s="19">
        <f>+VLOOKUP(Ingresos_Historicos[[#This Row],[Filtro URL]],Estructura!$X$4:$Y$366,2,0)</f>
        <v>30200012</v>
      </c>
      <c r="X301" s="19" t="str">
        <f>+VLOOKUP(Ingresos_Historicos[[#This Row],[tema]],Estructura!$A$4:$C$18,3,0)</f>
        <v>T-306</v>
      </c>
      <c r="Y301" s="19" t="str">
        <f>+VLOOKUP(Ingresos_Historicos[[#This Row],[contenido]],Estructura!$E$4:$G$18,3,0)</f>
        <v>C-301</v>
      </c>
      <c r="Z301" s="19" t="str">
        <f>+VLOOKUP(Ingresos_Historicos[[#This Row],[Filtro Integrado]],Estructura!$M$4:$O$367,3,0)</f>
        <v>FI-303</v>
      </c>
      <c r="AA301" s="19" t="str">
        <f>+VLOOKUP(Ingresos_Historicos[[#This Row],[Muestra]],Estructura!$Q$4:$S$194,3,0)</f>
        <v>M-307</v>
      </c>
    </row>
    <row r="302" spans="1:27" ht="60" x14ac:dyDescent="0.3">
      <c r="A302" s="71" t="s">
        <v>688</v>
      </c>
      <c r="B302" s="12">
        <f t="shared" si="62"/>
        <v>300</v>
      </c>
      <c r="C302" s="13" t="str">
        <f t="shared" si="62"/>
        <v>Violencia contra la mujer</v>
      </c>
      <c r="D302" s="13" t="str">
        <f t="shared" si="62"/>
        <v>Mujeres</v>
      </c>
      <c r="E302" s="26">
        <v>13</v>
      </c>
      <c r="F302" s="13" t="str">
        <f t="shared" si="63"/>
        <v>Sentencias por delito de abuso sexual</v>
      </c>
      <c r="G302" s="55" t="str">
        <f t="shared" si="63"/>
        <v>Abuso Sexual</v>
      </c>
      <c r="H302" s="29" t="s">
        <v>15</v>
      </c>
      <c r="I302" s="28" t="s">
        <v>379</v>
      </c>
      <c r="J302" s="12" t="s">
        <v>398</v>
      </c>
      <c r="K302" s="12" t="s">
        <v>6114</v>
      </c>
      <c r="L302" s="12" t="str">
        <f t="shared" si="65"/>
        <v>Periodo 2013-2019</v>
      </c>
      <c r="M302" s="12" t="str">
        <f t="shared" si="65"/>
        <v>Porcentaje</v>
      </c>
      <c r="N302" s="33" t="s">
        <v>5964</v>
      </c>
      <c r="O302"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302"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302" s="14" t="str">
        <f t="shared" si="64"/>
        <v>Gráfico de Evolución</v>
      </c>
      <c r="R302" s="77" t="s">
        <v>5987</v>
      </c>
      <c r="S302" s="15" t="s">
        <v>6679</v>
      </c>
      <c r="T302" s="65" t="s">
        <v>5935</v>
      </c>
      <c r="U302" s="24" t="s">
        <v>397</v>
      </c>
      <c r="V302" s="19" t="str">
        <f>+Ingresos_Historicos[[#This Row],[idcoleccion]]&amp;"-"&amp;Ingresos_Historicos[[#This Row],[id]]</f>
        <v>300-0292</v>
      </c>
      <c r="W302" s="19">
        <f>+VLOOKUP(Ingresos_Historicos[[#This Row],[Filtro URL]],Estructura!$X$4:$Y$366,2,0)</f>
        <v>30200013</v>
      </c>
      <c r="X302" s="19" t="str">
        <f>+VLOOKUP(Ingresos_Historicos[[#This Row],[tema]],Estructura!$A$4:$C$18,3,0)</f>
        <v>T-306</v>
      </c>
      <c r="Y302" s="19" t="str">
        <f>+VLOOKUP(Ingresos_Historicos[[#This Row],[contenido]],Estructura!$E$4:$G$18,3,0)</f>
        <v>C-301</v>
      </c>
      <c r="Z302" s="19" t="str">
        <f>+VLOOKUP(Ingresos_Historicos[[#This Row],[Filtro Integrado]],Estructura!$M$4:$O$367,3,0)</f>
        <v>FI-303</v>
      </c>
      <c r="AA302" s="19" t="str">
        <f>+VLOOKUP(Ingresos_Historicos[[#This Row],[Muestra]],Estructura!$Q$4:$S$194,3,0)</f>
        <v>M-307</v>
      </c>
    </row>
    <row r="303" spans="1:27" ht="60" x14ac:dyDescent="0.3">
      <c r="A303" s="71" t="s">
        <v>689</v>
      </c>
      <c r="B303" s="12">
        <f t="shared" ref="B303:D318" si="66">+B302</f>
        <v>300</v>
      </c>
      <c r="C303" s="13" t="str">
        <f t="shared" si="66"/>
        <v>Violencia contra la mujer</v>
      </c>
      <c r="D303" s="13" t="str">
        <f t="shared" si="66"/>
        <v>Mujeres</v>
      </c>
      <c r="E303" s="26">
        <v>14</v>
      </c>
      <c r="F303" s="13" t="str">
        <f t="shared" si="63"/>
        <v>Sentencias por delito de abuso sexual</v>
      </c>
      <c r="G303" s="55" t="str">
        <f t="shared" si="63"/>
        <v>Abuso Sexual</v>
      </c>
      <c r="H303" s="29" t="s">
        <v>15</v>
      </c>
      <c r="I303" s="28" t="s">
        <v>380</v>
      </c>
      <c r="J303" s="12" t="s">
        <v>398</v>
      </c>
      <c r="K303" s="12" t="s">
        <v>6114</v>
      </c>
      <c r="L303" s="12" t="str">
        <f t="shared" si="65"/>
        <v>Periodo 2013-2019</v>
      </c>
      <c r="M303" s="12" t="str">
        <f t="shared" si="65"/>
        <v>Porcentaje</v>
      </c>
      <c r="N303" s="33" t="s">
        <v>5964</v>
      </c>
      <c r="O303"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303"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303" s="14" t="str">
        <f>+Q302</f>
        <v>Gráfico de Evolución</v>
      </c>
      <c r="R303" s="77" t="s">
        <v>5988</v>
      </c>
      <c r="S303" s="15" t="s">
        <v>6680</v>
      </c>
      <c r="T303" s="65" t="s">
        <v>5936</v>
      </c>
      <c r="U303" s="24" t="s">
        <v>397</v>
      </c>
      <c r="V303" s="19" t="str">
        <f>+Ingresos_Historicos[[#This Row],[idcoleccion]]&amp;"-"&amp;Ingresos_Historicos[[#This Row],[id]]</f>
        <v>300-0293</v>
      </c>
      <c r="W303" s="19">
        <f>+VLOOKUP(Ingresos_Historicos[[#This Row],[Filtro URL]],Estructura!$X$4:$Y$366,2,0)</f>
        <v>30200014</v>
      </c>
      <c r="X303" s="19" t="str">
        <f>+VLOOKUP(Ingresos_Historicos[[#This Row],[tema]],Estructura!$A$4:$C$18,3,0)</f>
        <v>T-306</v>
      </c>
      <c r="Y303" s="19" t="str">
        <f>+VLOOKUP(Ingresos_Historicos[[#This Row],[contenido]],Estructura!$E$4:$G$18,3,0)</f>
        <v>C-301</v>
      </c>
      <c r="Z303" s="19" t="str">
        <f>+VLOOKUP(Ingresos_Historicos[[#This Row],[Filtro Integrado]],Estructura!$M$4:$O$367,3,0)</f>
        <v>FI-303</v>
      </c>
      <c r="AA303" s="19" t="str">
        <f>+VLOOKUP(Ingresos_Historicos[[#This Row],[Muestra]],Estructura!$Q$4:$S$194,3,0)</f>
        <v>M-307</v>
      </c>
    </row>
    <row r="304" spans="1:27" ht="60" x14ac:dyDescent="0.3">
      <c r="A304" s="71" t="s">
        <v>690</v>
      </c>
      <c r="B304" s="12">
        <f t="shared" si="66"/>
        <v>300</v>
      </c>
      <c r="C304" s="13" t="str">
        <f t="shared" si="66"/>
        <v>Violencia contra la mujer</v>
      </c>
      <c r="D304" s="13" t="str">
        <f t="shared" si="66"/>
        <v>Mujeres</v>
      </c>
      <c r="E304" s="26">
        <v>15</v>
      </c>
      <c r="F304" s="13" t="str">
        <f t="shared" si="63"/>
        <v>Sentencias por delito de abuso sexual</v>
      </c>
      <c r="G304" s="55" t="str">
        <f t="shared" si="63"/>
        <v>Abuso Sexual</v>
      </c>
      <c r="H304" s="29" t="s">
        <v>15</v>
      </c>
      <c r="I304" s="28" t="s">
        <v>381</v>
      </c>
      <c r="J304" s="12" t="s">
        <v>398</v>
      </c>
      <c r="K304" s="12" t="s">
        <v>6114</v>
      </c>
      <c r="L304" s="12" t="str">
        <f t="shared" si="65"/>
        <v>Periodo 2013-2019</v>
      </c>
      <c r="M304" s="12" t="str">
        <f t="shared" si="65"/>
        <v>Porcentaje</v>
      </c>
      <c r="N304" s="33" t="s">
        <v>5964</v>
      </c>
      <c r="O304"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304"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304" s="14" t="str">
        <f>+Q303</f>
        <v>Gráfico de Evolución</v>
      </c>
      <c r="R304" s="77" t="s">
        <v>5989</v>
      </c>
      <c r="S304" s="15" t="s">
        <v>6681</v>
      </c>
      <c r="T304" s="65" t="s">
        <v>5937</v>
      </c>
      <c r="U304" s="24" t="s">
        <v>397</v>
      </c>
      <c r="V304" s="19" t="str">
        <f>+Ingresos_Historicos[[#This Row],[idcoleccion]]&amp;"-"&amp;Ingresos_Historicos[[#This Row],[id]]</f>
        <v>300-0294</v>
      </c>
      <c r="W304" s="19">
        <f>+VLOOKUP(Ingresos_Historicos[[#This Row],[Filtro URL]],Estructura!$X$4:$Y$366,2,0)</f>
        <v>30200015</v>
      </c>
      <c r="X304" s="19" t="str">
        <f>+VLOOKUP(Ingresos_Historicos[[#This Row],[tema]],Estructura!$A$4:$C$18,3,0)</f>
        <v>T-306</v>
      </c>
      <c r="Y304" s="19" t="str">
        <f>+VLOOKUP(Ingresos_Historicos[[#This Row],[contenido]],Estructura!$E$4:$G$18,3,0)</f>
        <v>C-301</v>
      </c>
      <c r="Z304" s="19" t="str">
        <f>+VLOOKUP(Ingresos_Historicos[[#This Row],[Filtro Integrado]],Estructura!$M$4:$O$367,3,0)</f>
        <v>FI-303</v>
      </c>
      <c r="AA304" s="19" t="str">
        <f>+VLOOKUP(Ingresos_Historicos[[#This Row],[Muestra]],Estructura!$Q$4:$S$194,3,0)</f>
        <v>M-307</v>
      </c>
    </row>
    <row r="305" spans="1:27" ht="60" x14ac:dyDescent="0.3">
      <c r="A305" s="71" t="s">
        <v>691</v>
      </c>
      <c r="B305" s="12">
        <f t="shared" si="66"/>
        <v>300</v>
      </c>
      <c r="C305" s="13" t="str">
        <f t="shared" si="66"/>
        <v>Violencia contra la mujer</v>
      </c>
      <c r="D305" s="13" t="str">
        <f t="shared" si="66"/>
        <v>Mujeres</v>
      </c>
      <c r="E305" s="26">
        <v>16</v>
      </c>
      <c r="F305" s="13" t="str">
        <f t="shared" ref="F305:G320" si="67">+F304</f>
        <v>Sentencias por delito de abuso sexual</v>
      </c>
      <c r="G305" s="55" t="str">
        <f t="shared" si="67"/>
        <v>Abuso Sexual</v>
      </c>
      <c r="H305" s="29" t="s">
        <v>15</v>
      </c>
      <c r="I305" s="28" t="s">
        <v>382</v>
      </c>
      <c r="J305" s="12" t="s">
        <v>398</v>
      </c>
      <c r="K305" s="12" t="s">
        <v>6114</v>
      </c>
      <c r="L305" s="12" t="str">
        <f t="shared" si="65"/>
        <v>Periodo 2013-2019</v>
      </c>
      <c r="M305" s="12" t="str">
        <f t="shared" si="65"/>
        <v>Porcentaje</v>
      </c>
      <c r="N305" s="33" t="s">
        <v>5964</v>
      </c>
      <c r="O305" s="27" t="str">
        <f>"Variación Trimestral de Sentencias Dictadas (%) por Delitos de Abuso Sexual  en la "&amp;[1]!Ingresos_Historicos[[#This Row],[territorio]]&amp;", durante el Periodo 2013-2019"</f>
        <v>Variación Trimestral de Sentencias Dictadas (%) por Delitos de Abuso Sexual  en la Chile, durante el Periodo 2013-2019</v>
      </c>
      <c r="P305" s="42" t="str">
        <f>"El gráfico muestra la tendencia de la Variación Trimestral de Sentencias Dictadas (%) por Delitos de Abuso Sexual  en la "&amp;[1]!Ingresos_Historicos[[#This Row],[territorio]]&amp;", durante el Periodo 2013-2019 de acuerdo a datos provenientes del Poder Judicial de Chile."</f>
        <v>El gráfico muestra la tendencia de la Variación Trimestral de Sentencias Dictadas (%) por Delitos de Abuso Sexual  en la Chile, durante el Periodo 2013-2019 de acuerdo a datos provenientes del Poder Judicial de Chile.</v>
      </c>
      <c r="Q305" s="14" t="str">
        <f>+Q304</f>
        <v>Gráfico de Evolución</v>
      </c>
      <c r="R305" s="77" t="s">
        <v>5990</v>
      </c>
      <c r="S305" s="15" t="s">
        <v>6682</v>
      </c>
      <c r="T305" s="65" t="s">
        <v>5924</v>
      </c>
      <c r="U305" s="24" t="s">
        <v>397</v>
      </c>
      <c r="V305" s="19" t="str">
        <f>+Ingresos_Historicos[[#This Row],[idcoleccion]]&amp;"-"&amp;Ingresos_Historicos[[#This Row],[id]]</f>
        <v>300-0295</v>
      </c>
      <c r="W305" s="19">
        <f>+VLOOKUP(Ingresos_Historicos[[#This Row],[Filtro URL]],Estructura!$X$4:$Y$366,2,0)</f>
        <v>30200016</v>
      </c>
      <c r="X305" s="19" t="str">
        <f>+VLOOKUP(Ingresos_Historicos[[#This Row],[tema]],Estructura!$A$4:$C$18,3,0)</f>
        <v>T-306</v>
      </c>
      <c r="Y305" s="19" t="str">
        <f>+VLOOKUP(Ingresos_Historicos[[#This Row],[contenido]],Estructura!$E$4:$G$18,3,0)</f>
        <v>C-301</v>
      </c>
      <c r="Z305" s="19" t="str">
        <f>+VLOOKUP(Ingresos_Historicos[[#This Row],[Filtro Integrado]],Estructura!$M$4:$O$367,3,0)</f>
        <v>FI-303</v>
      </c>
      <c r="AA305" s="19" t="str">
        <f>+VLOOKUP(Ingresos_Historicos[[#This Row],[Muestra]],Estructura!$Q$4:$S$194,3,0)</f>
        <v>M-307</v>
      </c>
    </row>
    <row r="306" spans="1:27" ht="60" x14ac:dyDescent="0.3">
      <c r="A306" s="32" t="s">
        <v>692</v>
      </c>
      <c r="B306" s="12">
        <f t="shared" si="66"/>
        <v>300</v>
      </c>
      <c r="C306" s="13" t="str">
        <f t="shared" si="66"/>
        <v>Violencia contra la mujer</v>
      </c>
      <c r="D306" s="13" t="str">
        <f t="shared" si="66"/>
        <v>Mujeres</v>
      </c>
      <c r="E306" s="26">
        <v>1</v>
      </c>
      <c r="F306" s="13" t="str">
        <f t="shared" si="67"/>
        <v>Sentencias por delito de abuso sexual</v>
      </c>
      <c r="G306" s="55" t="str">
        <f t="shared" si="67"/>
        <v>Abuso Sexual</v>
      </c>
      <c r="H306" s="29" t="s">
        <v>15</v>
      </c>
      <c r="I306" s="28" t="s">
        <v>367</v>
      </c>
      <c r="J306" s="12" t="s">
        <v>398</v>
      </c>
      <c r="K306" s="12" t="s">
        <v>6114</v>
      </c>
      <c r="L306" s="12" t="str">
        <f t="shared" si="65"/>
        <v>Periodo 2013-2019</v>
      </c>
      <c r="M306" s="12" t="str">
        <f t="shared" si="65"/>
        <v>Porcentaje</v>
      </c>
      <c r="N306" s="33" t="s">
        <v>5964</v>
      </c>
      <c r="O306" s="27" t="str">
        <f>"Variación Trimestral de Sentencias Dictadas (%) en la "&amp;[1]!Ingresos_Historicos[[#This Row],[territorio]]&amp;" por Delito, durante el Periodo 2013-2019"</f>
        <v>Variación Trimestral de Sentencias Dictadas (%) en la Chile por Delito, durante el Periodo 2013-2019</v>
      </c>
      <c r="P306"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06" s="14" t="str">
        <f t="shared" ref="Q306:Q337" si="68">+Q305</f>
        <v>Gráfico de Evolución</v>
      </c>
      <c r="R306" s="77" t="s">
        <v>5975</v>
      </c>
      <c r="S306" s="15" t="s">
        <v>6683</v>
      </c>
      <c r="T306" s="65" t="s">
        <v>5922</v>
      </c>
      <c r="U306" s="24" t="s">
        <v>397</v>
      </c>
      <c r="V306" s="19" t="str">
        <f>+Ingresos_Historicos[[#This Row],[idcoleccion]]&amp;"-"&amp;Ingresos_Historicos[[#This Row],[id]]</f>
        <v>300-0296</v>
      </c>
      <c r="W306" s="19">
        <f>+VLOOKUP(Ingresos_Historicos[[#This Row],[Filtro URL]],Estructura!$X$4:$Y$366,2,0)</f>
        <v>30200001</v>
      </c>
      <c r="X306" s="19" t="str">
        <f>+VLOOKUP(Ingresos_Historicos[[#This Row],[tema]],Estructura!$A$4:$C$18,3,0)</f>
        <v>T-306</v>
      </c>
      <c r="Y306" s="19" t="str">
        <f>+VLOOKUP(Ingresos_Historicos[[#This Row],[contenido]],Estructura!$E$4:$G$18,3,0)</f>
        <v>C-301</v>
      </c>
      <c r="Z306" s="19" t="str">
        <f>+VLOOKUP(Ingresos_Historicos[[#This Row],[Filtro Integrado]],Estructura!$M$4:$O$367,3,0)</f>
        <v>FI-303</v>
      </c>
      <c r="AA306" s="19" t="str">
        <f>+VLOOKUP(Ingresos_Historicos[[#This Row],[Muestra]],Estructura!$Q$4:$S$194,3,0)</f>
        <v>M-307</v>
      </c>
    </row>
    <row r="307" spans="1:27" ht="60" x14ac:dyDescent="0.3">
      <c r="A307" s="71" t="s">
        <v>693</v>
      </c>
      <c r="B307" s="12">
        <f t="shared" si="66"/>
        <v>300</v>
      </c>
      <c r="C307" s="13" t="str">
        <f t="shared" si="66"/>
        <v>Violencia contra la mujer</v>
      </c>
      <c r="D307" s="13" t="str">
        <f t="shared" si="66"/>
        <v>Mujeres</v>
      </c>
      <c r="E307" s="26">
        <v>2</v>
      </c>
      <c r="F307" s="13" t="str">
        <f t="shared" si="67"/>
        <v>Sentencias por delito de abuso sexual</v>
      </c>
      <c r="G307" s="55" t="str">
        <f t="shared" si="67"/>
        <v>Abuso Sexual</v>
      </c>
      <c r="H307" s="29" t="s">
        <v>15</v>
      </c>
      <c r="I307" s="28" t="s">
        <v>368</v>
      </c>
      <c r="J307" s="12" t="s">
        <v>398</v>
      </c>
      <c r="K307" s="12" t="s">
        <v>6114</v>
      </c>
      <c r="L307" s="12" t="str">
        <f t="shared" si="65"/>
        <v>Periodo 2013-2019</v>
      </c>
      <c r="M307" s="12" t="str">
        <f t="shared" si="65"/>
        <v>Porcentaje</v>
      </c>
      <c r="N307" s="33" t="s">
        <v>5964</v>
      </c>
      <c r="O307" s="27" t="str">
        <f>"Variación Trimestral de Sentencias Dictadas (%) en la "&amp;[1]!Ingresos_Historicos[[#This Row],[territorio]]&amp;" por Delito, durante el Periodo 2013-2019"</f>
        <v>Variación Trimestral de Sentencias Dictadas (%) en la Chile por Delito, durante el Periodo 2013-2019</v>
      </c>
      <c r="P307"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07" s="14" t="str">
        <f t="shared" si="68"/>
        <v>Gráfico de Evolución</v>
      </c>
      <c r="R307" s="77" t="s">
        <v>5976</v>
      </c>
      <c r="S307" s="15" t="s">
        <v>6684</v>
      </c>
      <c r="T307" s="65" t="s">
        <v>5923</v>
      </c>
      <c r="U307" s="24" t="s">
        <v>397</v>
      </c>
      <c r="V307" s="19" t="str">
        <f>+Ingresos_Historicos[[#This Row],[idcoleccion]]&amp;"-"&amp;Ingresos_Historicos[[#This Row],[id]]</f>
        <v>300-0297</v>
      </c>
      <c r="W307" s="19">
        <f>+VLOOKUP(Ingresos_Historicos[[#This Row],[Filtro URL]],Estructura!$X$4:$Y$366,2,0)</f>
        <v>30200002</v>
      </c>
      <c r="X307" s="19" t="str">
        <f>+VLOOKUP(Ingresos_Historicos[[#This Row],[tema]],Estructura!$A$4:$C$18,3,0)</f>
        <v>T-306</v>
      </c>
      <c r="Y307" s="19" t="str">
        <f>+VLOOKUP(Ingresos_Historicos[[#This Row],[contenido]],Estructura!$E$4:$G$18,3,0)</f>
        <v>C-301</v>
      </c>
      <c r="Z307" s="19" t="str">
        <f>+VLOOKUP(Ingresos_Historicos[[#This Row],[Filtro Integrado]],Estructura!$M$4:$O$367,3,0)</f>
        <v>FI-303</v>
      </c>
      <c r="AA307" s="19" t="str">
        <f>+VLOOKUP(Ingresos_Historicos[[#This Row],[Muestra]],Estructura!$Q$4:$S$194,3,0)</f>
        <v>M-307</v>
      </c>
    </row>
    <row r="308" spans="1:27" ht="60" x14ac:dyDescent="0.3">
      <c r="A308" s="71" t="s">
        <v>694</v>
      </c>
      <c r="B308" s="12">
        <f t="shared" si="66"/>
        <v>300</v>
      </c>
      <c r="C308" s="13" t="str">
        <f t="shared" si="66"/>
        <v>Violencia contra la mujer</v>
      </c>
      <c r="D308" s="13" t="str">
        <f t="shared" si="66"/>
        <v>Mujeres</v>
      </c>
      <c r="E308" s="26">
        <v>3</v>
      </c>
      <c r="F308" s="13" t="str">
        <f t="shared" si="67"/>
        <v>Sentencias por delito de abuso sexual</v>
      </c>
      <c r="G308" s="55" t="str">
        <f t="shared" si="67"/>
        <v>Abuso Sexual</v>
      </c>
      <c r="H308" s="29" t="s">
        <v>15</v>
      </c>
      <c r="I308" s="28" t="s">
        <v>369</v>
      </c>
      <c r="J308" s="12" t="s">
        <v>398</v>
      </c>
      <c r="K308" s="12" t="s">
        <v>6114</v>
      </c>
      <c r="L308" s="12" t="str">
        <f t="shared" si="65"/>
        <v>Periodo 2013-2019</v>
      </c>
      <c r="M308" s="12" t="str">
        <f t="shared" si="65"/>
        <v>Porcentaje</v>
      </c>
      <c r="N308" s="33" t="s">
        <v>5964</v>
      </c>
      <c r="O308" s="27" t="str">
        <f>"Variación Trimestral de Sentencias Dictadas (%) en la "&amp;[1]!Ingresos_Historicos[[#This Row],[territorio]]&amp;" por Delito, durante el Periodo 2013-2019"</f>
        <v>Variación Trimestral de Sentencias Dictadas (%) en la Chile por Delito, durante el Periodo 2013-2019</v>
      </c>
      <c r="P308"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08" s="14" t="str">
        <f t="shared" si="68"/>
        <v>Gráfico de Evolución</v>
      </c>
      <c r="R308" s="77" t="s">
        <v>5977</v>
      </c>
      <c r="S308" s="15" t="s">
        <v>6685</v>
      </c>
      <c r="T308" s="65" t="s">
        <v>5925</v>
      </c>
      <c r="U308" s="24" t="s">
        <v>397</v>
      </c>
      <c r="V308" s="19" t="str">
        <f>+Ingresos_Historicos[[#This Row],[idcoleccion]]&amp;"-"&amp;Ingresos_Historicos[[#This Row],[id]]</f>
        <v>300-0298</v>
      </c>
      <c r="W308" s="19">
        <f>+VLOOKUP(Ingresos_Historicos[[#This Row],[Filtro URL]],Estructura!$X$4:$Y$366,2,0)</f>
        <v>30200003</v>
      </c>
      <c r="X308" s="19" t="str">
        <f>+VLOOKUP(Ingresos_Historicos[[#This Row],[tema]],Estructura!$A$4:$C$18,3,0)</f>
        <v>T-306</v>
      </c>
      <c r="Y308" s="19" t="str">
        <f>+VLOOKUP(Ingresos_Historicos[[#This Row],[contenido]],Estructura!$E$4:$G$18,3,0)</f>
        <v>C-301</v>
      </c>
      <c r="Z308" s="19" t="str">
        <f>+VLOOKUP(Ingresos_Historicos[[#This Row],[Filtro Integrado]],Estructura!$M$4:$O$367,3,0)</f>
        <v>FI-303</v>
      </c>
      <c r="AA308" s="19" t="str">
        <f>+VLOOKUP(Ingresos_Historicos[[#This Row],[Muestra]],Estructura!$Q$4:$S$194,3,0)</f>
        <v>M-307</v>
      </c>
    </row>
    <row r="309" spans="1:27" ht="60" x14ac:dyDescent="0.3">
      <c r="A309" s="71" t="s">
        <v>695</v>
      </c>
      <c r="B309" s="12">
        <f t="shared" si="66"/>
        <v>300</v>
      </c>
      <c r="C309" s="13" t="str">
        <f t="shared" si="66"/>
        <v>Violencia contra la mujer</v>
      </c>
      <c r="D309" s="13" t="str">
        <f t="shared" si="66"/>
        <v>Mujeres</v>
      </c>
      <c r="E309" s="26">
        <v>4</v>
      </c>
      <c r="F309" s="13" t="str">
        <f t="shared" si="67"/>
        <v>Sentencias por delito de abuso sexual</v>
      </c>
      <c r="G309" s="55" t="str">
        <f t="shared" si="67"/>
        <v>Abuso Sexual</v>
      </c>
      <c r="H309" s="29" t="s">
        <v>15</v>
      </c>
      <c r="I309" s="28" t="s">
        <v>370</v>
      </c>
      <c r="J309" s="12" t="s">
        <v>398</v>
      </c>
      <c r="K309" s="12" t="s">
        <v>6114</v>
      </c>
      <c r="L309" s="12" t="str">
        <f t="shared" si="65"/>
        <v>Periodo 2013-2019</v>
      </c>
      <c r="M309" s="12" t="str">
        <f t="shared" si="65"/>
        <v>Porcentaje</v>
      </c>
      <c r="N309" s="33" t="s">
        <v>5964</v>
      </c>
      <c r="O309" s="27" t="str">
        <f>"Variación Trimestral de Sentencias Dictadas (%) en la "&amp;[1]!Ingresos_Historicos[[#This Row],[territorio]]&amp;" por Delito, durante el Periodo 2013-2019"</f>
        <v>Variación Trimestral de Sentencias Dictadas (%) en la Chile por Delito, durante el Periodo 2013-2019</v>
      </c>
      <c r="P309"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09" s="14" t="str">
        <f t="shared" si="68"/>
        <v>Gráfico de Evolución</v>
      </c>
      <c r="R309" s="77" t="s">
        <v>5978</v>
      </c>
      <c r="S309" s="15" t="s">
        <v>6686</v>
      </c>
      <c r="T309" s="65" t="s">
        <v>5926</v>
      </c>
      <c r="U309" s="24" t="s">
        <v>397</v>
      </c>
      <c r="V309" s="19" t="str">
        <f>+Ingresos_Historicos[[#This Row],[idcoleccion]]&amp;"-"&amp;Ingresos_Historicos[[#This Row],[id]]</f>
        <v>300-0299</v>
      </c>
      <c r="W309" s="19">
        <f>+VLOOKUP(Ingresos_Historicos[[#This Row],[Filtro URL]],Estructura!$X$4:$Y$366,2,0)</f>
        <v>30200004</v>
      </c>
      <c r="X309" s="19" t="str">
        <f>+VLOOKUP(Ingresos_Historicos[[#This Row],[tema]],Estructura!$A$4:$C$18,3,0)</f>
        <v>T-306</v>
      </c>
      <c r="Y309" s="19" t="str">
        <f>+VLOOKUP(Ingresos_Historicos[[#This Row],[contenido]],Estructura!$E$4:$G$18,3,0)</f>
        <v>C-301</v>
      </c>
      <c r="Z309" s="19" t="str">
        <f>+VLOOKUP(Ingresos_Historicos[[#This Row],[Filtro Integrado]],Estructura!$M$4:$O$367,3,0)</f>
        <v>FI-303</v>
      </c>
      <c r="AA309" s="19" t="str">
        <f>+VLOOKUP(Ingresos_Historicos[[#This Row],[Muestra]],Estructura!$Q$4:$S$194,3,0)</f>
        <v>M-307</v>
      </c>
    </row>
    <row r="310" spans="1:27" ht="60" x14ac:dyDescent="0.3">
      <c r="A310" s="71" t="s">
        <v>696</v>
      </c>
      <c r="B310" s="12">
        <f t="shared" si="66"/>
        <v>300</v>
      </c>
      <c r="C310" s="13" t="str">
        <f t="shared" si="66"/>
        <v>Violencia contra la mujer</v>
      </c>
      <c r="D310" s="13" t="str">
        <f t="shared" si="66"/>
        <v>Mujeres</v>
      </c>
      <c r="E310" s="26">
        <v>5</v>
      </c>
      <c r="F310" s="13" t="str">
        <f t="shared" si="67"/>
        <v>Sentencias por delito de abuso sexual</v>
      </c>
      <c r="G310" s="55" t="str">
        <f t="shared" si="67"/>
        <v>Abuso Sexual</v>
      </c>
      <c r="H310" s="29" t="s">
        <v>15</v>
      </c>
      <c r="I310" s="28" t="s">
        <v>371</v>
      </c>
      <c r="J310" s="12" t="s">
        <v>398</v>
      </c>
      <c r="K310" s="12" t="s">
        <v>6114</v>
      </c>
      <c r="L310" s="12" t="str">
        <f t="shared" si="65"/>
        <v>Periodo 2013-2019</v>
      </c>
      <c r="M310" s="12" t="str">
        <f t="shared" si="65"/>
        <v>Porcentaje</v>
      </c>
      <c r="N310" s="33" t="s">
        <v>5964</v>
      </c>
      <c r="O310" s="27" t="str">
        <f>"Variación Trimestral de Sentencias Dictadas (%) en la "&amp;[1]!Ingresos_Historicos[[#This Row],[territorio]]&amp;" por Delito, durante el Periodo 2013-2019"</f>
        <v>Variación Trimestral de Sentencias Dictadas (%) en la Chile por Delito, durante el Periodo 2013-2019</v>
      </c>
      <c r="P310"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0" s="14" t="str">
        <f t="shared" si="68"/>
        <v>Gráfico de Evolución</v>
      </c>
      <c r="R310" s="77" t="s">
        <v>5979</v>
      </c>
      <c r="S310" s="15" t="s">
        <v>6687</v>
      </c>
      <c r="T310" s="65" t="s">
        <v>5927</v>
      </c>
      <c r="U310" s="24" t="s">
        <v>397</v>
      </c>
      <c r="V310" s="19" t="str">
        <f>+Ingresos_Historicos[[#This Row],[idcoleccion]]&amp;"-"&amp;Ingresos_Historicos[[#This Row],[id]]</f>
        <v>300-0300</v>
      </c>
      <c r="W310" s="19">
        <f>+VLOOKUP(Ingresos_Historicos[[#This Row],[Filtro URL]],Estructura!$X$4:$Y$366,2,0)</f>
        <v>30200005</v>
      </c>
      <c r="X310" s="19" t="str">
        <f>+VLOOKUP(Ingresos_Historicos[[#This Row],[tema]],Estructura!$A$4:$C$18,3,0)</f>
        <v>T-306</v>
      </c>
      <c r="Y310" s="19" t="str">
        <f>+VLOOKUP(Ingresos_Historicos[[#This Row],[contenido]],Estructura!$E$4:$G$18,3,0)</f>
        <v>C-301</v>
      </c>
      <c r="Z310" s="19" t="str">
        <f>+VLOOKUP(Ingresos_Historicos[[#This Row],[Filtro Integrado]],Estructura!$M$4:$O$367,3,0)</f>
        <v>FI-303</v>
      </c>
      <c r="AA310" s="19" t="str">
        <f>+VLOOKUP(Ingresos_Historicos[[#This Row],[Muestra]],Estructura!$Q$4:$S$194,3,0)</f>
        <v>M-307</v>
      </c>
    </row>
    <row r="311" spans="1:27" ht="60" x14ac:dyDescent="0.3">
      <c r="A311" s="71" t="s">
        <v>697</v>
      </c>
      <c r="B311" s="12">
        <f t="shared" si="66"/>
        <v>300</v>
      </c>
      <c r="C311" s="13" t="str">
        <f t="shared" si="66"/>
        <v>Violencia contra la mujer</v>
      </c>
      <c r="D311" s="13" t="str">
        <f t="shared" si="66"/>
        <v>Mujeres</v>
      </c>
      <c r="E311" s="26">
        <v>6</v>
      </c>
      <c r="F311" s="13" t="str">
        <f t="shared" si="67"/>
        <v>Sentencias por delito de abuso sexual</v>
      </c>
      <c r="G311" s="55" t="str">
        <f t="shared" si="67"/>
        <v>Abuso Sexual</v>
      </c>
      <c r="H311" s="29" t="s">
        <v>15</v>
      </c>
      <c r="I311" s="28" t="s">
        <v>372</v>
      </c>
      <c r="J311" s="12" t="s">
        <v>398</v>
      </c>
      <c r="K311" s="12" t="s">
        <v>6114</v>
      </c>
      <c r="L311" s="12" t="str">
        <f t="shared" si="65"/>
        <v>Periodo 2013-2019</v>
      </c>
      <c r="M311" s="12" t="str">
        <f t="shared" si="65"/>
        <v>Porcentaje</v>
      </c>
      <c r="N311" s="33" t="s">
        <v>5964</v>
      </c>
      <c r="O311" s="27" t="str">
        <f>"Variación Trimestral de Sentencias Dictadas (%) en la "&amp;[1]!Ingresos_Historicos[[#This Row],[territorio]]&amp;" por Delito, durante el Periodo 2013-2019"</f>
        <v>Variación Trimestral de Sentencias Dictadas (%) en la Chile por Delito, durante el Periodo 2013-2019</v>
      </c>
      <c r="P311"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1" s="14" t="str">
        <f t="shared" si="68"/>
        <v>Gráfico de Evolución</v>
      </c>
      <c r="R311" s="77" t="s">
        <v>5980</v>
      </c>
      <c r="S311" s="15" t="s">
        <v>6688</v>
      </c>
      <c r="T311" s="65" t="s">
        <v>5928</v>
      </c>
      <c r="U311" s="24" t="s">
        <v>397</v>
      </c>
      <c r="V311" s="19" t="str">
        <f>+Ingresos_Historicos[[#This Row],[idcoleccion]]&amp;"-"&amp;Ingresos_Historicos[[#This Row],[id]]</f>
        <v>300-0301</v>
      </c>
      <c r="W311" s="19">
        <f>+VLOOKUP(Ingresos_Historicos[[#This Row],[Filtro URL]],Estructura!$X$4:$Y$366,2,0)</f>
        <v>30200006</v>
      </c>
      <c r="X311" s="19" t="str">
        <f>+VLOOKUP(Ingresos_Historicos[[#This Row],[tema]],Estructura!$A$4:$C$18,3,0)</f>
        <v>T-306</v>
      </c>
      <c r="Y311" s="19" t="str">
        <f>+VLOOKUP(Ingresos_Historicos[[#This Row],[contenido]],Estructura!$E$4:$G$18,3,0)</f>
        <v>C-301</v>
      </c>
      <c r="Z311" s="19" t="str">
        <f>+VLOOKUP(Ingresos_Historicos[[#This Row],[Filtro Integrado]],Estructura!$M$4:$O$367,3,0)</f>
        <v>FI-303</v>
      </c>
      <c r="AA311" s="19" t="str">
        <f>+VLOOKUP(Ingresos_Historicos[[#This Row],[Muestra]],Estructura!$Q$4:$S$194,3,0)</f>
        <v>M-307</v>
      </c>
    </row>
    <row r="312" spans="1:27" ht="60" x14ac:dyDescent="0.3">
      <c r="A312" s="71" t="s">
        <v>698</v>
      </c>
      <c r="B312" s="12">
        <f t="shared" si="66"/>
        <v>300</v>
      </c>
      <c r="C312" s="13" t="str">
        <f t="shared" si="66"/>
        <v>Violencia contra la mujer</v>
      </c>
      <c r="D312" s="13" t="str">
        <f t="shared" si="66"/>
        <v>Mujeres</v>
      </c>
      <c r="E312" s="26">
        <v>7</v>
      </c>
      <c r="F312" s="13" t="str">
        <f t="shared" si="67"/>
        <v>Sentencias por delito de abuso sexual</v>
      </c>
      <c r="G312" s="55" t="str">
        <f t="shared" si="67"/>
        <v>Abuso Sexual</v>
      </c>
      <c r="H312" s="29" t="s">
        <v>15</v>
      </c>
      <c r="I312" s="28" t="s">
        <v>373</v>
      </c>
      <c r="J312" s="12" t="s">
        <v>398</v>
      </c>
      <c r="K312" s="12" t="s">
        <v>6114</v>
      </c>
      <c r="L312" s="12" t="str">
        <f t="shared" si="65"/>
        <v>Periodo 2013-2019</v>
      </c>
      <c r="M312" s="12" t="str">
        <f t="shared" si="65"/>
        <v>Porcentaje</v>
      </c>
      <c r="N312" s="33" t="s">
        <v>5964</v>
      </c>
      <c r="O312" s="27" t="str">
        <f>"Variación Trimestral de Sentencias Dictadas (%) en la "&amp;[1]!Ingresos_Historicos[[#This Row],[territorio]]&amp;" por Delito, durante el Periodo 2013-2019"</f>
        <v>Variación Trimestral de Sentencias Dictadas (%) en la Chile por Delito, durante el Periodo 2013-2019</v>
      </c>
      <c r="P312"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2" s="14" t="str">
        <f t="shared" si="68"/>
        <v>Gráfico de Evolución</v>
      </c>
      <c r="R312" s="77" t="s">
        <v>5981</v>
      </c>
      <c r="S312" s="15" t="s">
        <v>6689</v>
      </c>
      <c r="T312" s="65" t="s">
        <v>5929</v>
      </c>
      <c r="U312" s="24" t="s">
        <v>397</v>
      </c>
      <c r="V312" s="19" t="str">
        <f>+Ingresos_Historicos[[#This Row],[idcoleccion]]&amp;"-"&amp;Ingresos_Historicos[[#This Row],[id]]</f>
        <v>300-0302</v>
      </c>
      <c r="W312" s="19">
        <f>+VLOOKUP(Ingresos_Historicos[[#This Row],[Filtro URL]],Estructura!$X$4:$Y$366,2,0)</f>
        <v>30200007</v>
      </c>
      <c r="X312" s="19" t="str">
        <f>+VLOOKUP(Ingresos_Historicos[[#This Row],[tema]],Estructura!$A$4:$C$18,3,0)</f>
        <v>T-306</v>
      </c>
      <c r="Y312" s="19" t="str">
        <f>+VLOOKUP(Ingresos_Historicos[[#This Row],[contenido]],Estructura!$E$4:$G$18,3,0)</f>
        <v>C-301</v>
      </c>
      <c r="Z312" s="19" t="str">
        <f>+VLOOKUP(Ingresos_Historicos[[#This Row],[Filtro Integrado]],Estructura!$M$4:$O$367,3,0)</f>
        <v>FI-303</v>
      </c>
      <c r="AA312" s="19" t="str">
        <f>+VLOOKUP(Ingresos_Historicos[[#This Row],[Muestra]],Estructura!$Q$4:$S$194,3,0)</f>
        <v>M-307</v>
      </c>
    </row>
    <row r="313" spans="1:27" ht="60" x14ac:dyDescent="0.3">
      <c r="A313" s="71" t="s">
        <v>699</v>
      </c>
      <c r="B313" s="12">
        <f t="shared" si="66"/>
        <v>300</v>
      </c>
      <c r="C313" s="13" t="str">
        <f t="shared" si="66"/>
        <v>Violencia contra la mujer</v>
      </c>
      <c r="D313" s="13" t="str">
        <f t="shared" si="66"/>
        <v>Mujeres</v>
      </c>
      <c r="E313" s="26">
        <v>8</v>
      </c>
      <c r="F313" s="13" t="str">
        <f t="shared" si="67"/>
        <v>Sentencias por delito de abuso sexual</v>
      </c>
      <c r="G313" s="55" t="str">
        <f t="shared" si="67"/>
        <v>Abuso Sexual</v>
      </c>
      <c r="H313" s="29" t="s">
        <v>15</v>
      </c>
      <c r="I313" s="28" t="s">
        <v>374</v>
      </c>
      <c r="J313" s="12" t="s">
        <v>398</v>
      </c>
      <c r="K313" s="12" t="s">
        <v>6114</v>
      </c>
      <c r="L313" s="12" t="str">
        <f t="shared" si="65"/>
        <v>Periodo 2013-2019</v>
      </c>
      <c r="M313" s="12" t="str">
        <f t="shared" si="65"/>
        <v>Porcentaje</v>
      </c>
      <c r="N313" s="33" t="s">
        <v>5964</v>
      </c>
      <c r="O313" s="27" t="str">
        <f>"Variación Trimestral de Sentencias Dictadas (%) en la "&amp;[1]!Ingresos_Historicos[[#This Row],[territorio]]&amp;" por Delito, durante el Periodo 2013-2019"</f>
        <v>Variación Trimestral de Sentencias Dictadas (%) en la Chile por Delito, durante el Periodo 2013-2019</v>
      </c>
      <c r="P313"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3" s="14" t="str">
        <f t="shared" si="68"/>
        <v>Gráfico de Evolución</v>
      </c>
      <c r="R313" s="77" t="s">
        <v>5982</v>
      </c>
      <c r="S313" s="15" t="s">
        <v>6690</v>
      </c>
      <c r="T313" s="65" t="s">
        <v>5930</v>
      </c>
      <c r="U313" s="24" t="s">
        <v>397</v>
      </c>
      <c r="V313" s="19" t="str">
        <f>+Ingresos_Historicos[[#This Row],[idcoleccion]]&amp;"-"&amp;Ingresos_Historicos[[#This Row],[id]]</f>
        <v>300-0303</v>
      </c>
      <c r="W313" s="19">
        <f>+VLOOKUP(Ingresos_Historicos[[#This Row],[Filtro URL]],Estructura!$X$4:$Y$366,2,0)</f>
        <v>30200008</v>
      </c>
      <c r="X313" s="19" t="str">
        <f>+VLOOKUP(Ingresos_Historicos[[#This Row],[tema]],Estructura!$A$4:$C$18,3,0)</f>
        <v>T-306</v>
      </c>
      <c r="Y313" s="19" t="str">
        <f>+VLOOKUP(Ingresos_Historicos[[#This Row],[contenido]],Estructura!$E$4:$G$18,3,0)</f>
        <v>C-301</v>
      </c>
      <c r="Z313" s="19" t="str">
        <f>+VLOOKUP(Ingresos_Historicos[[#This Row],[Filtro Integrado]],Estructura!$M$4:$O$367,3,0)</f>
        <v>FI-303</v>
      </c>
      <c r="AA313" s="19" t="str">
        <f>+VLOOKUP(Ingresos_Historicos[[#This Row],[Muestra]],Estructura!$Q$4:$S$194,3,0)</f>
        <v>M-307</v>
      </c>
    </row>
    <row r="314" spans="1:27" ht="60" x14ac:dyDescent="0.3">
      <c r="A314" s="71" t="s">
        <v>700</v>
      </c>
      <c r="B314" s="12">
        <f t="shared" si="66"/>
        <v>300</v>
      </c>
      <c r="C314" s="13" t="str">
        <f t="shared" si="66"/>
        <v>Violencia contra la mujer</v>
      </c>
      <c r="D314" s="13" t="str">
        <f t="shared" si="66"/>
        <v>Mujeres</v>
      </c>
      <c r="E314" s="26">
        <v>9</v>
      </c>
      <c r="F314" s="13" t="str">
        <f t="shared" si="67"/>
        <v>Sentencias por delito de abuso sexual</v>
      </c>
      <c r="G314" s="55" t="str">
        <f t="shared" si="67"/>
        <v>Abuso Sexual</v>
      </c>
      <c r="H314" s="29" t="s">
        <v>15</v>
      </c>
      <c r="I314" s="28" t="s">
        <v>375</v>
      </c>
      <c r="J314" s="12" t="s">
        <v>398</v>
      </c>
      <c r="K314" s="12" t="s">
        <v>6114</v>
      </c>
      <c r="L314" s="12" t="str">
        <f t="shared" si="65"/>
        <v>Periodo 2013-2019</v>
      </c>
      <c r="M314" s="12" t="str">
        <f t="shared" si="65"/>
        <v>Porcentaje</v>
      </c>
      <c r="N314" s="33" t="s">
        <v>5964</v>
      </c>
      <c r="O314" s="27" t="str">
        <f>"Variación Trimestral de Sentencias Dictadas (%) en la "&amp;[1]!Ingresos_Historicos[[#This Row],[territorio]]&amp;" por Delito, durante el Periodo 2013-2019"</f>
        <v>Variación Trimestral de Sentencias Dictadas (%) en la Chile por Delito, durante el Periodo 2013-2019</v>
      </c>
      <c r="P314"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4" s="14" t="str">
        <f t="shared" si="68"/>
        <v>Gráfico de Evolución</v>
      </c>
      <c r="R314" s="77" t="s">
        <v>5983</v>
      </c>
      <c r="S314" s="15" t="s">
        <v>6691</v>
      </c>
      <c r="T314" s="65" t="s">
        <v>5931</v>
      </c>
      <c r="U314" s="24" t="s">
        <v>397</v>
      </c>
      <c r="V314" s="19" t="str">
        <f>+Ingresos_Historicos[[#This Row],[idcoleccion]]&amp;"-"&amp;Ingresos_Historicos[[#This Row],[id]]</f>
        <v>300-0304</v>
      </c>
      <c r="W314" s="19">
        <f>+VLOOKUP(Ingresos_Historicos[[#This Row],[Filtro URL]],Estructura!$X$4:$Y$366,2,0)</f>
        <v>30200009</v>
      </c>
      <c r="X314" s="19" t="str">
        <f>+VLOOKUP(Ingresos_Historicos[[#This Row],[tema]],Estructura!$A$4:$C$18,3,0)</f>
        <v>T-306</v>
      </c>
      <c r="Y314" s="19" t="str">
        <f>+VLOOKUP(Ingresos_Historicos[[#This Row],[contenido]],Estructura!$E$4:$G$18,3,0)</f>
        <v>C-301</v>
      </c>
      <c r="Z314" s="19" t="str">
        <f>+VLOOKUP(Ingresos_Historicos[[#This Row],[Filtro Integrado]],Estructura!$M$4:$O$367,3,0)</f>
        <v>FI-303</v>
      </c>
      <c r="AA314" s="19" t="str">
        <f>+VLOOKUP(Ingresos_Historicos[[#This Row],[Muestra]],Estructura!$Q$4:$S$194,3,0)</f>
        <v>M-307</v>
      </c>
    </row>
    <row r="315" spans="1:27" ht="60" x14ac:dyDescent="0.3">
      <c r="A315" s="71" t="s">
        <v>701</v>
      </c>
      <c r="B315" s="12">
        <f t="shared" si="66"/>
        <v>300</v>
      </c>
      <c r="C315" s="13" t="str">
        <f t="shared" si="66"/>
        <v>Violencia contra la mujer</v>
      </c>
      <c r="D315" s="13" t="str">
        <f t="shared" si="66"/>
        <v>Mujeres</v>
      </c>
      <c r="E315" s="26">
        <v>10</v>
      </c>
      <c r="F315" s="13" t="str">
        <f t="shared" si="67"/>
        <v>Sentencias por delito de abuso sexual</v>
      </c>
      <c r="G315" s="55" t="str">
        <f t="shared" si="67"/>
        <v>Abuso Sexual</v>
      </c>
      <c r="H315" s="29" t="s">
        <v>15</v>
      </c>
      <c r="I315" s="28" t="s">
        <v>376</v>
      </c>
      <c r="J315" s="12" t="s">
        <v>398</v>
      </c>
      <c r="K315" s="12" t="s">
        <v>6114</v>
      </c>
      <c r="L315" s="12" t="str">
        <f t="shared" si="65"/>
        <v>Periodo 2013-2019</v>
      </c>
      <c r="M315" s="12" t="str">
        <f t="shared" si="65"/>
        <v>Porcentaje</v>
      </c>
      <c r="N315" s="33" t="s">
        <v>5964</v>
      </c>
      <c r="O315" s="27" t="str">
        <f>"Variación Trimestral de Sentencias Dictadas (%) en la "&amp;[1]!Ingresos_Historicos[[#This Row],[territorio]]&amp;" por Delito, durante el Periodo 2013-2019"</f>
        <v>Variación Trimestral de Sentencias Dictadas (%) en la Chile por Delito, durante el Periodo 2013-2019</v>
      </c>
      <c r="P315"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5" s="14" t="str">
        <f t="shared" si="68"/>
        <v>Gráfico de Evolución</v>
      </c>
      <c r="R315" s="77" t="s">
        <v>5984</v>
      </c>
      <c r="S315" s="15" t="s">
        <v>6692</v>
      </c>
      <c r="T315" s="65" t="s">
        <v>5932</v>
      </c>
      <c r="U315" s="24" t="s">
        <v>397</v>
      </c>
      <c r="V315" s="19" t="str">
        <f>+Ingresos_Historicos[[#This Row],[idcoleccion]]&amp;"-"&amp;Ingresos_Historicos[[#This Row],[id]]</f>
        <v>300-0305</v>
      </c>
      <c r="W315" s="19">
        <f>+VLOOKUP(Ingresos_Historicos[[#This Row],[Filtro URL]],Estructura!$X$4:$Y$366,2,0)</f>
        <v>30200010</v>
      </c>
      <c r="X315" s="19" t="str">
        <f>+VLOOKUP(Ingresos_Historicos[[#This Row],[tema]],Estructura!$A$4:$C$18,3,0)</f>
        <v>T-306</v>
      </c>
      <c r="Y315" s="19" t="str">
        <f>+VLOOKUP(Ingresos_Historicos[[#This Row],[contenido]],Estructura!$E$4:$G$18,3,0)</f>
        <v>C-301</v>
      </c>
      <c r="Z315" s="19" t="str">
        <f>+VLOOKUP(Ingresos_Historicos[[#This Row],[Filtro Integrado]],Estructura!$M$4:$O$367,3,0)</f>
        <v>FI-303</v>
      </c>
      <c r="AA315" s="19" t="str">
        <f>+VLOOKUP(Ingresos_Historicos[[#This Row],[Muestra]],Estructura!$Q$4:$S$194,3,0)</f>
        <v>M-307</v>
      </c>
    </row>
    <row r="316" spans="1:27" ht="60" x14ac:dyDescent="0.3">
      <c r="A316" s="71" t="s">
        <v>702</v>
      </c>
      <c r="B316" s="12">
        <f t="shared" si="66"/>
        <v>300</v>
      </c>
      <c r="C316" s="13" t="str">
        <f t="shared" si="66"/>
        <v>Violencia contra la mujer</v>
      </c>
      <c r="D316" s="13" t="str">
        <f t="shared" si="66"/>
        <v>Mujeres</v>
      </c>
      <c r="E316" s="26">
        <v>11</v>
      </c>
      <c r="F316" s="13" t="str">
        <f t="shared" si="67"/>
        <v>Sentencias por delito de abuso sexual</v>
      </c>
      <c r="G316" s="55" t="str">
        <f t="shared" si="67"/>
        <v>Abuso Sexual</v>
      </c>
      <c r="H316" s="29" t="s">
        <v>15</v>
      </c>
      <c r="I316" s="28" t="s">
        <v>377</v>
      </c>
      <c r="J316" s="12" t="s">
        <v>398</v>
      </c>
      <c r="K316" s="12" t="s">
        <v>6114</v>
      </c>
      <c r="L316" s="12" t="str">
        <f t="shared" ref="L316:M331" si="69">+L315</f>
        <v>Periodo 2013-2019</v>
      </c>
      <c r="M316" s="12" t="str">
        <f t="shared" si="69"/>
        <v>Porcentaje</v>
      </c>
      <c r="N316" s="33" t="s">
        <v>5964</v>
      </c>
      <c r="O316" s="27" t="str">
        <f>"Variación Trimestral de Sentencias Dictadas (%) en la "&amp;[1]!Ingresos_Historicos[[#This Row],[territorio]]&amp;" por Delito, durante el Periodo 2013-2019"</f>
        <v>Variación Trimestral de Sentencias Dictadas (%) en la Chile por Delito, durante el Periodo 2013-2019</v>
      </c>
      <c r="P316"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6" s="14" t="str">
        <f t="shared" si="68"/>
        <v>Gráfico de Evolución</v>
      </c>
      <c r="R316" s="77" t="s">
        <v>5985</v>
      </c>
      <c r="S316" s="15" t="s">
        <v>6693</v>
      </c>
      <c r="T316" s="65" t="s">
        <v>5933</v>
      </c>
      <c r="U316" s="24" t="s">
        <v>397</v>
      </c>
      <c r="V316" s="19" t="str">
        <f>+Ingresos_Historicos[[#This Row],[idcoleccion]]&amp;"-"&amp;Ingresos_Historicos[[#This Row],[id]]</f>
        <v>300-0306</v>
      </c>
      <c r="W316" s="19">
        <f>+VLOOKUP(Ingresos_Historicos[[#This Row],[Filtro URL]],Estructura!$X$4:$Y$366,2,0)</f>
        <v>30200011</v>
      </c>
      <c r="X316" s="19" t="str">
        <f>+VLOOKUP(Ingresos_Historicos[[#This Row],[tema]],Estructura!$A$4:$C$18,3,0)</f>
        <v>T-306</v>
      </c>
      <c r="Y316" s="19" t="str">
        <f>+VLOOKUP(Ingresos_Historicos[[#This Row],[contenido]],Estructura!$E$4:$G$18,3,0)</f>
        <v>C-301</v>
      </c>
      <c r="Z316" s="19" t="str">
        <f>+VLOOKUP(Ingresos_Historicos[[#This Row],[Filtro Integrado]],Estructura!$M$4:$O$367,3,0)</f>
        <v>FI-303</v>
      </c>
      <c r="AA316" s="19" t="str">
        <f>+VLOOKUP(Ingresos_Historicos[[#This Row],[Muestra]],Estructura!$Q$4:$S$194,3,0)</f>
        <v>M-307</v>
      </c>
    </row>
    <row r="317" spans="1:27" ht="60" x14ac:dyDescent="0.3">
      <c r="A317" s="71" t="s">
        <v>703</v>
      </c>
      <c r="B317" s="12">
        <f t="shared" si="66"/>
        <v>300</v>
      </c>
      <c r="C317" s="13" t="str">
        <f t="shared" si="66"/>
        <v>Violencia contra la mujer</v>
      </c>
      <c r="D317" s="13" t="str">
        <f t="shared" si="66"/>
        <v>Mujeres</v>
      </c>
      <c r="E317" s="26">
        <v>12</v>
      </c>
      <c r="F317" s="13" t="str">
        <f t="shared" si="67"/>
        <v>Sentencias por delito de abuso sexual</v>
      </c>
      <c r="G317" s="55" t="str">
        <f t="shared" si="67"/>
        <v>Abuso Sexual</v>
      </c>
      <c r="H317" s="29" t="s">
        <v>15</v>
      </c>
      <c r="I317" s="28" t="s">
        <v>378</v>
      </c>
      <c r="J317" s="12" t="s">
        <v>398</v>
      </c>
      <c r="K317" s="12" t="s">
        <v>6114</v>
      </c>
      <c r="L317" s="12" t="str">
        <f t="shared" si="69"/>
        <v>Periodo 2013-2019</v>
      </c>
      <c r="M317" s="12" t="str">
        <f t="shared" si="69"/>
        <v>Porcentaje</v>
      </c>
      <c r="N317" s="33" t="s">
        <v>5964</v>
      </c>
      <c r="O317" s="27" t="str">
        <f>"Variación Trimestral de Sentencias Dictadas (%) en la "&amp;[1]!Ingresos_Historicos[[#This Row],[territorio]]&amp;" por Delito, durante el Periodo 2013-2019"</f>
        <v>Variación Trimestral de Sentencias Dictadas (%) en la Chile por Delito, durante el Periodo 2013-2019</v>
      </c>
      <c r="P317"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7" s="14" t="str">
        <f t="shared" si="68"/>
        <v>Gráfico de Evolución</v>
      </c>
      <c r="R317" s="77" t="s">
        <v>5986</v>
      </c>
      <c r="S317" s="15" t="s">
        <v>6694</v>
      </c>
      <c r="T317" s="65" t="s">
        <v>5934</v>
      </c>
      <c r="U317" s="24" t="s">
        <v>397</v>
      </c>
      <c r="V317" s="19" t="str">
        <f>+Ingresos_Historicos[[#This Row],[idcoleccion]]&amp;"-"&amp;Ingresos_Historicos[[#This Row],[id]]</f>
        <v>300-0307</v>
      </c>
      <c r="W317" s="19">
        <f>+VLOOKUP(Ingresos_Historicos[[#This Row],[Filtro URL]],Estructura!$X$4:$Y$366,2,0)</f>
        <v>30200012</v>
      </c>
      <c r="X317" s="19" t="str">
        <f>+VLOOKUP(Ingresos_Historicos[[#This Row],[tema]],Estructura!$A$4:$C$18,3,0)</f>
        <v>T-306</v>
      </c>
      <c r="Y317" s="19" t="str">
        <f>+VLOOKUP(Ingresos_Historicos[[#This Row],[contenido]],Estructura!$E$4:$G$18,3,0)</f>
        <v>C-301</v>
      </c>
      <c r="Z317" s="19" t="str">
        <f>+VLOOKUP(Ingresos_Historicos[[#This Row],[Filtro Integrado]],Estructura!$M$4:$O$367,3,0)</f>
        <v>FI-303</v>
      </c>
      <c r="AA317" s="19" t="str">
        <f>+VLOOKUP(Ingresos_Historicos[[#This Row],[Muestra]],Estructura!$Q$4:$S$194,3,0)</f>
        <v>M-307</v>
      </c>
    </row>
    <row r="318" spans="1:27" ht="60" x14ac:dyDescent="0.3">
      <c r="A318" s="71" t="s">
        <v>704</v>
      </c>
      <c r="B318" s="12">
        <f t="shared" si="66"/>
        <v>300</v>
      </c>
      <c r="C318" s="13" t="str">
        <f t="shared" si="66"/>
        <v>Violencia contra la mujer</v>
      </c>
      <c r="D318" s="13" t="str">
        <f t="shared" si="66"/>
        <v>Mujeres</v>
      </c>
      <c r="E318" s="26">
        <v>13</v>
      </c>
      <c r="F318" s="13" t="str">
        <f t="shared" si="67"/>
        <v>Sentencias por delito de abuso sexual</v>
      </c>
      <c r="G318" s="55" t="str">
        <f t="shared" si="67"/>
        <v>Abuso Sexual</v>
      </c>
      <c r="H318" s="29" t="s">
        <v>15</v>
      </c>
      <c r="I318" s="28" t="s">
        <v>379</v>
      </c>
      <c r="J318" s="12" t="s">
        <v>398</v>
      </c>
      <c r="K318" s="12" t="s">
        <v>6114</v>
      </c>
      <c r="L318" s="12" t="str">
        <f t="shared" si="69"/>
        <v>Periodo 2013-2019</v>
      </c>
      <c r="M318" s="12" t="str">
        <f t="shared" si="69"/>
        <v>Porcentaje</v>
      </c>
      <c r="N318" s="33" t="s">
        <v>5964</v>
      </c>
      <c r="O318" s="27" t="str">
        <f>"Variación Trimestral de Sentencias Dictadas (%) en la "&amp;[1]!Ingresos_Historicos[[#This Row],[territorio]]&amp;" por Delito, durante el Periodo 2013-2019"</f>
        <v>Variación Trimestral de Sentencias Dictadas (%) en la Chile por Delito, durante el Periodo 2013-2019</v>
      </c>
      <c r="P318"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8" s="14" t="str">
        <f t="shared" si="68"/>
        <v>Gráfico de Evolución</v>
      </c>
      <c r="R318" s="77" t="s">
        <v>5987</v>
      </c>
      <c r="S318" s="15" t="s">
        <v>6695</v>
      </c>
      <c r="T318" s="65" t="s">
        <v>5935</v>
      </c>
      <c r="U318" s="24" t="s">
        <v>397</v>
      </c>
      <c r="V318" s="19" t="str">
        <f>+Ingresos_Historicos[[#This Row],[idcoleccion]]&amp;"-"&amp;Ingresos_Historicos[[#This Row],[id]]</f>
        <v>300-0308</v>
      </c>
      <c r="W318" s="19">
        <f>+VLOOKUP(Ingresos_Historicos[[#This Row],[Filtro URL]],Estructura!$X$4:$Y$366,2,0)</f>
        <v>30200013</v>
      </c>
      <c r="X318" s="19" t="str">
        <f>+VLOOKUP(Ingresos_Historicos[[#This Row],[tema]],Estructura!$A$4:$C$18,3,0)</f>
        <v>T-306</v>
      </c>
      <c r="Y318" s="19" t="str">
        <f>+VLOOKUP(Ingresos_Historicos[[#This Row],[contenido]],Estructura!$E$4:$G$18,3,0)</f>
        <v>C-301</v>
      </c>
      <c r="Z318" s="19" t="str">
        <f>+VLOOKUP(Ingresos_Historicos[[#This Row],[Filtro Integrado]],Estructura!$M$4:$O$367,3,0)</f>
        <v>FI-303</v>
      </c>
      <c r="AA318" s="19" t="str">
        <f>+VLOOKUP(Ingresos_Historicos[[#This Row],[Muestra]],Estructura!$Q$4:$S$194,3,0)</f>
        <v>M-307</v>
      </c>
    </row>
    <row r="319" spans="1:27" ht="60" x14ac:dyDescent="0.3">
      <c r="A319" s="71" t="s">
        <v>705</v>
      </c>
      <c r="B319" s="12">
        <f t="shared" ref="B319:D334" si="70">+B318</f>
        <v>300</v>
      </c>
      <c r="C319" s="13" t="str">
        <f t="shared" si="70"/>
        <v>Violencia contra la mujer</v>
      </c>
      <c r="D319" s="13" t="str">
        <f t="shared" si="70"/>
        <v>Mujeres</v>
      </c>
      <c r="E319" s="26">
        <v>14</v>
      </c>
      <c r="F319" s="13" t="str">
        <f t="shared" si="67"/>
        <v>Sentencias por delito de abuso sexual</v>
      </c>
      <c r="G319" s="55" t="str">
        <f t="shared" si="67"/>
        <v>Abuso Sexual</v>
      </c>
      <c r="H319" s="29" t="s">
        <v>15</v>
      </c>
      <c r="I319" s="28" t="s">
        <v>380</v>
      </c>
      <c r="J319" s="12" t="s">
        <v>398</v>
      </c>
      <c r="K319" s="12" t="s">
        <v>6114</v>
      </c>
      <c r="L319" s="12" t="str">
        <f t="shared" si="69"/>
        <v>Periodo 2013-2019</v>
      </c>
      <c r="M319" s="12" t="str">
        <f t="shared" si="69"/>
        <v>Porcentaje</v>
      </c>
      <c r="N319" s="33" t="s">
        <v>5964</v>
      </c>
      <c r="O319" s="27" t="str">
        <f>"Variación Trimestral de Sentencias Dictadas (%) en la "&amp;[1]!Ingresos_Historicos[[#This Row],[territorio]]&amp;" por Delito, durante el Periodo 2013-2019"</f>
        <v>Variación Trimestral de Sentencias Dictadas (%) en la Chile por Delito, durante el Periodo 2013-2019</v>
      </c>
      <c r="P319"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19" s="14" t="str">
        <f t="shared" si="68"/>
        <v>Gráfico de Evolución</v>
      </c>
      <c r="R319" s="77" t="s">
        <v>5988</v>
      </c>
      <c r="S319" s="15" t="s">
        <v>6696</v>
      </c>
      <c r="T319" s="65" t="s">
        <v>5936</v>
      </c>
      <c r="U319" s="24" t="s">
        <v>397</v>
      </c>
      <c r="V319" s="19" t="str">
        <f>+Ingresos_Historicos[[#This Row],[idcoleccion]]&amp;"-"&amp;Ingresos_Historicos[[#This Row],[id]]</f>
        <v>300-0309</v>
      </c>
      <c r="W319" s="19">
        <f>+VLOOKUP(Ingresos_Historicos[[#This Row],[Filtro URL]],Estructura!$X$4:$Y$366,2,0)</f>
        <v>30200014</v>
      </c>
      <c r="X319" s="19" t="str">
        <f>+VLOOKUP(Ingresos_Historicos[[#This Row],[tema]],Estructura!$A$4:$C$18,3,0)</f>
        <v>T-306</v>
      </c>
      <c r="Y319" s="19" t="str">
        <f>+VLOOKUP(Ingresos_Historicos[[#This Row],[contenido]],Estructura!$E$4:$G$18,3,0)</f>
        <v>C-301</v>
      </c>
      <c r="Z319" s="19" t="str">
        <f>+VLOOKUP(Ingresos_Historicos[[#This Row],[Filtro Integrado]],Estructura!$M$4:$O$367,3,0)</f>
        <v>FI-303</v>
      </c>
      <c r="AA319" s="19" t="str">
        <f>+VLOOKUP(Ingresos_Historicos[[#This Row],[Muestra]],Estructura!$Q$4:$S$194,3,0)</f>
        <v>M-307</v>
      </c>
    </row>
    <row r="320" spans="1:27" ht="60" x14ac:dyDescent="0.3">
      <c r="A320" s="71" t="s">
        <v>706</v>
      </c>
      <c r="B320" s="12">
        <f t="shared" si="70"/>
        <v>300</v>
      </c>
      <c r="C320" s="13" t="str">
        <f t="shared" si="70"/>
        <v>Violencia contra la mujer</v>
      </c>
      <c r="D320" s="13" t="str">
        <f t="shared" si="70"/>
        <v>Mujeres</v>
      </c>
      <c r="E320" s="26">
        <v>15</v>
      </c>
      <c r="F320" s="13" t="str">
        <f t="shared" si="67"/>
        <v>Sentencias por delito de abuso sexual</v>
      </c>
      <c r="G320" s="55" t="str">
        <f t="shared" si="67"/>
        <v>Abuso Sexual</v>
      </c>
      <c r="H320" s="29" t="s">
        <v>15</v>
      </c>
      <c r="I320" s="28" t="s">
        <v>381</v>
      </c>
      <c r="J320" s="12" t="s">
        <v>398</v>
      </c>
      <c r="K320" s="12" t="s">
        <v>6114</v>
      </c>
      <c r="L320" s="12" t="str">
        <f t="shared" si="69"/>
        <v>Periodo 2013-2019</v>
      </c>
      <c r="M320" s="12" t="str">
        <f t="shared" si="69"/>
        <v>Porcentaje</v>
      </c>
      <c r="N320" s="33" t="s">
        <v>5964</v>
      </c>
      <c r="O320" s="27" t="str">
        <f>"Variación Trimestral de Sentencias Dictadas (%) en la "&amp;[1]!Ingresos_Historicos[[#This Row],[territorio]]&amp;" por Delito, durante el Periodo 2013-2019"</f>
        <v>Variación Trimestral de Sentencias Dictadas (%) en la Chile por Delito, durante el Periodo 2013-2019</v>
      </c>
      <c r="P320"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20" s="14" t="str">
        <f t="shared" si="68"/>
        <v>Gráfico de Evolución</v>
      </c>
      <c r="R320" s="77" t="s">
        <v>5989</v>
      </c>
      <c r="S320" s="15" t="s">
        <v>6697</v>
      </c>
      <c r="T320" s="65" t="s">
        <v>5937</v>
      </c>
      <c r="U320" s="24" t="s">
        <v>397</v>
      </c>
      <c r="V320" s="19" t="str">
        <f>+Ingresos_Historicos[[#This Row],[idcoleccion]]&amp;"-"&amp;Ingresos_Historicos[[#This Row],[id]]</f>
        <v>300-0310</v>
      </c>
      <c r="W320" s="19">
        <f>+VLOOKUP(Ingresos_Historicos[[#This Row],[Filtro URL]],Estructura!$X$4:$Y$366,2,0)</f>
        <v>30200015</v>
      </c>
      <c r="X320" s="19" t="str">
        <f>+VLOOKUP(Ingresos_Historicos[[#This Row],[tema]],Estructura!$A$4:$C$18,3,0)</f>
        <v>T-306</v>
      </c>
      <c r="Y320" s="19" t="str">
        <f>+VLOOKUP(Ingresos_Historicos[[#This Row],[contenido]],Estructura!$E$4:$G$18,3,0)</f>
        <v>C-301</v>
      </c>
      <c r="Z320" s="19" t="str">
        <f>+VLOOKUP(Ingresos_Historicos[[#This Row],[Filtro Integrado]],Estructura!$M$4:$O$367,3,0)</f>
        <v>FI-303</v>
      </c>
      <c r="AA320" s="19" t="str">
        <f>+VLOOKUP(Ingresos_Historicos[[#This Row],[Muestra]],Estructura!$Q$4:$S$194,3,0)</f>
        <v>M-307</v>
      </c>
    </row>
    <row r="321" spans="1:27" ht="60" x14ac:dyDescent="0.3">
      <c r="A321" s="71" t="s">
        <v>707</v>
      </c>
      <c r="B321" s="12">
        <f t="shared" si="70"/>
        <v>300</v>
      </c>
      <c r="C321" s="13" t="str">
        <f t="shared" si="70"/>
        <v>Violencia contra la mujer</v>
      </c>
      <c r="D321" s="13" t="str">
        <f t="shared" si="70"/>
        <v>Mujeres</v>
      </c>
      <c r="E321" s="26">
        <v>16</v>
      </c>
      <c r="F321" s="13" t="str">
        <f t="shared" ref="F321:G336" si="71">+F320</f>
        <v>Sentencias por delito de abuso sexual</v>
      </c>
      <c r="G321" s="55" t="str">
        <f t="shared" si="71"/>
        <v>Abuso Sexual</v>
      </c>
      <c r="H321" s="29" t="s">
        <v>15</v>
      </c>
      <c r="I321" s="28" t="s">
        <v>382</v>
      </c>
      <c r="J321" s="12" t="s">
        <v>398</v>
      </c>
      <c r="K321" s="12" t="s">
        <v>6114</v>
      </c>
      <c r="L321" s="12" t="str">
        <f t="shared" si="69"/>
        <v>Periodo 2013-2019</v>
      </c>
      <c r="M321" s="12" t="str">
        <f t="shared" si="69"/>
        <v>Porcentaje</v>
      </c>
      <c r="N321" s="33" t="s">
        <v>5964</v>
      </c>
      <c r="O321" s="27" t="str">
        <f>"Variación Trimestral de Sentencias Dictadas (%) en la "&amp;[1]!Ingresos_Historicos[[#This Row],[territorio]]&amp;" por Delito, durante el Periodo 2013-2019"</f>
        <v>Variación Trimestral de Sentencias Dictadas (%) en la Chile por Delito, durante el Periodo 2013-2019</v>
      </c>
      <c r="P321" s="42" t="str">
        <f>"El gráfico muestra la tendencia de la Variación Trimestral de Sentencias Dictadas (%) en la "&amp;[1]!Ingresos_Historicos[[#This Row],[territorio]]&amp;" por Delito, durante el Periodo 2013-2019 de acuerdo a datos provenientes del Poder Judicial de Chile."</f>
        <v>El gráfico muestra la tendencia de la Variación Trimestral de Sentencias Dictadas (%) en la Chile por Delito, durante el Periodo 2013-2019 de acuerdo a datos provenientes del Poder Judicial de Chile.</v>
      </c>
      <c r="Q321" s="14" t="str">
        <f t="shared" si="68"/>
        <v>Gráfico de Evolución</v>
      </c>
      <c r="R321" s="77" t="s">
        <v>5990</v>
      </c>
      <c r="S321" s="15" t="s">
        <v>6698</v>
      </c>
      <c r="T321" s="65" t="s">
        <v>5924</v>
      </c>
      <c r="U321" s="24" t="s">
        <v>397</v>
      </c>
      <c r="V321" s="19" t="str">
        <f>+Ingresos_Historicos[[#This Row],[idcoleccion]]&amp;"-"&amp;Ingresos_Historicos[[#This Row],[id]]</f>
        <v>300-0311</v>
      </c>
      <c r="W321" s="19">
        <f>+VLOOKUP(Ingresos_Historicos[[#This Row],[Filtro URL]],Estructura!$X$4:$Y$366,2,0)</f>
        <v>30200016</v>
      </c>
      <c r="X321" s="19" t="str">
        <f>+VLOOKUP(Ingresos_Historicos[[#This Row],[tema]],Estructura!$A$4:$C$18,3,0)</f>
        <v>T-306</v>
      </c>
      <c r="Y321" s="19" t="str">
        <f>+VLOOKUP(Ingresos_Historicos[[#This Row],[contenido]],Estructura!$E$4:$G$18,3,0)</f>
        <v>C-301</v>
      </c>
      <c r="Z321" s="19" t="str">
        <f>+VLOOKUP(Ingresos_Historicos[[#This Row],[Filtro Integrado]],Estructura!$M$4:$O$367,3,0)</f>
        <v>FI-303</v>
      </c>
      <c r="AA321" s="19" t="str">
        <f>+VLOOKUP(Ingresos_Historicos[[#This Row],[Muestra]],Estructura!$Q$4:$S$194,3,0)</f>
        <v>M-307</v>
      </c>
    </row>
    <row r="322" spans="1:27" ht="60" x14ac:dyDescent="0.3">
      <c r="A322" s="32" t="s">
        <v>708</v>
      </c>
      <c r="B322" s="12">
        <f t="shared" si="70"/>
        <v>300</v>
      </c>
      <c r="C322" s="13" t="str">
        <f t="shared" si="70"/>
        <v>Violencia contra la mujer</v>
      </c>
      <c r="D322" s="13" t="str">
        <f t="shared" si="70"/>
        <v>Mujeres</v>
      </c>
      <c r="E322" s="26">
        <v>1</v>
      </c>
      <c r="F322" s="13" t="str">
        <f t="shared" si="71"/>
        <v>Sentencias por delito de abuso sexual</v>
      </c>
      <c r="G322" s="55" t="str">
        <f t="shared" si="71"/>
        <v>Abuso Sexual</v>
      </c>
      <c r="H322" s="29" t="s">
        <v>15</v>
      </c>
      <c r="I322" s="28" t="s">
        <v>367</v>
      </c>
      <c r="J322" s="12" t="s">
        <v>398</v>
      </c>
      <c r="K322" s="12" t="s">
        <v>6114</v>
      </c>
      <c r="L322" s="12" t="str">
        <f t="shared" si="69"/>
        <v>Periodo 2013-2019</v>
      </c>
      <c r="M322" s="12" t="str">
        <f t="shared" si="69"/>
        <v>Porcentaje</v>
      </c>
      <c r="N322" s="33" t="s">
        <v>5964</v>
      </c>
      <c r="O322" s="27" t="str">
        <f>"Variación Trimestral de Sentencias Dictadas (%) en la "&amp;Ingresos_Historicos[[#This Row],[territorio]]&amp;" por Juzgado de Garantía, durante el Periodo 2013-2019"</f>
        <v>Variación Trimestral de Sentencias Dictadas (%) en la Región de Tarapacá por Juzgado de Garantía, durante el Periodo 2013-2019</v>
      </c>
      <c r="P322"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Tarapacá por Juzgado de Garantía, durante el Periodo 2013-2019 de acuerdo a datos provenientes del Poder Judicial de Chile.</v>
      </c>
      <c r="Q322" s="14" t="str">
        <f t="shared" si="68"/>
        <v>Gráfico de Evolución</v>
      </c>
      <c r="R322" s="77" t="s">
        <v>5975</v>
      </c>
      <c r="S322" s="25" t="s">
        <v>6699</v>
      </c>
      <c r="T322" s="65" t="s">
        <v>5907</v>
      </c>
      <c r="U322" s="24" t="s">
        <v>397</v>
      </c>
      <c r="V322" s="19" t="str">
        <f>+Ingresos_Historicos[[#This Row],[idcoleccion]]&amp;"-"&amp;Ingresos_Historicos[[#This Row],[id]]</f>
        <v>300-0312</v>
      </c>
      <c r="W322" s="19">
        <f>+VLOOKUP(Ingresos_Historicos[[#This Row],[Filtro URL]],Estructura!$X$4:$Y$366,2,0)</f>
        <v>30200001</v>
      </c>
      <c r="X322" s="19" t="str">
        <f>+VLOOKUP(Ingresos_Historicos[[#This Row],[tema]],Estructura!$A$4:$C$18,3,0)</f>
        <v>T-306</v>
      </c>
      <c r="Y322" s="19" t="str">
        <f>+VLOOKUP(Ingresos_Historicos[[#This Row],[contenido]],Estructura!$E$4:$G$18,3,0)</f>
        <v>C-301</v>
      </c>
      <c r="Z322" s="19" t="str">
        <f>+VLOOKUP(Ingresos_Historicos[[#This Row],[Filtro Integrado]],Estructura!$M$4:$O$367,3,0)</f>
        <v>FI-303</v>
      </c>
      <c r="AA322" s="19" t="str">
        <f>+VLOOKUP(Ingresos_Historicos[[#This Row],[Muestra]],Estructura!$Q$4:$S$194,3,0)</f>
        <v>M-307</v>
      </c>
    </row>
    <row r="323" spans="1:27" ht="60" x14ac:dyDescent="0.3">
      <c r="A323" s="71" t="s">
        <v>709</v>
      </c>
      <c r="B323" s="12">
        <f t="shared" si="70"/>
        <v>300</v>
      </c>
      <c r="C323" s="13" t="str">
        <f t="shared" si="70"/>
        <v>Violencia contra la mujer</v>
      </c>
      <c r="D323" s="13" t="str">
        <f t="shared" si="70"/>
        <v>Mujeres</v>
      </c>
      <c r="E323" s="26">
        <v>2</v>
      </c>
      <c r="F323" s="13" t="str">
        <f t="shared" si="71"/>
        <v>Sentencias por delito de abuso sexual</v>
      </c>
      <c r="G323" s="55" t="str">
        <f t="shared" si="71"/>
        <v>Abuso Sexual</v>
      </c>
      <c r="H323" s="29" t="s">
        <v>15</v>
      </c>
      <c r="I323" s="28" t="s">
        <v>368</v>
      </c>
      <c r="J323" s="12" t="s">
        <v>398</v>
      </c>
      <c r="K323" s="12" t="s">
        <v>6114</v>
      </c>
      <c r="L323" s="12" t="str">
        <f t="shared" si="69"/>
        <v>Periodo 2013-2019</v>
      </c>
      <c r="M323" s="12" t="str">
        <f t="shared" si="69"/>
        <v>Porcentaje</v>
      </c>
      <c r="N323" s="33" t="s">
        <v>5964</v>
      </c>
      <c r="O323" s="27" t="str">
        <f>"Variación Trimestral de Sentencias Dictadas (%) en la "&amp;Ingresos_Historicos[[#This Row],[territorio]]&amp;" por Juzgado de Garantía, durante el Periodo 2013-2019"</f>
        <v>Variación Trimestral de Sentencias Dictadas (%) en la Región de Antofagasta por Juzgado de Garantía, durante el Periodo 2013-2019</v>
      </c>
      <c r="P323"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Antofagasta por Juzgado de Garantía, durante el Periodo 2013-2019 de acuerdo a datos provenientes del Poder Judicial de Chile.</v>
      </c>
      <c r="Q323" s="14" t="str">
        <f t="shared" si="68"/>
        <v>Gráfico de Evolución</v>
      </c>
      <c r="R323" s="77" t="s">
        <v>5976</v>
      </c>
      <c r="S323" s="25" t="s">
        <v>6700</v>
      </c>
      <c r="T323" s="65" t="s">
        <v>5908</v>
      </c>
      <c r="U323" s="24" t="s">
        <v>397</v>
      </c>
      <c r="V323" s="19" t="str">
        <f>+Ingresos_Historicos[[#This Row],[idcoleccion]]&amp;"-"&amp;Ingresos_Historicos[[#This Row],[id]]</f>
        <v>300-0313</v>
      </c>
      <c r="W323" s="19">
        <f>+VLOOKUP(Ingresos_Historicos[[#This Row],[Filtro URL]],Estructura!$X$4:$Y$366,2,0)</f>
        <v>30200002</v>
      </c>
      <c r="X323" s="19" t="str">
        <f>+VLOOKUP(Ingresos_Historicos[[#This Row],[tema]],Estructura!$A$4:$C$18,3,0)</f>
        <v>T-306</v>
      </c>
      <c r="Y323" s="19" t="str">
        <f>+VLOOKUP(Ingresos_Historicos[[#This Row],[contenido]],Estructura!$E$4:$G$18,3,0)</f>
        <v>C-301</v>
      </c>
      <c r="Z323" s="19" t="str">
        <f>+VLOOKUP(Ingresos_Historicos[[#This Row],[Filtro Integrado]],Estructura!$M$4:$O$367,3,0)</f>
        <v>FI-303</v>
      </c>
      <c r="AA323" s="19" t="str">
        <f>+VLOOKUP(Ingresos_Historicos[[#This Row],[Muestra]],Estructura!$Q$4:$S$194,3,0)</f>
        <v>M-307</v>
      </c>
    </row>
    <row r="324" spans="1:27" ht="60" x14ac:dyDescent="0.3">
      <c r="A324" s="71" t="s">
        <v>710</v>
      </c>
      <c r="B324" s="12">
        <f t="shared" si="70"/>
        <v>300</v>
      </c>
      <c r="C324" s="13" t="str">
        <f t="shared" si="70"/>
        <v>Violencia contra la mujer</v>
      </c>
      <c r="D324" s="13" t="str">
        <f t="shared" si="70"/>
        <v>Mujeres</v>
      </c>
      <c r="E324" s="26">
        <v>3</v>
      </c>
      <c r="F324" s="13" t="str">
        <f t="shared" si="71"/>
        <v>Sentencias por delito de abuso sexual</v>
      </c>
      <c r="G324" s="55" t="str">
        <f t="shared" si="71"/>
        <v>Abuso Sexual</v>
      </c>
      <c r="H324" s="29" t="s">
        <v>15</v>
      </c>
      <c r="I324" s="28" t="s">
        <v>369</v>
      </c>
      <c r="J324" s="12" t="s">
        <v>398</v>
      </c>
      <c r="K324" s="12" t="s">
        <v>6114</v>
      </c>
      <c r="L324" s="12" t="str">
        <f t="shared" si="69"/>
        <v>Periodo 2013-2019</v>
      </c>
      <c r="M324" s="12" t="str">
        <f t="shared" si="69"/>
        <v>Porcentaje</v>
      </c>
      <c r="N324" s="33" t="s">
        <v>5964</v>
      </c>
      <c r="O324" s="27" t="str">
        <f>"Variación Trimestral de Sentencias Dictadas (%) en la "&amp;Ingresos_Historicos[[#This Row],[territorio]]&amp;" por Juzgado de Garantía, durante el Periodo 2013-2019"</f>
        <v>Variación Trimestral de Sentencias Dictadas (%) en la Región de Atacama por Juzgado de Garantía, durante el Periodo 2013-2019</v>
      </c>
      <c r="P324"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Atacama por Juzgado de Garantía, durante el Periodo 2013-2019 de acuerdo a datos provenientes del Poder Judicial de Chile.</v>
      </c>
      <c r="Q324" s="14" t="str">
        <f t="shared" si="68"/>
        <v>Gráfico de Evolución</v>
      </c>
      <c r="R324" s="77" t="s">
        <v>5977</v>
      </c>
      <c r="S324" s="25" t="s">
        <v>6701</v>
      </c>
      <c r="T324" s="65" t="s">
        <v>5909</v>
      </c>
      <c r="U324" s="24" t="s">
        <v>397</v>
      </c>
      <c r="V324" s="19" t="str">
        <f>+Ingresos_Historicos[[#This Row],[idcoleccion]]&amp;"-"&amp;Ingresos_Historicos[[#This Row],[id]]</f>
        <v>300-0314</v>
      </c>
      <c r="W324" s="19">
        <f>+VLOOKUP(Ingresos_Historicos[[#This Row],[Filtro URL]],Estructura!$X$4:$Y$366,2,0)</f>
        <v>30200003</v>
      </c>
      <c r="X324" s="19" t="str">
        <f>+VLOOKUP(Ingresos_Historicos[[#This Row],[tema]],Estructura!$A$4:$C$18,3,0)</f>
        <v>T-306</v>
      </c>
      <c r="Y324" s="19" t="str">
        <f>+VLOOKUP(Ingresos_Historicos[[#This Row],[contenido]],Estructura!$E$4:$G$18,3,0)</f>
        <v>C-301</v>
      </c>
      <c r="Z324" s="19" t="str">
        <f>+VLOOKUP(Ingresos_Historicos[[#This Row],[Filtro Integrado]],Estructura!$M$4:$O$367,3,0)</f>
        <v>FI-303</v>
      </c>
      <c r="AA324" s="19" t="str">
        <f>+VLOOKUP(Ingresos_Historicos[[#This Row],[Muestra]],Estructura!$Q$4:$S$194,3,0)</f>
        <v>M-307</v>
      </c>
    </row>
    <row r="325" spans="1:27" ht="60" x14ac:dyDescent="0.3">
      <c r="A325" s="71" t="s">
        <v>711</v>
      </c>
      <c r="B325" s="12">
        <f t="shared" si="70"/>
        <v>300</v>
      </c>
      <c r="C325" s="13" t="str">
        <f t="shared" si="70"/>
        <v>Violencia contra la mujer</v>
      </c>
      <c r="D325" s="13" t="str">
        <f t="shared" si="70"/>
        <v>Mujeres</v>
      </c>
      <c r="E325" s="26">
        <v>4</v>
      </c>
      <c r="F325" s="13" t="str">
        <f t="shared" si="71"/>
        <v>Sentencias por delito de abuso sexual</v>
      </c>
      <c r="G325" s="55" t="str">
        <f t="shared" si="71"/>
        <v>Abuso Sexual</v>
      </c>
      <c r="H325" s="29" t="s">
        <v>15</v>
      </c>
      <c r="I325" s="28" t="s">
        <v>370</v>
      </c>
      <c r="J325" s="12" t="s">
        <v>398</v>
      </c>
      <c r="K325" s="12" t="s">
        <v>6114</v>
      </c>
      <c r="L325" s="12" t="str">
        <f t="shared" si="69"/>
        <v>Periodo 2013-2019</v>
      </c>
      <c r="M325" s="12" t="str">
        <f t="shared" si="69"/>
        <v>Porcentaje</v>
      </c>
      <c r="N325" s="33" t="s">
        <v>5964</v>
      </c>
      <c r="O325" s="27" t="str">
        <f>"Variación Trimestral de Sentencias Dictadas (%) en la "&amp;Ingresos_Historicos[[#This Row],[territorio]]&amp;" por Juzgado de Garantía, durante el Periodo 2013-2019"</f>
        <v>Variación Trimestral de Sentencias Dictadas (%) en la Región de Coquimbo por Juzgado de Garantía, durante el Periodo 2013-2019</v>
      </c>
      <c r="P325"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Coquimbo por Juzgado de Garantía, durante el Periodo 2013-2019 de acuerdo a datos provenientes del Poder Judicial de Chile.</v>
      </c>
      <c r="Q325" s="14" t="str">
        <f t="shared" si="68"/>
        <v>Gráfico de Evolución</v>
      </c>
      <c r="R325" s="77" t="s">
        <v>5978</v>
      </c>
      <c r="S325" s="25" t="s">
        <v>6702</v>
      </c>
      <c r="T325" s="65" t="s">
        <v>5910</v>
      </c>
      <c r="U325" s="24" t="s">
        <v>397</v>
      </c>
      <c r="V325" s="19" t="str">
        <f>+Ingresos_Historicos[[#This Row],[idcoleccion]]&amp;"-"&amp;Ingresos_Historicos[[#This Row],[id]]</f>
        <v>300-0315</v>
      </c>
      <c r="W325" s="19">
        <f>+VLOOKUP(Ingresos_Historicos[[#This Row],[Filtro URL]],Estructura!$X$4:$Y$366,2,0)</f>
        <v>30200004</v>
      </c>
      <c r="X325" s="19" t="str">
        <f>+VLOOKUP(Ingresos_Historicos[[#This Row],[tema]],Estructura!$A$4:$C$18,3,0)</f>
        <v>T-306</v>
      </c>
      <c r="Y325" s="19" t="str">
        <f>+VLOOKUP(Ingresos_Historicos[[#This Row],[contenido]],Estructura!$E$4:$G$18,3,0)</f>
        <v>C-301</v>
      </c>
      <c r="Z325" s="19" t="str">
        <f>+VLOOKUP(Ingresos_Historicos[[#This Row],[Filtro Integrado]],Estructura!$M$4:$O$367,3,0)</f>
        <v>FI-303</v>
      </c>
      <c r="AA325" s="19" t="str">
        <f>+VLOOKUP(Ingresos_Historicos[[#This Row],[Muestra]],Estructura!$Q$4:$S$194,3,0)</f>
        <v>M-307</v>
      </c>
    </row>
    <row r="326" spans="1:27" ht="60" x14ac:dyDescent="0.3">
      <c r="A326" s="71" t="s">
        <v>712</v>
      </c>
      <c r="B326" s="12">
        <f t="shared" si="70"/>
        <v>300</v>
      </c>
      <c r="C326" s="13" t="str">
        <f t="shared" si="70"/>
        <v>Violencia contra la mujer</v>
      </c>
      <c r="D326" s="13" t="str">
        <f t="shared" si="70"/>
        <v>Mujeres</v>
      </c>
      <c r="E326" s="26">
        <v>5</v>
      </c>
      <c r="F326" s="13" t="str">
        <f t="shared" si="71"/>
        <v>Sentencias por delito de abuso sexual</v>
      </c>
      <c r="G326" s="55" t="str">
        <f t="shared" si="71"/>
        <v>Abuso Sexual</v>
      </c>
      <c r="H326" s="29" t="s">
        <v>15</v>
      </c>
      <c r="I326" s="28" t="s">
        <v>371</v>
      </c>
      <c r="J326" s="12" t="s">
        <v>398</v>
      </c>
      <c r="K326" s="12" t="s">
        <v>6114</v>
      </c>
      <c r="L326" s="12" t="str">
        <f t="shared" si="69"/>
        <v>Periodo 2013-2019</v>
      </c>
      <c r="M326" s="12" t="str">
        <f t="shared" si="69"/>
        <v>Porcentaje</v>
      </c>
      <c r="N326" s="33" t="s">
        <v>5964</v>
      </c>
      <c r="O326" s="27" t="str">
        <f>"Variación Trimestral de Sentencias Dictadas (%) en la "&amp;Ingresos_Historicos[[#This Row],[territorio]]&amp;" por Juzgado de Garantía, durante el Periodo 2013-2019"</f>
        <v>Variación Trimestral de Sentencias Dictadas (%) en la Región de Valparaíso por Juzgado de Garantía, durante el Periodo 2013-2019</v>
      </c>
      <c r="P326"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Valparaíso por Juzgado de Garantía, durante el Periodo 2013-2019 de acuerdo a datos provenientes del Poder Judicial de Chile.</v>
      </c>
      <c r="Q326" s="14" t="str">
        <f t="shared" si="68"/>
        <v>Gráfico de Evolución</v>
      </c>
      <c r="R326" s="77" t="s">
        <v>5979</v>
      </c>
      <c r="S326" s="25" t="s">
        <v>6703</v>
      </c>
      <c r="T326" s="65" t="s">
        <v>5911</v>
      </c>
      <c r="U326" s="24" t="s">
        <v>397</v>
      </c>
      <c r="V326" s="19" t="str">
        <f>+Ingresos_Historicos[[#This Row],[idcoleccion]]&amp;"-"&amp;Ingresos_Historicos[[#This Row],[id]]</f>
        <v>300-0316</v>
      </c>
      <c r="W326" s="19">
        <f>+VLOOKUP(Ingresos_Historicos[[#This Row],[Filtro URL]],Estructura!$X$4:$Y$366,2,0)</f>
        <v>30200005</v>
      </c>
      <c r="X326" s="19" t="str">
        <f>+VLOOKUP(Ingresos_Historicos[[#This Row],[tema]],Estructura!$A$4:$C$18,3,0)</f>
        <v>T-306</v>
      </c>
      <c r="Y326" s="19" t="str">
        <f>+VLOOKUP(Ingresos_Historicos[[#This Row],[contenido]],Estructura!$E$4:$G$18,3,0)</f>
        <v>C-301</v>
      </c>
      <c r="Z326" s="19" t="str">
        <f>+VLOOKUP(Ingresos_Historicos[[#This Row],[Filtro Integrado]],Estructura!$M$4:$O$367,3,0)</f>
        <v>FI-303</v>
      </c>
      <c r="AA326" s="19" t="str">
        <f>+VLOOKUP(Ingresos_Historicos[[#This Row],[Muestra]],Estructura!$Q$4:$S$194,3,0)</f>
        <v>M-307</v>
      </c>
    </row>
    <row r="327" spans="1:27" ht="60" x14ac:dyDescent="0.3">
      <c r="A327" s="71" t="s">
        <v>713</v>
      </c>
      <c r="B327" s="12">
        <f t="shared" si="70"/>
        <v>300</v>
      </c>
      <c r="C327" s="13" t="str">
        <f t="shared" si="70"/>
        <v>Violencia contra la mujer</v>
      </c>
      <c r="D327" s="13" t="str">
        <f t="shared" si="70"/>
        <v>Mujeres</v>
      </c>
      <c r="E327" s="26">
        <v>6</v>
      </c>
      <c r="F327" s="13" t="str">
        <f t="shared" si="71"/>
        <v>Sentencias por delito de abuso sexual</v>
      </c>
      <c r="G327" s="55" t="str">
        <f t="shared" si="71"/>
        <v>Abuso Sexual</v>
      </c>
      <c r="H327" s="29" t="s">
        <v>15</v>
      </c>
      <c r="I327" s="28" t="s">
        <v>372</v>
      </c>
      <c r="J327" s="12" t="s">
        <v>398</v>
      </c>
      <c r="K327" s="12" t="s">
        <v>6114</v>
      </c>
      <c r="L327" s="12" t="str">
        <f t="shared" si="69"/>
        <v>Periodo 2013-2019</v>
      </c>
      <c r="M327" s="12" t="str">
        <f t="shared" si="69"/>
        <v>Porcentaje</v>
      </c>
      <c r="N327" s="33" t="s">
        <v>5964</v>
      </c>
      <c r="O327" s="27" t="str">
        <f>"Variación Trimestral de Sentencias Dictadas (%) en la "&amp;Ingresos_Historicos[[#This Row],[territorio]]&amp;" por Juzgado de Garantía, durante el Periodo 2013-2019"</f>
        <v>Variación Trimestral de Sentencias Dictadas (%) en la Región de O'Higgins por Juzgado de Garantía, durante el Periodo 2013-2019</v>
      </c>
      <c r="P327"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O'Higgins por Juzgado de Garantía, durante el Periodo 2013-2019 de acuerdo a datos provenientes del Poder Judicial de Chile.</v>
      </c>
      <c r="Q327" s="14" t="str">
        <f t="shared" si="68"/>
        <v>Gráfico de Evolución</v>
      </c>
      <c r="R327" s="77" t="s">
        <v>5980</v>
      </c>
      <c r="S327" s="25" t="s">
        <v>6704</v>
      </c>
      <c r="T327" s="65" t="s">
        <v>5912</v>
      </c>
      <c r="U327" s="24" t="s">
        <v>397</v>
      </c>
      <c r="V327" s="19" t="str">
        <f>+Ingresos_Historicos[[#This Row],[idcoleccion]]&amp;"-"&amp;Ingresos_Historicos[[#This Row],[id]]</f>
        <v>300-0317</v>
      </c>
      <c r="W327" s="19">
        <f>+VLOOKUP(Ingresos_Historicos[[#This Row],[Filtro URL]],Estructura!$X$4:$Y$366,2,0)</f>
        <v>30200006</v>
      </c>
      <c r="X327" s="19" t="str">
        <f>+VLOOKUP(Ingresos_Historicos[[#This Row],[tema]],Estructura!$A$4:$C$18,3,0)</f>
        <v>T-306</v>
      </c>
      <c r="Y327" s="19" t="str">
        <f>+VLOOKUP(Ingresos_Historicos[[#This Row],[contenido]],Estructura!$E$4:$G$18,3,0)</f>
        <v>C-301</v>
      </c>
      <c r="Z327" s="19" t="str">
        <f>+VLOOKUP(Ingresos_Historicos[[#This Row],[Filtro Integrado]],Estructura!$M$4:$O$367,3,0)</f>
        <v>FI-303</v>
      </c>
      <c r="AA327" s="19" t="str">
        <f>+VLOOKUP(Ingresos_Historicos[[#This Row],[Muestra]],Estructura!$Q$4:$S$194,3,0)</f>
        <v>M-307</v>
      </c>
    </row>
    <row r="328" spans="1:27" ht="60" x14ac:dyDescent="0.3">
      <c r="A328" s="71" t="s">
        <v>714</v>
      </c>
      <c r="B328" s="12">
        <f t="shared" si="70"/>
        <v>300</v>
      </c>
      <c r="C328" s="13" t="str">
        <f t="shared" si="70"/>
        <v>Violencia contra la mujer</v>
      </c>
      <c r="D328" s="13" t="str">
        <f t="shared" si="70"/>
        <v>Mujeres</v>
      </c>
      <c r="E328" s="26">
        <v>7</v>
      </c>
      <c r="F328" s="13" t="str">
        <f t="shared" si="71"/>
        <v>Sentencias por delito de abuso sexual</v>
      </c>
      <c r="G328" s="55" t="str">
        <f t="shared" si="71"/>
        <v>Abuso Sexual</v>
      </c>
      <c r="H328" s="29" t="s">
        <v>15</v>
      </c>
      <c r="I328" s="28" t="s">
        <v>373</v>
      </c>
      <c r="J328" s="12" t="s">
        <v>398</v>
      </c>
      <c r="K328" s="12" t="s">
        <v>6114</v>
      </c>
      <c r="L328" s="12" t="str">
        <f t="shared" si="69"/>
        <v>Periodo 2013-2019</v>
      </c>
      <c r="M328" s="12" t="str">
        <f t="shared" si="69"/>
        <v>Porcentaje</v>
      </c>
      <c r="N328" s="33" t="s">
        <v>5964</v>
      </c>
      <c r="O328" s="27" t="str">
        <f>"Variación Trimestral de Sentencias Dictadas (%) en la "&amp;Ingresos_Historicos[[#This Row],[territorio]]&amp;" por Juzgado de Garantía, durante el Periodo 2013-2019"</f>
        <v>Variación Trimestral de Sentencias Dictadas (%) en la Región de Maule por Juzgado de Garantía, durante el Periodo 2013-2019</v>
      </c>
      <c r="P328"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Maule por Juzgado de Garantía, durante el Periodo 2013-2019 de acuerdo a datos provenientes del Poder Judicial de Chile.</v>
      </c>
      <c r="Q328" s="14" t="str">
        <f t="shared" si="68"/>
        <v>Gráfico de Evolución</v>
      </c>
      <c r="R328" s="77" t="s">
        <v>5981</v>
      </c>
      <c r="S328" s="25" t="s">
        <v>6705</v>
      </c>
      <c r="T328" s="65" t="s">
        <v>5913</v>
      </c>
      <c r="U328" s="24" t="s">
        <v>397</v>
      </c>
      <c r="V328" s="19" t="str">
        <f>+Ingresos_Historicos[[#This Row],[idcoleccion]]&amp;"-"&amp;Ingresos_Historicos[[#This Row],[id]]</f>
        <v>300-0318</v>
      </c>
      <c r="W328" s="19">
        <f>+VLOOKUP(Ingresos_Historicos[[#This Row],[Filtro URL]],Estructura!$X$4:$Y$366,2,0)</f>
        <v>30200007</v>
      </c>
      <c r="X328" s="19" t="str">
        <f>+VLOOKUP(Ingresos_Historicos[[#This Row],[tema]],Estructura!$A$4:$C$18,3,0)</f>
        <v>T-306</v>
      </c>
      <c r="Y328" s="19" t="str">
        <f>+VLOOKUP(Ingresos_Historicos[[#This Row],[contenido]],Estructura!$E$4:$G$18,3,0)</f>
        <v>C-301</v>
      </c>
      <c r="Z328" s="19" t="str">
        <f>+VLOOKUP(Ingresos_Historicos[[#This Row],[Filtro Integrado]],Estructura!$M$4:$O$367,3,0)</f>
        <v>FI-303</v>
      </c>
      <c r="AA328" s="19" t="str">
        <f>+VLOOKUP(Ingresos_Historicos[[#This Row],[Muestra]],Estructura!$Q$4:$S$194,3,0)</f>
        <v>M-307</v>
      </c>
    </row>
    <row r="329" spans="1:27" ht="60" x14ac:dyDescent="0.3">
      <c r="A329" s="71" t="s">
        <v>715</v>
      </c>
      <c r="B329" s="12">
        <f t="shared" si="70"/>
        <v>300</v>
      </c>
      <c r="C329" s="13" t="str">
        <f t="shared" si="70"/>
        <v>Violencia contra la mujer</v>
      </c>
      <c r="D329" s="13" t="str">
        <f t="shared" si="70"/>
        <v>Mujeres</v>
      </c>
      <c r="E329" s="26">
        <v>8</v>
      </c>
      <c r="F329" s="13" t="str">
        <f t="shared" si="71"/>
        <v>Sentencias por delito de abuso sexual</v>
      </c>
      <c r="G329" s="55" t="str">
        <f t="shared" si="71"/>
        <v>Abuso Sexual</v>
      </c>
      <c r="H329" s="29" t="s">
        <v>15</v>
      </c>
      <c r="I329" s="28" t="s">
        <v>374</v>
      </c>
      <c r="J329" s="12" t="s">
        <v>398</v>
      </c>
      <c r="K329" s="12" t="s">
        <v>6114</v>
      </c>
      <c r="L329" s="12" t="str">
        <f t="shared" si="69"/>
        <v>Periodo 2013-2019</v>
      </c>
      <c r="M329" s="12" t="str">
        <f t="shared" si="69"/>
        <v>Porcentaje</v>
      </c>
      <c r="N329" s="33" t="s">
        <v>5964</v>
      </c>
      <c r="O329" s="27" t="str">
        <f>"Variación Trimestral de Sentencias Dictadas (%) en la "&amp;Ingresos_Historicos[[#This Row],[territorio]]&amp;" por Juzgado de Garantía, durante el Periodo 2013-2019"</f>
        <v>Variación Trimestral de Sentencias Dictadas (%) en la Región del Biobío por Juzgado de Garantía, durante el Periodo 2013-2019</v>
      </c>
      <c r="P329"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del Biobío por Juzgado de Garantía, durante el Periodo 2013-2019 de acuerdo a datos provenientes del Poder Judicial de Chile.</v>
      </c>
      <c r="Q329" s="14" t="str">
        <f t="shared" si="68"/>
        <v>Gráfico de Evolución</v>
      </c>
      <c r="R329" s="77" t="s">
        <v>5982</v>
      </c>
      <c r="S329" s="25" t="s">
        <v>6706</v>
      </c>
      <c r="T329" s="65" t="s">
        <v>5914</v>
      </c>
      <c r="U329" s="24" t="s">
        <v>397</v>
      </c>
      <c r="V329" s="19" t="str">
        <f>+Ingresos_Historicos[[#This Row],[idcoleccion]]&amp;"-"&amp;Ingresos_Historicos[[#This Row],[id]]</f>
        <v>300-0319</v>
      </c>
      <c r="W329" s="19">
        <f>+VLOOKUP(Ingresos_Historicos[[#This Row],[Filtro URL]],Estructura!$X$4:$Y$366,2,0)</f>
        <v>30200008</v>
      </c>
      <c r="X329" s="19" t="str">
        <f>+VLOOKUP(Ingresos_Historicos[[#This Row],[tema]],Estructura!$A$4:$C$18,3,0)</f>
        <v>T-306</v>
      </c>
      <c r="Y329" s="19" t="str">
        <f>+VLOOKUP(Ingresos_Historicos[[#This Row],[contenido]],Estructura!$E$4:$G$18,3,0)</f>
        <v>C-301</v>
      </c>
      <c r="Z329" s="19" t="str">
        <f>+VLOOKUP(Ingresos_Historicos[[#This Row],[Filtro Integrado]],Estructura!$M$4:$O$367,3,0)</f>
        <v>FI-303</v>
      </c>
      <c r="AA329" s="19" t="str">
        <f>+VLOOKUP(Ingresos_Historicos[[#This Row],[Muestra]],Estructura!$Q$4:$S$194,3,0)</f>
        <v>M-307</v>
      </c>
    </row>
    <row r="330" spans="1:27" ht="60" x14ac:dyDescent="0.3">
      <c r="A330" s="71" t="s">
        <v>716</v>
      </c>
      <c r="B330" s="12">
        <f t="shared" si="70"/>
        <v>300</v>
      </c>
      <c r="C330" s="13" t="str">
        <f t="shared" si="70"/>
        <v>Violencia contra la mujer</v>
      </c>
      <c r="D330" s="13" t="str">
        <f t="shared" si="70"/>
        <v>Mujeres</v>
      </c>
      <c r="E330" s="26">
        <v>9</v>
      </c>
      <c r="F330" s="13" t="str">
        <f t="shared" si="71"/>
        <v>Sentencias por delito de abuso sexual</v>
      </c>
      <c r="G330" s="55" t="str">
        <f t="shared" si="71"/>
        <v>Abuso Sexual</v>
      </c>
      <c r="H330" s="29" t="s">
        <v>15</v>
      </c>
      <c r="I330" s="28" t="s">
        <v>375</v>
      </c>
      <c r="J330" s="12" t="s">
        <v>398</v>
      </c>
      <c r="K330" s="12" t="s">
        <v>6114</v>
      </c>
      <c r="L330" s="12" t="str">
        <f t="shared" si="69"/>
        <v>Periodo 2013-2019</v>
      </c>
      <c r="M330" s="12" t="str">
        <f t="shared" si="69"/>
        <v>Porcentaje</v>
      </c>
      <c r="N330" s="33" t="s">
        <v>5964</v>
      </c>
      <c r="O330" s="27" t="str">
        <f>"Variación Trimestral de Sentencias Dictadas (%) en la "&amp;Ingresos_Historicos[[#This Row],[territorio]]&amp;" por Juzgado de Garantía, durante el Periodo 2013-2019"</f>
        <v>Variación Trimestral de Sentencias Dictadas (%) en la Región de La Araucanía por Juzgado de Garantía, durante el Periodo 2013-2019</v>
      </c>
      <c r="P330"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La Araucanía por Juzgado de Garantía, durante el Periodo 2013-2019 de acuerdo a datos provenientes del Poder Judicial de Chile.</v>
      </c>
      <c r="Q330" s="14" t="str">
        <f t="shared" si="68"/>
        <v>Gráfico de Evolución</v>
      </c>
      <c r="R330" s="77" t="s">
        <v>5983</v>
      </c>
      <c r="S330" s="25" t="s">
        <v>6707</v>
      </c>
      <c r="T330" s="65" t="s">
        <v>5915</v>
      </c>
      <c r="U330" s="24" t="s">
        <v>397</v>
      </c>
      <c r="V330" s="19" t="str">
        <f>+Ingresos_Historicos[[#This Row],[idcoleccion]]&amp;"-"&amp;Ingresos_Historicos[[#This Row],[id]]</f>
        <v>300-0320</v>
      </c>
      <c r="W330" s="19">
        <f>+VLOOKUP(Ingresos_Historicos[[#This Row],[Filtro URL]],Estructura!$X$4:$Y$366,2,0)</f>
        <v>30200009</v>
      </c>
      <c r="X330" s="19" t="str">
        <f>+VLOOKUP(Ingresos_Historicos[[#This Row],[tema]],Estructura!$A$4:$C$18,3,0)</f>
        <v>T-306</v>
      </c>
      <c r="Y330" s="19" t="str">
        <f>+VLOOKUP(Ingresos_Historicos[[#This Row],[contenido]],Estructura!$E$4:$G$18,3,0)</f>
        <v>C-301</v>
      </c>
      <c r="Z330" s="19" t="str">
        <f>+VLOOKUP(Ingresos_Historicos[[#This Row],[Filtro Integrado]],Estructura!$M$4:$O$367,3,0)</f>
        <v>FI-303</v>
      </c>
      <c r="AA330" s="19" t="str">
        <f>+VLOOKUP(Ingresos_Historicos[[#This Row],[Muestra]],Estructura!$Q$4:$S$194,3,0)</f>
        <v>M-307</v>
      </c>
    </row>
    <row r="331" spans="1:27" ht="60" x14ac:dyDescent="0.3">
      <c r="A331" s="71" t="s">
        <v>717</v>
      </c>
      <c r="B331" s="12">
        <f t="shared" si="70"/>
        <v>300</v>
      </c>
      <c r="C331" s="13" t="str">
        <f t="shared" si="70"/>
        <v>Violencia contra la mujer</v>
      </c>
      <c r="D331" s="13" t="str">
        <f t="shared" si="70"/>
        <v>Mujeres</v>
      </c>
      <c r="E331" s="26">
        <v>10</v>
      </c>
      <c r="F331" s="13" t="str">
        <f t="shared" si="71"/>
        <v>Sentencias por delito de abuso sexual</v>
      </c>
      <c r="G331" s="55" t="str">
        <f t="shared" si="71"/>
        <v>Abuso Sexual</v>
      </c>
      <c r="H331" s="29" t="s">
        <v>15</v>
      </c>
      <c r="I331" s="28" t="s">
        <v>376</v>
      </c>
      <c r="J331" s="12" t="s">
        <v>398</v>
      </c>
      <c r="K331" s="12" t="s">
        <v>6114</v>
      </c>
      <c r="L331" s="12" t="str">
        <f t="shared" si="69"/>
        <v>Periodo 2013-2019</v>
      </c>
      <c r="M331" s="12" t="str">
        <f t="shared" si="69"/>
        <v>Porcentaje</v>
      </c>
      <c r="N331" s="33" t="s">
        <v>5964</v>
      </c>
      <c r="O331" s="27" t="str">
        <f>"Variación Trimestral de Sentencias Dictadas (%) en la "&amp;Ingresos_Historicos[[#This Row],[territorio]]&amp;" por Juzgado de Garantía, durante el Periodo 2013-2019"</f>
        <v>Variación Trimestral de Sentencias Dictadas (%) en la Región de Los Lagos por Juzgado de Garantía, durante el Periodo 2013-2019</v>
      </c>
      <c r="P331"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Los Lagos por Juzgado de Garantía, durante el Periodo 2013-2019 de acuerdo a datos provenientes del Poder Judicial de Chile.</v>
      </c>
      <c r="Q331" s="14" t="str">
        <f t="shared" si="68"/>
        <v>Gráfico de Evolución</v>
      </c>
      <c r="R331" s="77" t="s">
        <v>5984</v>
      </c>
      <c r="S331" s="25" t="s">
        <v>6708</v>
      </c>
      <c r="T331" s="65" t="s">
        <v>5916</v>
      </c>
      <c r="U331" s="24" t="s">
        <v>397</v>
      </c>
      <c r="V331" s="19" t="str">
        <f>+Ingresos_Historicos[[#This Row],[idcoleccion]]&amp;"-"&amp;Ingresos_Historicos[[#This Row],[id]]</f>
        <v>300-0321</v>
      </c>
      <c r="W331" s="19">
        <f>+VLOOKUP(Ingresos_Historicos[[#This Row],[Filtro URL]],Estructura!$X$4:$Y$366,2,0)</f>
        <v>30200010</v>
      </c>
      <c r="X331" s="19" t="str">
        <f>+VLOOKUP(Ingresos_Historicos[[#This Row],[tema]],Estructura!$A$4:$C$18,3,0)</f>
        <v>T-306</v>
      </c>
      <c r="Y331" s="19" t="str">
        <f>+VLOOKUP(Ingresos_Historicos[[#This Row],[contenido]],Estructura!$E$4:$G$18,3,0)</f>
        <v>C-301</v>
      </c>
      <c r="Z331" s="19" t="str">
        <f>+VLOOKUP(Ingresos_Historicos[[#This Row],[Filtro Integrado]],Estructura!$M$4:$O$367,3,0)</f>
        <v>FI-303</v>
      </c>
      <c r="AA331" s="19" t="str">
        <f>+VLOOKUP(Ingresos_Historicos[[#This Row],[Muestra]],Estructura!$Q$4:$S$194,3,0)</f>
        <v>M-307</v>
      </c>
    </row>
    <row r="332" spans="1:27" ht="60" x14ac:dyDescent="0.3">
      <c r="A332" s="71" t="s">
        <v>718</v>
      </c>
      <c r="B332" s="12">
        <f t="shared" si="70"/>
        <v>300</v>
      </c>
      <c r="C332" s="13" t="str">
        <f t="shared" si="70"/>
        <v>Violencia contra la mujer</v>
      </c>
      <c r="D332" s="13" t="str">
        <f t="shared" si="70"/>
        <v>Mujeres</v>
      </c>
      <c r="E332" s="26">
        <v>11</v>
      </c>
      <c r="F332" s="13" t="str">
        <f t="shared" si="71"/>
        <v>Sentencias por delito de abuso sexual</v>
      </c>
      <c r="G332" s="55" t="str">
        <f t="shared" si="71"/>
        <v>Abuso Sexual</v>
      </c>
      <c r="H332" s="29" t="s">
        <v>15</v>
      </c>
      <c r="I332" s="28" t="s">
        <v>377</v>
      </c>
      <c r="J332" s="12" t="s">
        <v>398</v>
      </c>
      <c r="K332" s="12" t="s">
        <v>6114</v>
      </c>
      <c r="L332" s="12" t="str">
        <f t="shared" ref="L332:M347" si="72">+L331</f>
        <v>Periodo 2013-2019</v>
      </c>
      <c r="M332" s="12" t="str">
        <f t="shared" si="72"/>
        <v>Porcentaje</v>
      </c>
      <c r="N332" s="33" t="s">
        <v>5964</v>
      </c>
      <c r="O332" s="27" t="str">
        <f>"Variación Trimestral de Sentencias Dictadas (%) en la "&amp;Ingresos_Historicos[[#This Row],[territorio]]&amp;" por Juzgado de Garantía, durante el Periodo 2013-2019"</f>
        <v>Variación Trimestral de Sentencias Dictadas (%) en la Región de Aysén por Juzgado de Garantía, durante el Periodo 2013-2019</v>
      </c>
      <c r="P332"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Aysén por Juzgado de Garantía, durante el Periodo 2013-2019 de acuerdo a datos provenientes del Poder Judicial de Chile.</v>
      </c>
      <c r="Q332" s="14" t="str">
        <f t="shared" si="68"/>
        <v>Gráfico de Evolución</v>
      </c>
      <c r="R332" s="77" t="s">
        <v>5985</v>
      </c>
      <c r="S332" s="25" t="s">
        <v>6709</v>
      </c>
      <c r="T332" s="65" t="s">
        <v>5917</v>
      </c>
      <c r="U332" s="24" t="s">
        <v>397</v>
      </c>
      <c r="V332" s="19" t="str">
        <f>+Ingresos_Historicos[[#This Row],[idcoleccion]]&amp;"-"&amp;Ingresos_Historicos[[#This Row],[id]]</f>
        <v>300-0322</v>
      </c>
      <c r="W332" s="19">
        <f>+VLOOKUP(Ingresos_Historicos[[#This Row],[Filtro URL]],Estructura!$X$4:$Y$366,2,0)</f>
        <v>30200011</v>
      </c>
      <c r="X332" s="19" t="str">
        <f>+VLOOKUP(Ingresos_Historicos[[#This Row],[tema]],Estructura!$A$4:$C$18,3,0)</f>
        <v>T-306</v>
      </c>
      <c r="Y332" s="19" t="str">
        <f>+VLOOKUP(Ingresos_Historicos[[#This Row],[contenido]],Estructura!$E$4:$G$18,3,0)</f>
        <v>C-301</v>
      </c>
      <c r="Z332" s="19" t="str">
        <f>+VLOOKUP(Ingresos_Historicos[[#This Row],[Filtro Integrado]],Estructura!$M$4:$O$367,3,0)</f>
        <v>FI-303</v>
      </c>
      <c r="AA332" s="19" t="str">
        <f>+VLOOKUP(Ingresos_Historicos[[#This Row],[Muestra]],Estructura!$Q$4:$S$194,3,0)</f>
        <v>M-307</v>
      </c>
    </row>
    <row r="333" spans="1:27" ht="60" x14ac:dyDescent="0.3">
      <c r="A333" s="71" t="s">
        <v>719</v>
      </c>
      <c r="B333" s="12">
        <f t="shared" si="70"/>
        <v>300</v>
      </c>
      <c r="C333" s="13" t="str">
        <f t="shared" si="70"/>
        <v>Violencia contra la mujer</v>
      </c>
      <c r="D333" s="13" t="str">
        <f t="shared" si="70"/>
        <v>Mujeres</v>
      </c>
      <c r="E333" s="26">
        <v>12</v>
      </c>
      <c r="F333" s="13" t="str">
        <f t="shared" si="71"/>
        <v>Sentencias por delito de abuso sexual</v>
      </c>
      <c r="G333" s="55" t="str">
        <f t="shared" si="71"/>
        <v>Abuso Sexual</v>
      </c>
      <c r="H333" s="29" t="s">
        <v>15</v>
      </c>
      <c r="I333" s="28" t="s">
        <v>378</v>
      </c>
      <c r="J333" s="12" t="s">
        <v>398</v>
      </c>
      <c r="K333" s="12" t="s">
        <v>6114</v>
      </c>
      <c r="L333" s="12" t="str">
        <f t="shared" si="72"/>
        <v>Periodo 2013-2019</v>
      </c>
      <c r="M333" s="12" t="str">
        <f t="shared" si="72"/>
        <v>Porcentaje</v>
      </c>
      <c r="N333" s="33" t="s">
        <v>5964</v>
      </c>
      <c r="O333" s="27" t="str">
        <f>"Variación Trimestral de Sentencias Dictadas (%) en la "&amp;Ingresos_Historicos[[#This Row],[territorio]]&amp;" por Juzgado de Garantía, durante el Periodo 2013-2019"</f>
        <v>Variación Trimestral de Sentencias Dictadas (%) en la Región de Magallanes por Juzgado de Garantía, durante el Periodo 2013-2019</v>
      </c>
      <c r="P333"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Magallanes por Juzgado de Garantía, durante el Periodo 2013-2019 de acuerdo a datos provenientes del Poder Judicial de Chile.</v>
      </c>
      <c r="Q333" s="14" t="str">
        <f t="shared" si="68"/>
        <v>Gráfico de Evolución</v>
      </c>
      <c r="R333" s="77" t="s">
        <v>5986</v>
      </c>
      <c r="S333" s="25" t="s">
        <v>6710</v>
      </c>
      <c r="T333" s="65" t="s">
        <v>5918</v>
      </c>
      <c r="U333" s="24" t="s">
        <v>397</v>
      </c>
      <c r="V333" s="19" t="str">
        <f>+Ingresos_Historicos[[#This Row],[idcoleccion]]&amp;"-"&amp;Ingresos_Historicos[[#This Row],[id]]</f>
        <v>300-0323</v>
      </c>
      <c r="W333" s="19">
        <f>+VLOOKUP(Ingresos_Historicos[[#This Row],[Filtro URL]],Estructura!$X$4:$Y$366,2,0)</f>
        <v>30200012</v>
      </c>
      <c r="X333" s="19" t="str">
        <f>+VLOOKUP(Ingresos_Historicos[[#This Row],[tema]],Estructura!$A$4:$C$18,3,0)</f>
        <v>T-306</v>
      </c>
      <c r="Y333" s="19" t="str">
        <f>+VLOOKUP(Ingresos_Historicos[[#This Row],[contenido]],Estructura!$E$4:$G$18,3,0)</f>
        <v>C-301</v>
      </c>
      <c r="Z333" s="19" t="str">
        <f>+VLOOKUP(Ingresos_Historicos[[#This Row],[Filtro Integrado]],Estructura!$M$4:$O$367,3,0)</f>
        <v>FI-303</v>
      </c>
      <c r="AA333" s="19" t="str">
        <f>+VLOOKUP(Ingresos_Historicos[[#This Row],[Muestra]],Estructura!$Q$4:$S$194,3,0)</f>
        <v>M-307</v>
      </c>
    </row>
    <row r="334" spans="1:27" ht="60" x14ac:dyDescent="0.3">
      <c r="A334" s="71" t="s">
        <v>720</v>
      </c>
      <c r="B334" s="12">
        <f t="shared" si="70"/>
        <v>300</v>
      </c>
      <c r="C334" s="13" t="str">
        <f t="shared" si="70"/>
        <v>Violencia contra la mujer</v>
      </c>
      <c r="D334" s="13" t="str">
        <f t="shared" si="70"/>
        <v>Mujeres</v>
      </c>
      <c r="E334" s="26">
        <v>13</v>
      </c>
      <c r="F334" s="13" t="str">
        <f t="shared" si="71"/>
        <v>Sentencias por delito de abuso sexual</v>
      </c>
      <c r="G334" s="55" t="str">
        <f t="shared" si="71"/>
        <v>Abuso Sexual</v>
      </c>
      <c r="H334" s="29" t="s">
        <v>15</v>
      </c>
      <c r="I334" s="28" t="s">
        <v>379</v>
      </c>
      <c r="J334" s="12" t="s">
        <v>398</v>
      </c>
      <c r="K334" s="12" t="s">
        <v>6114</v>
      </c>
      <c r="L334" s="12" t="str">
        <f t="shared" si="72"/>
        <v>Periodo 2013-2019</v>
      </c>
      <c r="M334" s="12" t="str">
        <f t="shared" si="72"/>
        <v>Porcentaje</v>
      </c>
      <c r="N334" s="33" t="s">
        <v>5964</v>
      </c>
      <c r="O334" s="27" t="str">
        <f>"Variación Trimestral de Sentencias Dictadas (%) en la "&amp;Ingresos_Historicos[[#This Row],[territorio]]&amp;" por Juzgado de Garantía, durante el Periodo 2013-2019"</f>
        <v>Variación Trimestral de Sentencias Dictadas (%) en la Región Metropolitana por Juzgado de Garantía, durante el Periodo 2013-2019</v>
      </c>
      <c r="P334"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Metropolitana por Juzgado de Garantía, durante el Periodo 2013-2019 de acuerdo a datos provenientes del Poder Judicial de Chile.</v>
      </c>
      <c r="Q334" s="14" t="str">
        <f t="shared" si="68"/>
        <v>Gráfico de Evolución</v>
      </c>
      <c r="R334" s="77" t="s">
        <v>5987</v>
      </c>
      <c r="S334" s="25" t="s">
        <v>6711</v>
      </c>
      <c r="T334" s="65" t="s">
        <v>5919</v>
      </c>
      <c r="U334" s="24" t="s">
        <v>397</v>
      </c>
      <c r="V334" s="19" t="str">
        <f>+Ingresos_Historicos[[#This Row],[idcoleccion]]&amp;"-"&amp;Ingresos_Historicos[[#This Row],[id]]</f>
        <v>300-0324</v>
      </c>
      <c r="W334" s="19">
        <f>+VLOOKUP(Ingresos_Historicos[[#This Row],[Filtro URL]],Estructura!$X$4:$Y$366,2,0)</f>
        <v>30200013</v>
      </c>
      <c r="X334" s="19" t="str">
        <f>+VLOOKUP(Ingresos_Historicos[[#This Row],[tema]],Estructura!$A$4:$C$18,3,0)</f>
        <v>T-306</v>
      </c>
      <c r="Y334" s="19" t="str">
        <f>+VLOOKUP(Ingresos_Historicos[[#This Row],[contenido]],Estructura!$E$4:$G$18,3,0)</f>
        <v>C-301</v>
      </c>
      <c r="Z334" s="19" t="str">
        <f>+VLOOKUP(Ingresos_Historicos[[#This Row],[Filtro Integrado]],Estructura!$M$4:$O$367,3,0)</f>
        <v>FI-303</v>
      </c>
      <c r="AA334" s="19" t="str">
        <f>+VLOOKUP(Ingresos_Historicos[[#This Row],[Muestra]],Estructura!$Q$4:$S$194,3,0)</f>
        <v>M-307</v>
      </c>
    </row>
    <row r="335" spans="1:27" ht="60" x14ac:dyDescent="0.3">
      <c r="A335" s="71" t="s">
        <v>721</v>
      </c>
      <c r="B335" s="12">
        <f t="shared" ref="B335:D350" si="73">+B334</f>
        <v>300</v>
      </c>
      <c r="C335" s="13" t="str">
        <f t="shared" si="73"/>
        <v>Violencia contra la mujer</v>
      </c>
      <c r="D335" s="13" t="str">
        <f t="shared" si="73"/>
        <v>Mujeres</v>
      </c>
      <c r="E335" s="26">
        <v>14</v>
      </c>
      <c r="F335" s="13" t="str">
        <f t="shared" si="71"/>
        <v>Sentencias por delito de abuso sexual</v>
      </c>
      <c r="G335" s="55" t="str">
        <f t="shared" si="71"/>
        <v>Abuso Sexual</v>
      </c>
      <c r="H335" s="29" t="s">
        <v>15</v>
      </c>
      <c r="I335" s="28" t="s">
        <v>380</v>
      </c>
      <c r="J335" s="12" t="s">
        <v>398</v>
      </c>
      <c r="K335" s="12" t="s">
        <v>6114</v>
      </c>
      <c r="L335" s="12" t="str">
        <f t="shared" si="72"/>
        <v>Periodo 2013-2019</v>
      </c>
      <c r="M335" s="12" t="str">
        <f t="shared" si="72"/>
        <v>Porcentaje</v>
      </c>
      <c r="N335" s="33" t="s">
        <v>5964</v>
      </c>
      <c r="O335" s="27" t="str">
        <f>"Variación Trimestral de Sentencias Dictadas (%) en la "&amp;Ingresos_Historicos[[#This Row],[territorio]]&amp;" por Juzgado de Garantía, durante el Periodo 2013-2019"</f>
        <v>Variación Trimestral de Sentencias Dictadas (%) en la Región de Los Ríos por Juzgado de Garantía, durante el Periodo 2013-2019</v>
      </c>
      <c r="P335"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Los Ríos por Juzgado de Garantía, durante el Periodo 2013-2019 de acuerdo a datos provenientes del Poder Judicial de Chile.</v>
      </c>
      <c r="Q335" s="14" t="str">
        <f t="shared" si="68"/>
        <v>Gráfico de Evolución</v>
      </c>
      <c r="R335" s="77" t="s">
        <v>5988</v>
      </c>
      <c r="S335" s="25" t="s">
        <v>6712</v>
      </c>
      <c r="T335" s="65" t="s">
        <v>5920</v>
      </c>
      <c r="U335" s="24" t="s">
        <v>397</v>
      </c>
      <c r="V335" s="19" t="str">
        <f>+Ingresos_Historicos[[#This Row],[idcoleccion]]&amp;"-"&amp;Ingresos_Historicos[[#This Row],[id]]</f>
        <v>300-0325</v>
      </c>
      <c r="W335" s="19">
        <f>+VLOOKUP(Ingresos_Historicos[[#This Row],[Filtro URL]],Estructura!$X$4:$Y$366,2,0)</f>
        <v>30200014</v>
      </c>
      <c r="X335" s="19" t="str">
        <f>+VLOOKUP(Ingresos_Historicos[[#This Row],[tema]],Estructura!$A$4:$C$18,3,0)</f>
        <v>T-306</v>
      </c>
      <c r="Y335" s="19" t="str">
        <f>+VLOOKUP(Ingresos_Historicos[[#This Row],[contenido]],Estructura!$E$4:$G$18,3,0)</f>
        <v>C-301</v>
      </c>
      <c r="Z335" s="19" t="str">
        <f>+VLOOKUP(Ingresos_Historicos[[#This Row],[Filtro Integrado]],Estructura!$M$4:$O$367,3,0)</f>
        <v>FI-303</v>
      </c>
      <c r="AA335" s="19" t="str">
        <f>+VLOOKUP(Ingresos_Historicos[[#This Row],[Muestra]],Estructura!$Q$4:$S$194,3,0)</f>
        <v>M-307</v>
      </c>
    </row>
    <row r="336" spans="1:27" ht="60" x14ac:dyDescent="0.3">
      <c r="A336" s="71" t="s">
        <v>722</v>
      </c>
      <c r="B336" s="12">
        <f t="shared" si="73"/>
        <v>300</v>
      </c>
      <c r="C336" s="13" t="str">
        <f t="shared" si="73"/>
        <v>Violencia contra la mujer</v>
      </c>
      <c r="D336" s="13" t="str">
        <f t="shared" si="73"/>
        <v>Mujeres</v>
      </c>
      <c r="E336" s="26">
        <v>15</v>
      </c>
      <c r="F336" s="13" t="str">
        <f t="shared" si="71"/>
        <v>Sentencias por delito de abuso sexual</v>
      </c>
      <c r="G336" s="55" t="str">
        <f t="shared" si="71"/>
        <v>Abuso Sexual</v>
      </c>
      <c r="H336" s="29" t="s">
        <v>15</v>
      </c>
      <c r="I336" s="28" t="s">
        <v>381</v>
      </c>
      <c r="J336" s="12" t="s">
        <v>398</v>
      </c>
      <c r="K336" s="12" t="s">
        <v>6114</v>
      </c>
      <c r="L336" s="12" t="str">
        <f t="shared" si="72"/>
        <v>Periodo 2013-2019</v>
      </c>
      <c r="M336" s="12" t="str">
        <f t="shared" si="72"/>
        <v>Porcentaje</v>
      </c>
      <c r="N336" s="33" t="s">
        <v>5964</v>
      </c>
      <c r="O336" s="27" t="str">
        <f>"Variación Trimestral de Sentencias Dictadas (%) en la "&amp;Ingresos_Historicos[[#This Row],[territorio]]&amp;" por Juzgado de Garantía, durante el Periodo 2013-2019"</f>
        <v>Variación Trimestral de Sentencias Dictadas (%) en la Región de Arica y Parinacota por Juzgado de Garantía, durante el Periodo 2013-2019</v>
      </c>
      <c r="P336"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Arica y Parinacota por Juzgado de Garantía, durante el Periodo 2013-2019 de acuerdo a datos provenientes del Poder Judicial de Chile.</v>
      </c>
      <c r="Q336" s="14" t="str">
        <f t="shared" si="68"/>
        <v>Gráfico de Evolución</v>
      </c>
      <c r="R336" s="77" t="s">
        <v>5989</v>
      </c>
      <c r="S336" s="25" t="s">
        <v>6713</v>
      </c>
      <c r="T336" s="65" t="s">
        <v>5921</v>
      </c>
      <c r="U336" s="24" t="s">
        <v>397</v>
      </c>
      <c r="V336" s="19" t="str">
        <f>+Ingresos_Historicos[[#This Row],[idcoleccion]]&amp;"-"&amp;Ingresos_Historicos[[#This Row],[id]]</f>
        <v>300-0326</v>
      </c>
      <c r="W336" s="19">
        <f>+VLOOKUP(Ingresos_Historicos[[#This Row],[Filtro URL]],Estructura!$X$4:$Y$366,2,0)</f>
        <v>30200015</v>
      </c>
      <c r="X336" s="19" t="str">
        <f>+VLOOKUP(Ingresos_Historicos[[#This Row],[tema]],Estructura!$A$4:$C$18,3,0)</f>
        <v>T-306</v>
      </c>
      <c r="Y336" s="19" t="str">
        <f>+VLOOKUP(Ingresos_Historicos[[#This Row],[contenido]],Estructura!$E$4:$G$18,3,0)</f>
        <v>C-301</v>
      </c>
      <c r="Z336" s="19" t="str">
        <f>+VLOOKUP(Ingresos_Historicos[[#This Row],[Filtro Integrado]],Estructura!$M$4:$O$367,3,0)</f>
        <v>FI-303</v>
      </c>
      <c r="AA336" s="19" t="str">
        <f>+VLOOKUP(Ingresos_Historicos[[#This Row],[Muestra]],Estructura!$Q$4:$S$194,3,0)</f>
        <v>M-307</v>
      </c>
    </row>
    <row r="337" spans="1:27" ht="60" x14ac:dyDescent="0.3">
      <c r="A337" s="71" t="s">
        <v>723</v>
      </c>
      <c r="B337" s="12">
        <f t="shared" si="73"/>
        <v>300</v>
      </c>
      <c r="C337" s="13" t="str">
        <f t="shared" si="73"/>
        <v>Violencia contra la mujer</v>
      </c>
      <c r="D337" s="13" t="str">
        <f t="shared" si="73"/>
        <v>Mujeres</v>
      </c>
      <c r="E337" s="26">
        <v>16</v>
      </c>
      <c r="F337" s="13" t="str">
        <f t="shared" ref="F337:G352" si="74">+F336</f>
        <v>Sentencias por delito de abuso sexual</v>
      </c>
      <c r="G337" s="55" t="str">
        <f t="shared" si="74"/>
        <v>Abuso Sexual</v>
      </c>
      <c r="H337" s="29" t="s">
        <v>15</v>
      </c>
      <c r="I337" s="28" t="s">
        <v>382</v>
      </c>
      <c r="J337" s="12" t="s">
        <v>398</v>
      </c>
      <c r="K337" s="12" t="s">
        <v>6114</v>
      </c>
      <c r="L337" s="12" t="str">
        <f t="shared" si="72"/>
        <v>Periodo 2013-2019</v>
      </c>
      <c r="M337" s="12" t="str">
        <f t="shared" si="72"/>
        <v>Porcentaje</v>
      </c>
      <c r="N337" s="33" t="s">
        <v>5964</v>
      </c>
      <c r="O337" s="27" t="str">
        <f>"Variación Trimestral de Sentencias Dictadas (%) en la "&amp;Ingresos_Historicos[[#This Row],[territorio]]&amp;" por Juzgado de Garantía, durante el Periodo 2013-2019"</f>
        <v>Variación Trimestral de Sentencias Dictadas (%) en la Región de Ñuble por Juzgado de Garantía, durante el Periodo 2013-2019</v>
      </c>
      <c r="P337"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Ñuble por Juzgado de Garantía, durante el Periodo 2013-2019 de acuerdo a datos provenientes del Poder Judicial de Chile.</v>
      </c>
      <c r="Q337" s="14" t="str">
        <f t="shared" si="68"/>
        <v>Gráfico de Evolución</v>
      </c>
      <c r="R337" s="77" t="s">
        <v>5990</v>
      </c>
      <c r="S337" s="25" t="s">
        <v>6714</v>
      </c>
      <c r="T337" s="65" t="s">
        <v>5958</v>
      </c>
      <c r="U337" s="24" t="s">
        <v>397</v>
      </c>
      <c r="V337" s="19" t="str">
        <f>+Ingresos_Historicos[[#This Row],[idcoleccion]]&amp;"-"&amp;Ingresos_Historicos[[#This Row],[id]]</f>
        <v>300-0327</v>
      </c>
      <c r="W337" s="19">
        <f>+VLOOKUP(Ingresos_Historicos[[#This Row],[Filtro URL]],Estructura!$X$4:$Y$366,2,0)</f>
        <v>30200016</v>
      </c>
      <c r="X337" s="19" t="str">
        <f>+VLOOKUP(Ingresos_Historicos[[#This Row],[tema]],Estructura!$A$4:$C$18,3,0)</f>
        <v>T-306</v>
      </c>
      <c r="Y337" s="19" t="str">
        <f>+VLOOKUP(Ingresos_Historicos[[#This Row],[contenido]],Estructura!$E$4:$G$18,3,0)</f>
        <v>C-301</v>
      </c>
      <c r="Z337" s="19" t="str">
        <f>+VLOOKUP(Ingresos_Historicos[[#This Row],[Filtro Integrado]],Estructura!$M$4:$O$367,3,0)</f>
        <v>FI-303</v>
      </c>
      <c r="AA337" s="19" t="str">
        <f>+VLOOKUP(Ingresos_Historicos[[#This Row],[Muestra]],Estructura!$Q$4:$S$194,3,0)</f>
        <v>M-307</v>
      </c>
    </row>
    <row r="338" spans="1:27" ht="60" x14ac:dyDescent="0.3">
      <c r="A338" s="32" t="s">
        <v>724</v>
      </c>
      <c r="B338" s="12">
        <f t="shared" si="73"/>
        <v>300</v>
      </c>
      <c r="C338" s="13" t="str">
        <f t="shared" si="73"/>
        <v>Violencia contra la mujer</v>
      </c>
      <c r="D338" s="13" t="str">
        <f t="shared" si="73"/>
        <v>Mujeres</v>
      </c>
      <c r="E338" s="18">
        <v>270102004</v>
      </c>
      <c r="F338" s="13" t="str">
        <f t="shared" si="74"/>
        <v>Sentencias por delito de abuso sexual</v>
      </c>
      <c r="G338" s="55" t="str">
        <f t="shared" si="74"/>
        <v>Abuso Sexual</v>
      </c>
      <c r="H338" s="30" t="s">
        <v>19</v>
      </c>
      <c r="I338" s="31" t="s">
        <v>14</v>
      </c>
      <c r="J338" s="12" t="s">
        <v>15</v>
      </c>
      <c r="K338" s="12" t="s">
        <v>6114</v>
      </c>
      <c r="L338" s="12" t="str">
        <f t="shared" si="72"/>
        <v>Periodo 2013-2019</v>
      </c>
      <c r="M338" s="12" t="str">
        <f t="shared" si="72"/>
        <v>Porcentaje</v>
      </c>
      <c r="N338" s="33" t="s">
        <v>5964</v>
      </c>
      <c r="O338" s="27" t="s">
        <v>6116</v>
      </c>
      <c r="P338" s="42" t="s">
        <v>6117</v>
      </c>
      <c r="Q338" s="14" t="s">
        <v>5967</v>
      </c>
      <c r="R338" s="77" t="s">
        <v>5974</v>
      </c>
      <c r="S338" s="25" t="s">
        <v>6715</v>
      </c>
      <c r="T338" s="65" t="s">
        <v>5906</v>
      </c>
      <c r="U338" s="24" t="s">
        <v>397</v>
      </c>
      <c r="V338" s="19" t="str">
        <f>+Ingresos_Historicos[[#This Row],[idcoleccion]]&amp;"-"&amp;Ingresos_Historicos[[#This Row],[id]]</f>
        <v>300-0328</v>
      </c>
      <c r="W338" s="19" t="e">
        <f>+VLOOKUP(Ingresos_Historicos[[#This Row],[Filtro URL]],Estructura!$X$4:$Y$366,2,0)</f>
        <v>#N/A</v>
      </c>
      <c r="X338" s="19" t="str">
        <f>+VLOOKUP(Ingresos_Historicos[[#This Row],[tema]],Estructura!$A$4:$C$18,3,0)</f>
        <v>T-306</v>
      </c>
      <c r="Y338" s="19" t="str">
        <f>+VLOOKUP(Ingresos_Historicos[[#This Row],[contenido]],Estructura!$E$4:$G$18,3,0)</f>
        <v>C-301</v>
      </c>
      <c r="Z338" s="19" t="str">
        <f>+VLOOKUP(Ingresos_Historicos[[#This Row],[Filtro Integrado]],Estructura!$M$4:$O$367,3,0)</f>
        <v>FI-302</v>
      </c>
      <c r="AA338" s="19" t="str">
        <f>+VLOOKUP(Ingresos_Historicos[[#This Row],[Muestra]],Estructura!$Q$4:$S$194,3,0)</f>
        <v>M-307</v>
      </c>
    </row>
    <row r="339" spans="1:27" ht="60" x14ac:dyDescent="0.3">
      <c r="A339" s="32" t="s">
        <v>725</v>
      </c>
      <c r="B339" s="12">
        <f t="shared" si="73"/>
        <v>300</v>
      </c>
      <c r="C339" s="13" t="str">
        <f t="shared" si="73"/>
        <v>Violencia contra la mujer</v>
      </c>
      <c r="D339" s="13" t="str">
        <f t="shared" si="73"/>
        <v>Mujeres</v>
      </c>
      <c r="E339" s="18">
        <v>270102005</v>
      </c>
      <c r="F339" s="13" t="str">
        <f t="shared" si="74"/>
        <v>Sentencias por delito de abuso sexual</v>
      </c>
      <c r="G339" s="55" t="str">
        <f t="shared" si="74"/>
        <v>Abuso Sexual</v>
      </c>
      <c r="H339" s="30" t="s">
        <v>19</v>
      </c>
      <c r="I339" s="31" t="s">
        <v>14</v>
      </c>
      <c r="J339" s="12" t="s">
        <v>15</v>
      </c>
      <c r="K339" s="12" t="s">
        <v>6114</v>
      </c>
      <c r="L339" s="12" t="str">
        <f t="shared" si="72"/>
        <v>Periodo 2013-2019</v>
      </c>
      <c r="M339" s="12" t="str">
        <f t="shared" si="72"/>
        <v>Porcentaje</v>
      </c>
      <c r="N339" s="33" t="s">
        <v>5964</v>
      </c>
      <c r="O339" s="27" t="s">
        <v>6118</v>
      </c>
      <c r="P339" s="42" t="s">
        <v>6119</v>
      </c>
      <c r="Q339" s="14" t="str">
        <f t="shared" ref="Q339:Q345" si="75">+Q338</f>
        <v>Gráfico de Evolución</v>
      </c>
      <c r="R339" s="77" t="s">
        <v>5974</v>
      </c>
      <c r="S339" s="25" t="s">
        <v>6716</v>
      </c>
      <c r="T339" s="65" t="s">
        <v>5906</v>
      </c>
      <c r="U339" s="24" t="s">
        <v>397</v>
      </c>
      <c r="V339" s="19" t="str">
        <f>+Ingresos_Historicos[[#This Row],[idcoleccion]]&amp;"-"&amp;Ingresos_Historicos[[#This Row],[id]]</f>
        <v>300-0329</v>
      </c>
      <c r="W339" s="19" t="e">
        <f>+VLOOKUP(Ingresos_Historicos[[#This Row],[Filtro URL]],Estructura!$X$4:$Y$366,2,0)</f>
        <v>#N/A</v>
      </c>
      <c r="X339" s="19" t="str">
        <f>+VLOOKUP(Ingresos_Historicos[[#This Row],[tema]],Estructura!$A$4:$C$18,3,0)</f>
        <v>T-306</v>
      </c>
      <c r="Y339" s="19" t="str">
        <f>+VLOOKUP(Ingresos_Historicos[[#This Row],[contenido]],Estructura!$E$4:$G$18,3,0)</f>
        <v>C-301</v>
      </c>
      <c r="Z339" s="19" t="str">
        <f>+VLOOKUP(Ingresos_Historicos[[#This Row],[Filtro Integrado]],Estructura!$M$4:$O$367,3,0)</f>
        <v>FI-302</v>
      </c>
      <c r="AA339" s="19" t="str">
        <f>+VLOOKUP(Ingresos_Historicos[[#This Row],[Muestra]],Estructura!$Q$4:$S$194,3,0)</f>
        <v>M-307</v>
      </c>
    </row>
    <row r="340" spans="1:27" ht="60" x14ac:dyDescent="0.3">
      <c r="A340" s="32" t="s">
        <v>726</v>
      </c>
      <c r="B340" s="12">
        <f t="shared" si="73"/>
        <v>300</v>
      </c>
      <c r="C340" s="13" t="str">
        <f t="shared" si="73"/>
        <v>Violencia contra la mujer</v>
      </c>
      <c r="D340" s="13" t="str">
        <f t="shared" si="73"/>
        <v>Mujeres</v>
      </c>
      <c r="E340" s="18">
        <v>270102006</v>
      </c>
      <c r="F340" s="13" t="str">
        <f t="shared" si="74"/>
        <v>Sentencias por delito de abuso sexual</v>
      </c>
      <c r="G340" s="55" t="str">
        <f t="shared" si="74"/>
        <v>Abuso Sexual</v>
      </c>
      <c r="H340" s="30" t="s">
        <v>19</v>
      </c>
      <c r="I340" s="31" t="s">
        <v>14</v>
      </c>
      <c r="J340" s="12" t="s">
        <v>15</v>
      </c>
      <c r="K340" s="12" t="s">
        <v>6114</v>
      </c>
      <c r="L340" s="12" t="str">
        <f t="shared" si="72"/>
        <v>Periodo 2013-2019</v>
      </c>
      <c r="M340" s="12" t="str">
        <f t="shared" si="72"/>
        <v>Porcentaje</v>
      </c>
      <c r="N340" s="33" t="s">
        <v>5964</v>
      </c>
      <c r="O340" s="27" t="s">
        <v>6120</v>
      </c>
      <c r="P340" s="42" t="s">
        <v>6121</v>
      </c>
      <c r="Q340" s="14" t="str">
        <f t="shared" si="75"/>
        <v>Gráfico de Evolución</v>
      </c>
      <c r="R340" s="77" t="s">
        <v>5974</v>
      </c>
      <c r="S340" s="25" t="s">
        <v>6717</v>
      </c>
      <c r="T340" s="65" t="s">
        <v>5906</v>
      </c>
      <c r="U340" s="24" t="s">
        <v>397</v>
      </c>
      <c r="V340" s="19" t="str">
        <f>+Ingresos_Historicos[[#This Row],[idcoleccion]]&amp;"-"&amp;Ingresos_Historicos[[#This Row],[id]]</f>
        <v>300-0330</v>
      </c>
      <c r="W340" s="19" t="e">
        <f>+VLOOKUP(Ingresos_Historicos[[#This Row],[Filtro URL]],Estructura!$X$4:$Y$366,2,0)</f>
        <v>#N/A</v>
      </c>
      <c r="X340" s="19" t="str">
        <f>+VLOOKUP(Ingresos_Historicos[[#This Row],[tema]],Estructura!$A$4:$C$18,3,0)</f>
        <v>T-306</v>
      </c>
      <c r="Y340" s="19" t="str">
        <f>+VLOOKUP(Ingresos_Historicos[[#This Row],[contenido]],Estructura!$E$4:$G$18,3,0)</f>
        <v>C-301</v>
      </c>
      <c r="Z340" s="19" t="str">
        <f>+VLOOKUP(Ingresos_Historicos[[#This Row],[Filtro Integrado]],Estructura!$M$4:$O$367,3,0)</f>
        <v>FI-302</v>
      </c>
      <c r="AA340" s="19" t="str">
        <f>+VLOOKUP(Ingresos_Historicos[[#This Row],[Muestra]],Estructura!$Q$4:$S$194,3,0)</f>
        <v>M-307</v>
      </c>
    </row>
    <row r="341" spans="1:27" ht="60" x14ac:dyDescent="0.3">
      <c r="A341" s="32" t="s">
        <v>727</v>
      </c>
      <c r="B341" s="12">
        <f t="shared" si="73"/>
        <v>300</v>
      </c>
      <c r="C341" s="13" t="str">
        <f t="shared" si="73"/>
        <v>Violencia contra la mujer</v>
      </c>
      <c r="D341" s="13" t="str">
        <f t="shared" si="73"/>
        <v>Mujeres</v>
      </c>
      <c r="E341" s="18">
        <v>270102007</v>
      </c>
      <c r="F341" s="13" t="str">
        <f t="shared" si="74"/>
        <v>Sentencias por delito de abuso sexual</v>
      </c>
      <c r="G341" s="55" t="str">
        <f t="shared" si="74"/>
        <v>Abuso Sexual</v>
      </c>
      <c r="H341" s="30" t="s">
        <v>19</v>
      </c>
      <c r="I341" s="31" t="s">
        <v>14</v>
      </c>
      <c r="J341" s="12" t="s">
        <v>15</v>
      </c>
      <c r="K341" s="12" t="s">
        <v>6114</v>
      </c>
      <c r="L341" s="12" t="str">
        <f t="shared" si="72"/>
        <v>Periodo 2013-2019</v>
      </c>
      <c r="M341" s="12" t="str">
        <f t="shared" si="72"/>
        <v>Porcentaje</v>
      </c>
      <c r="N341" s="33" t="s">
        <v>5964</v>
      </c>
      <c r="O341" s="27" t="s">
        <v>6122</v>
      </c>
      <c r="P341" s="42" t="s">
        <v>6123</v>
      </c>
      <c r="Q341" s="14" t="str">
        <f t="shared" si="75"/>
        <v>Gráfico de Evolución</v>
      </c>
      <c r="R341" s="77" t="s">
        <v>5974</v>
      </c>
      <c r="S341" s="25" t="s">
        <v>6718</v>
      </c>
      <c r="T341" s="65" t="s">
        <v>5906</v>
      </c>
      <c r="U341" s="24" t="s">
        <v>397</v>
      </c>
      <c r="V341" s="19" t="str">
        <f>+Ingresos_Historicos[[#This Row],[idcoleccion]]&amp;"-"&amp;Ingresos_Historicos[[#This Row],[id]]</f>
        <v>300-0331</v>
      </c>
      <c r="W341" s="19" t="e">
        <f>+VLOOKUP(Ingresos_Historicos[[#This Row],[Filtro URL]],Estructura!$X$4:$Y$366,2,0)</f>
        <v>#N/A</v>
      </c>
      <c r="X341" s="19" t="str">
        <f>+VLOOKUP(Ingresos_Historicos[[#This Row],[tema]],Estructura!$A$4:$C$18,3,0)</f>
        <v>T-306</v>
      </c>
      <c r="Y341" s="19" t="str">
        <f>+VLOOKUP(Ingresos_Historicos[[#This Row],[contenido]],Estructura!$E$4:$G$18,3,0)</f>
        <v>C-301</v>
      </c>
      <c r="Z341" s="19" t="str">
        <f>+VLOOKUP(Ingresos_Historicos[[#This Row],[Filtro Integrado]],Estructura!$M$4:$O$367,3,0)</f>
        <v>FI-302</v>
      </c>
      <c r="AA341" s="19" t="str">
        <f>+VLOOKUP(Ingresos_Historicos[[#This Row],[Muestra]],Estructura!$Q$4:$S$194,3,0)</f>
        <v>M-307</v>
      </c>
    </row>
    <row r="342" spans="1:27" ht="60" x14ac:dyDescent="0.3">
      <c r="A342" s="32" t="s">
        <v>728</v>
      </c>
      <c r="B342" s="12">
        <f t="shared" si="73"/>
        <v>300</v>
      </c>
      <c r="C342" s="13" t="str">
        <f t="shared" si="73"/>
        <v>Violencia contra la mujer</v>
      </c>
      <c r="D342" s="13" t="str">
        <f t="shared" si="73"/>
        <v>Mujeres</v>
      </c>
      <c r="E342" s="18">
        <v>270102008</v>
      </c>
      <c r="F342" s="13" t="str">
        <f t="shared" si="74"/>
        <v>Sentencias por delito de abuso sexual</v>
      </c>
      <c r="G342" s="55" t="str">
        <f t="shared" si="74"/>
        <v>Abuso Sexual</v>
      </c>
      <c r="H342" s="30" t="s">
        <v>19</v>
      </c>
      <c r="I342" s="31" t="s">
        <v>14</v>
      </c>
      <c r="J342" s="12" t="s">
        <v>15</v>
      </c>
      <c r="K342" s="12" t="s">
        <v>6114</v>
      </c>
      <c r="L342" s="12" t="str">
        <f t="shared" si="72"/>
        <v>Periodo 2013-2019</v>
      </c>
      <c r="M342" s="12" t="str">
        <f t="shared" si="72"/>
        <v>Porcentaje</v>
      </c>
      <c r="N342" s="33" t="s">
        <v>5964</v>
      </c>
      <c r="O342" s="27" t="s">
        <v>6124</v>
      </c>
      <c r="P342" s="42" t="s">
        <v>6125</v>
      </c>
      <c r="Q342" s="14" t="str">
        <f t="shared" si="75"/>
        <v>Gráfico de Evolución</v>
      </c>
      <c r="R342" s="77" t="s">
        <v>5974</v>
      </c>
      <c r="S342" s="25" t="s">
        <v>6719</v>
      </c>
      <c r="T342" s="65" t="s">
        <v>5906</v>
      </c>
      <c r="U342" s="24" t="s">
        <v>397</v>
      </c>
      <c r="V342" s="19" t="str">
        <f>+Ingresos_Historicos[[#This Row],[idcoleccion]]&amp;"-"&amp;Ingresos_Historicos[[#This Row],[id]]</f>
        <v>300-0332</v>
      </c>
      <c r="W342" s="19" t="e">
        <f>+VLOOKUP(Ingresos_Historicos[[#This Row],[Filtro URL]],Estructura!$X$4:$Y$366,2,0)</f>
        <v>#N/A</v>
      </c>
      <c r="X342" s="19" t="str">
        <f>+VLOOKUP(Ingresos_Historicos[[#This Row],[tema]],Estructura!$A$4:$C$18,3,0)</f>
        <v>T-306</v>
      </c>
      <c r="Y342" s="19" t="str">
        <f>+VLOOKUP(Ingresos_Historicos[[#This Row],[contenido]],Estructura!$E$4:$G$18,3,0)</f>
        <v>C-301</v>
      </c>
      <c r="Z342" s="19" t="str">
        <f>+VLOOKUP(Ingresos_Historicos[[#This Row],[Filtro Integrado]],Estructura!$M$4:$O$367,3,0)</f>
        <v>FI-302</v>
      </c>
      <c r="AA342" s="19" t="str">
        <f>+VLOOKUP(Ingresos_Historicos[[#This Row],[Muestra]],Estructura!$Q$4:$S$194,3,0)</f>
        <v>M-307</v>
      </c>
    </row>
    <row r="343" spans="1:27" ht="60" x14ac:dyDescent="0.3">
      <c r="A343" s="32" t="s">
        <v>729</v>
      </c>
      <c r="B343" s="12">
        <f t="shared" si="73"/>
        <v>300</v>
      </c>
      <c r="C343" s="13" t="str">
        <f t="shared" si="73"/>
        <v>Violencia contra la mujer</v>
      </c>
      <c r="D343" s="13" t="str">
        <f t="shared" si="73"/>
        <v>Mujeres</v>
      </c>
      <c r="E343" s="18">
        <v>270102009</v>
      </c>
      <c r="F343" s="13" t="str">
        <f t="shared" si="74"/>
        <v>Sentencias por delito de abuso sexual</v>
      </c>
      <c r="G343" s="55" t="str">
        <f t="shared" si="74"/>
        <v>Abuso Sexual</v>
      </c>
      <c r="H343" s="30" t="s">
        <v>19</v>
      </c>
      <c r="I343" s="31" t="s">
        <v>14</v>
      </c>
      <c r="J343" s="12" t="s">
        <v>15</v>
      </c>
      <c r="K343" s="12" t="s">
        <v>6114</v>
      </c>
      <c r="L343" s="12" t="str">
        <f t="shared" si="72"/>
        <v>Periodo 2013-2019</v>
      </c>
      <c r="M343" s="12" t="str">
        <f t="shared" si="72"/>
        <v>Porcentaje</v>
      </c>
      <c r="N343" s="33" t="s">
        <v>5964</v>
      </c>
      <c r="O343" s="27" t="s">
        <v>6126</v>
      </c>
      <c r="P343" s="42" t="s">
        <v>6127</v>
      </c>
      <c r="Q343" s="14" t="str">
        <f t="shared" si="75"/>
        <v>Gráfico de Evolución</v>
      </c>
      <c r="R343" s="77" t="s">
        <v>5974</v>
      </c>
      <c r="S343" s="25" t="s">
        <v>6720</v>
      </c>
      <c r="T343" s="65" t="s">
        <v>5906</v>
      </c>
      <c r="U343" s="24" t="s">
        <v>397</v>
      </c>
      <c r="V343" s="19" t="str">
        <f>+Ingresos_Historicos[[#This Row],[idcoleccion]]&amp;"-"&amp;Ingresos_Historicos[[#This Row],[id]]</f>
        <v>300-0333</v>
      </c>
      <c r="W343" s="19" t="e">
        <f>+VLOOKUP(Ingresos_Historicos[[#This Row],[Filtro URL]],Estructura!$X$4:$Y$366,2,0)</f>
        <v>#N/A</v>
      </c>
      <c r="X343" s="19" t="str">
        <f>+VLOOKUP(Ingresos_Historicos[[#This Row],[tema]],Estructura!$A$4:$C$18,3,0)</f>
        <v>T-306</v>
      </c>
      <c r="Y343" s="19" t="str">
        <f>+VLOOKUP(Ingresos_Historicos[[#This Row],[contenido]],Estructura!$E$4:$G$18,3,0)</f>
        <v>C-301</v>
      </c>
      <c r="Z343" s="19" t="str">
        <f>+VLOOKUP(Ingresos_Historicos[[#This Row],[Filtro Integrado]],Estructura!$M$4:$O$367,3,0)</f>
        <v>FI-302</v>
      </c>
      <c r="AA343" s="19" t="str">
        <f>+VLOOKUP(Ingresos_Historicos[[#This Row],[Muestra]],Estructura!$Q$4:$S$194,3,0)</f>
        <v>M-307</v>
      </c>
    </row>
    <row r="344" spans="1:27" ht="60" x14ac:dyDescent="0.3">
      <c r="A344" s="32" t="s">
        <v>730</v>
      </c>
      <c r="B344" s="12">
        <f t="shared" si="73"/>
        <v>300</v>
      </c>
      <c r="C344" s="13" t="str">
        <f t="shared" si="73"/>
        <v>Violencia contra la mujer</v>
      </c>
      <c r="D344" s="13" t="str">
        <f t="shared" si="73"/>
        <v>Mujeres</v>
      </c>
      <c r="E344" s="18">
        <v>270102010</v>
      </c>
      <c r="F344" s="13" t="str">
        <f t="shared" si="74"/>
        <v>Sentencias por delito de abuso sexual</v>
      </c>
      <c r="G344" s="55" t="str">
        <f t="shared" si="74"/>
        <v>Abuso Sexual</v>
      </c>
      <c r="H344" s="30" t="s">
        <v>19</v>
      </c>
      <c r="I344" s="31" t="s">
        <v>14</v>
      </c>
      <c r="J344" s="12" t="s">
        <v>15</v>
      </c>
      <c r="K344" s="12" t="s">
        <v>6114</v>
      </c>
      <c r="L344" s="12" t="str">
        <f t="shared" si="72"/>
        <v>Periodo 2013-2019</v>
      </c>
      <c r="M344" s="12" t="str">
        <f t="shared" si="72"/>
        <v>Porcentaje</v>
      </c>
      <c r="N344" s="33" t="s">
        <v>5964</v>
      </c>
      <c r="O344" s="27" t="s">
        <v>6128</v>
      </c>
      <c r="P344" s="42" t="s">
        <v>6129</v>
      </c>
      <c r="Q344" s="14" t="str">
        <f t="shared" si="75"/>
        <v>Gráfico de Evolución</v>
      </c>
      <c r="R344" s="77" t="s">
        <v>5974</v>
      </c>
      <c r="S344" s="25" t="s">
        <v>6721</v>
      </c>
      <c r="T344" s="65" t="s">
        <v>5906</v>
      </c>
      <c r="U344" s="24" t="s">
        <v>397</v>
      </c>
      <c r="V344" s="19" t="str">
        <f>+Ingresos_Historicos[[#This Row],[idcoleccion]]&amp;"-"&amp;Ingresos_Historicos[[#This Row],[id]]</f>
        <v>300-0334</v>
      </c>
      <c r="W344" s="19" t="e">
        <f>+VLOOKUP(Ingresos_Historicos[[#This Row],[Filtro URL]],Estructura!$X$4:$Y$366,2,0)</f>
        <v>#N/A</v>
      </c>
      <c r="X344" s="19" t="str">
        <f>+VLOOKUP(Ingresos_Historicos[[#This Row],[tema]],Estructura!$A$4:$C$18,3,0)</f>
        <v>T-306</v>
      </c>
      <c r="Y344" s="19" t="str">
        <f>+VLOOKUP(Ingresos_Historicos[[#This Row],[contenido]],Estructura!$E$4:$G$18,3,0)</f>
        <v>C-301</v>
      </c>
      <c r="Z344" s="19" t="str">
        <f>+VLOOKUP(Ingresos_Historicos[[#This Row],[Filtro Integrado]],Estructura!$M$4:$O$367,3,0)</f>
        <v>FI-302</v>
      </c>
      <c r="AA344" s="19" t="str">
        <f>+VLOOKUP(Ingresos_Historicos[[#This Row],[Muestra]],Estructura!$Q$4:$S$194,3,0)</f>
        <v>M-307</v>
      </c>
    </row>
    <row r="345" spans="1:27" ht="60" x14ac:dyDescent="0.3">
      <c r="A345" s="32" t="s">
        <v>731</v>
      </c>
      <c r="B345" s="12">
        <f t="shared" si="73"/>
        <v>300</v>
      </c>
      <c r="C345" s="13" t="str">
        <f t="shared" si="73"/>
        <v>Violencia contra la mujer</v>
      </c>
      <c r="D345" s="13" t="str">
        <f t="shared" si="73"/>
        <v>Mujeres</v>
      </c>
      <c r="E345" s="18">
        <v>270102016</v>
      </c>
      <c r="F345" s="13" t="str">
        <f t="shared" si="74"/>
        <v>Sentencias por delito de abuso sexual</v>
      </c>
      <c r="G345" s="55" t="str">
        <f t="shared" si="74"/>
        <v>Abuso Sexual</v>
      </c>
      <c r="H345" s="30" t="s">
        <v>19</v>
      </c>
      <c r="I345" s="31" t="s">
        <v>14</v>
      </c>
      <c r="J345" s="12" t="s">
        <v>15</v>
      </c>
      <c r="K345" s="12" t="s">
        <v>6114</v>
      </c>
      <c r="L345" s="12" t="str">
        <f t="shared" si="72"/>
        <v>Periodo 2013-2019</v>
      </c>
      <c r="M345" s="12" t="str">
        <f t="shared" si="72"/>
        <v>Porcentaje</v>
      </c>
      <c r="N345" s="33" t="s">
        <v>5964</v>
      </c>
      <c r="O345" s="27" t="s">
        <v>6130</v>
      </c>
      <c r="P345" s="42" t="s">
        <v>6131</v>
      </c>
      <c r="Q345" s="14" t="str">
        <f t="shared" si="75"/>
        <v>Gráfico de Evolución</v>
      </c>
      <c r="R345" s="77" t="s">
        <v>5974</v>
      </c>
      <c r="S345" s="25" t="s">
        <v>6722</v>
      </c>
      <c r="T345" s="65" t="s">
        <v>5906</v>
      </c>
      <c r="U345" s="24" t="s">
        <v>397</v>
      </c>
      <c r="V345" s="19" t="str">
        <f>+Ingresos_Historicos[[#This Row],[idcoleccion]]&amp;"-"&amp;Ingresos_Historicos[[#This Row],[id]]</f>
        <v>300-0335</v>
      </c>
      <c r="W345" s="19" t="e">
        <f>+VLOOKUP(Ingresos_Historicos[[#This Row],[Filtro URL]],Estructura!$X$4:$Y$366,2,0)</f>
        <v>#N/A</v>
      </c>
      <c r="X345" s="19" t="str">
        <f>+VLOOKUP(Ingresos_Historicos[[#This Row],[tema]],Estructura!$A$4:$C$18,3,0)</f>
        <v>T-306</v>
      </c>
      <c r="Y345" s="19" t="str">
        <f>+VLOOKUP(Ingresos_Historicos[[#This Row],[contenido]],Estructura!$E$4:$G$18,3,0)</f>
        <v>C-301</v>
      </c>
      <c r="Z345" s="19" t="str">
        <f>+VLOOKUP(Ingresos_Historicos[[#This Row],[Filtro Integrado]],Estructura!$M$4:$O$367,3,0)</f>
        <v>FI-302</v>
      </c>
      <c r="AA345" s="19" t="str">
        <f>+VLOOKUP(Ingresos_Historicos[[#This Row],[Muestra]],Estructura!$Q$4:$S$194,3,0)</f>
        <v>M-307</v>
      </c>
    </row>
    <row r="346" spans="1:27" ht="60" x14ac:dyDescent="0.3">
      <c r="A346" s="32" t="s">
        <v>732</v>
      </c>
      <c r="B346" s="12">
        <f t="shared" si="73"/>
        <v>300</v>
      </c>
      <c r="C346" s="13" t="str">
        <f t="shared" si="73"/>
        <v>Violencia contra la mujer</v>
      </c>
      <c r="D346" s="13" t="str">
        <f t="shared" si="73"/>
        <v>Mujeres</v>
      </c>
      <c r="E346" s="18">
        <v>270102004</v>
      </c>
      <c r="F346" s="13" t="str">
        <f t="shared" si="74"/>
        <v>Sentencias por delito de abuso sexual</v>
      </c>
      <c r="G346" s="55" t="str">
        <f t="shared" si="74"/>
        <v>Abuso Sexual</v>
      </c>
      <c r="H346" s="30" t="s">
        <v>19</v>
      </c>
      <c r="I346" s="31" t="s">
        <v>14</v>
      </c>
      <c r="J346" s="12" t="s">
        <v>398</v>
      </c>
      <c r="K346" s="12" t="s">
        <v>6114</v>
      </c>
      <c r="L346" s="12" t="str">
        <f t="shared" si="72"/>
        <v>Periodo 2013-2019</v>
      </c>
      <c r="M346" s="12" t="str">
        <f t="shared" si="72"/>
        <v>Porcentaje</v>
      </c>
      <c r="N346" s="33" t="s">
        <v>5964</v>
      </c>
      <c r="O346" s="27" t="s">
        <v>6132</v>
      </c>
      <c r="P346" s="42" t="s">
        <v>6133</v>
      </c>
      <c r="Q346" s="14" t="s">
        <v>5967</v>
      </c>
      <c r="R346" s="77" t="s">
        <v>5971</v>
      </c>
      <c r="S346" s="25" t="s">
        <v>6723</v>
      </c>
      <c r="T346" s="65" t="s">
        <v>5951</v>
      </c>
      <c r="U346" s="24" t="s">
        <v>397</v>
      </c>
      <c r="V346" s="19" t="str">
        <f>+Ingresos_Historicos[[#This Row],[idcoleccion]]&amp;"-"&amp;Ingresos_Historicos[[#This Row],[id]]</f>
        <v>300-0336</v>
      </c>
      <c r="W346" s="19" t="e">
        <f>+VLOOKUP(Ingresos_Historicos[[#This Row],[Filtro URL]],Estructura!$X$4:$Y$366,2,0)</f>
        <v>#N/A</v>
      </c>
      <c r="X346" s="19" t="str">
        <f>+VLOOKUP(Ingresos_Historicos[[#This Row],[tema]],Estructura!$A$4:$C$18,3,0)</f>
        <v>T-306</v>
      </c>
      <c r="Y346" s="19" t="str">
        <f>+VLOOKUP(Ingresos_Historicos[[#This Row],[contenido]],Estructura!$E$4:$G$18,3,0)</f>
        <v>C-301</v>
      </c>
      <c r="Z346" s="19" t="str">
        <f>+VLOOKUP(Ingresos_Historicos[[#This Row],[Filtro Integrado]],Estructura!$M$4:$O$367,3,0)</f>
        <v>FI-303</v>
      </c>
      <c r="AA346" s="19" t="str">
        <f>+VLOOKUP(Ingresos_Historicos[[#This Row],[Muestra]],Estructura!$Q$4:$S$194,3,0)</f>
        <v>M-307</v>
      </c>
    </row>
    <row r="347" spans="1:27" ht="60" x14ac:dyDescent="0.3">
      <c r="A347" s="32" t="s">
        <v>733</v>
      </c>
      <c r="B347" s="12">
        <f t="shared" si="73"/>
        <v>300</v>
      </c>
      <c r="C347" s="13" t="str">
        <f t="shared" si="73"/>
        <v>Violencia contra la mujer</v>
      </c>
      <c r="D347" s="13" t="str">
        <f t="shared" si="73"/>
        <v>Mujeres</v>
      </c>
      <c r="E347" s="18">
        <v>270102005</v>
      </c>
      <c r="F347" s="13" t="str">
        <f t="shared" si="74"/>
        <v>Sentencias por delito de abuso sexual</v>
      </c>
      <c r="G347" s="55" t="str">
        <f t="shared" si="74"/>
        <v>Abuso Sexual</v>
      </c>
      <c r="H347" s="30" t="s">
        <v>19</v>
      </c>
      <c r="I347" s="31" t="s">
        <v>14</v>
      </c>
      <c r="J347" s="12" t="s">
        <v>398</v>
      </c>
      <c r="K347" s="12" t="s">
        <v>6114</v>
      </c>
      <c r="L347" s="12" t="str">
        <f t="shared" si="72"/>
        <v>Periodo 2013-2019</v>
      </c>
      <c r="M347" s="12" t="str">
        <f t="shared" si="72"/>
        <v>Porcentaje</v>
      </c>
      <c r="N347" s="33" t="s">
        <v>5964</v>
      </c>
      <c r="O347" s="27" t="s">
        <v>6134</v>
      </c>
      <c r="P347" s="42" t="s">
        <v>6135</v>
      </c>
      <c r="Q347" s="14" t="str">
        <f t="shared" ref="Q347:Q353" si="76">+Q346</f>
        <v>Gráfico de Evolución</v>
      </c>
      <c r="R347" s="77" t="s">
        <v>5971</v>
      </c>
      <c r="S347" s="15" t="s">
        <v>6724</v>
      </c>
      <c r="T347" s="65" t="s">
        <v>5951</v>
      </c>
      <c r="U347" s="24" t="s">
        <v>397</v>
      </c>
      <c r="V347" s="19" t="str">
        <f>+Ingresos_Historicos[[#This Row],[idcoleccion]]&amp;"-"&amp;Ingresos_Historicos[[#This Row],[id]]</f>
        <v>300-0337</v>
      </c>
      <c r="W347" s="19" t="e">
        <f>+VLOOKUP(Ingresos_Historicos[[#This Row],[Filtro URL]],Estructura!$X$4:$Y$366,2,0)</f>
        <v>#N/A</v>
      </c>
      <c r="X347" s="19" t="str">
        <f>+VLOOKUP(Ingresos_Historicos[[#This Row],[tema]],Estructura!$A$4:$C$18,3,0)</f>
        <v>T-306</v>
      </c>
      <c r="Y347" s="19" t="str">
        <f>+VLOOKUP(Ingresos_Historicos[[#This Row],[contenido]],Estructura!$E$4:$G$18,3,0)</f>
        <v>C-301</v>
      </c>
      <c r="Z347" s="19" t="str">
        <f>+VLOOKUP(Ingresos_Historicos[[#This Row],[Filtro Integrado]],Estructura!$M$4:$O$367,3,0)</f>
        <v>FI-303</v>
      </c>
      <c r="AA347" s="19" t="str">
        <f>+VLOOKUP(Ingresos_Historicos[[#This Row],[Muestra]],Estructura!$Q$4:$S$194,3,0)</f>
        <v>M-307</v>
      </c>
    </row>
    <row r="348" spans="1:27" ht="60" x14ac:dyDescent="0.3">
      <c r="A348" s="32" t="s">
        <v>734</v>
      </c>
      <c r="B348" s="12">
        <f t="shared" si="73"/>
        <v>300</v>
      </c>
      <c r="C348" s="13" t="str">
        <f t="shared" si="73"/>
        <v>Violencia contra la mujer</v>
      </c>
      <c r="D348" s="13" t="str">
        <f t="shared" si="73"/>
        <v>Mujeres</v>
      </c>
      <c r="E348" s="18">
        <v>270102006</v>
      </c>
      <c r="F348" s="13" t="str">
        <f t="shared" si="74"/>
        <v>Sentencias por delito de abuso sexual</v>
      </c>
      <c r="G348" s="55" t="str">
        <f t="shared" si="74"/>
        <v>Abuso Sexual</v>
      </c>
      <c r="H348" s="30" t="s">
        <v>19</v>
      </c>
      <c r="I348" s="31" t="s">
        <v>14</v>
      </c>
      <c r="J348" s="12" t="s">
        <v>398</v>
      </c>
      <c r="K348" s="12" t="s">
        <v>6114</v>
      </c>
      <c r="L348" s="12" t="str">
        <f t="shared" ref="L348:M363" si="77">+L347</f>
        <v>Periodo 2013-2019</v>
      </c>
      <c r="M348" s="12" t="str">
        <f t="shared" si="77"/>
        <v>Porcentaje</v>
      </c>
      <c r="N348" s="33" t="s">
        <v>5964</v>
      </c>
      <c r="O348" s="27" t="s">
        <v>6136</v>
      </c>
      <c r="P348" s="42" t="s">
        <v>6137</v>
      </c>
      <c r="Q348" s="14" t="str">
        <f t="shared" si="76"/>
        <v>Gráfico de Evolución</v>
      </c>
      <c r="R348" s="77" t="s">
        <v>5971</v>
      </c>
      <c r="S348" s="15" t="s">
        <v>6725</v>
      </c>
      <c r="T348" s="65" t="s">
        <v>5951</v>
      </c>
      <c r="U348" s="24" t="s">
        <v>397</v>
      </c>
      <c r="V348" s="19" t="str">
        <f>+Ingresos_Historicos[[#This Row],[idcoleccion]]&amp;"-"&amp;Ingresos_Historicos[[#This Row],[id]]</f>
        <v>300-0338</v>
      </c>
      <c r="W348" s="19" t="e">
        <f>+VLOOKUP(Ingresos_Historicos[[#This Row],[Filtro URL]],Estructura!$X$4:$Y$366,2,0)</f>
        <v>#N/A</v>
      </c>
      <c r="X348" s="19" t="str">
        <f>+VLOOKUP(Ingresos_Historicos[[#This Row],[tema]],Estructura!$A$4:$C$18,3,0)</f>
        <v>T-306</v>
      </c>
      <c r="Y348" s="19" t="str">
        <f>+VLOOKUP(Ingresos_Historicos[[#This Row],[contenido]],Estructura!$E$4:$G$18,3,0)</f>
        <v>C-301</v>
      </c>
      <c r="Z348" s="19" t="str">
        <f>+VLOOKUP(Ingresos_Historicos[[#This Row],[Filtro Integrado]],Estructura!$M$4:$O$367,3,0)</f>
        <v>FI-303</v>
      </c>
      <c r="AA348" s="19" t="str">
        <f>+VLOOKUP(Ingresos_Historicos[[#This Row],[Muestra]],Estructura!$Q$4:$S$194,3,0)</f>
        <v>M-307</v>
      </c>
    </row>
    <row r="349" spans="1:27" ht="61.2" x14ac:dyDescent="0.3">
      <c r="A349" s="32" t="s">
        <v>735</v>
      </c>
      <c r="B349" s="12">
        <f t="shared" si="73"/>
        <v>300</v>
      </c>
      <c r="C349" s="13" t="str">
        <f t="shared" si="73"/>
        <v>Violencia contra la mujer</v>
      </c>
      <c r="D349" s="13" t="str">
        <f t="shared" si="73"/>
        <v>Mujeres</v>
      </c>
      <c r="E349" s="18">
        <v>270102007</v>
      </c>
      <c r="F349" s="13" t="str">
        <f t="shared" si="74"/>
        <v>Sentencias por delito de abuso sexual</v>
      </c>
      <c r="G349" s="55" t="str">
        <f t="shared" si="74"/>
        <v>Abuso Sexual</v>
      </c>
      <c r="H349" s="30" t="s">
        <v>19</v>
      </c>
      <c r="I349" s="31" t="s">
        <v>14</v>
      </c>
      <c r="J349" s="12" t="s">
        <v>398</v>
      </c>
      <c r="K349" s="12" t="s">
        <v>6114</v>
      </c>
      <c r="L349" s="12" t="str">
        <f t="shared" si="77"/>
        <v>Periodo 2013-2019</v>
      </c>
      <c r="M349" s="12" t="str">
        <f t="shared" si="77"/>
        <v>Porcentaje</v>
      </c>
      <c r="N349" s="33" t="s">
        <v>5964</v>
      </c>
      <c r="O349" s="27" t="s">
        <v>6138</v>
      </c>
      <c r="P349" s="42" t="s">
        <v>6139</v>
      </c>
      <c r="Q349" s="14" t="str">
        <f t="shared" si="76"/>
        <v>Gráfico de Evolución</v>
      </c>
      <c r="R349" s="77" t="s">
        <v>5971</v>
      </c>
      <c r="S349" s="15" t="s">
        <v>6726</v>
      </c>
      <c r="T349" s="65" t="s">
        <v>5951</v>
      </c>
      <c r="U349" s="24" t="s">
        <v>397</v>
      </c>
      <c r="V349" s="19" t="str">
        <f>+Ingresos_Historicos[[#This Row],[idcoleccion]]&amp;"-"&amp;Ingresos_Historicos[[#This Row],[id]]</f>
        <v>300-0339</v>
      </c>
      <c r="W349" s="19" t="e">
        <f>+VLOOKUP(Ingresos_Historicos[[#This Row],[Filtro URL]],Estructura!$X$4:$Y$366,2,0)</f>
        <v>#N/A</v>
      </c>
      <c r="X349" s="19" t="str">
        <f>+VLOOKUP(Ingresos_Historicos[[#This Row],[tema]],Estructura!$A$4:$C$18,3,0)</f>
        <v>T-306</v>
      </c>
      <c r="Y349" s="19" t="str">
        <f>+VLOOKUP(Ingresos_Historicos[[#This Row],[contenido]],Estructura!$E$4:$G$18,3,0)</f>
        <v>C-301</v>
      </c>
      <c r="Z349" s="19" t="str">
        <f>+VLOOKUP(Ingresos_Historicos[[#This Row],[Filtro Integrado]],Estructura!$M$4:$O$367,3,0)</f>
        <v>FI-303</v>
      </c>
      <c r="AA349" s="19" t="str">
        <f>+VLOOKUP(Ingresos_Historicos[[#This Row],[Muestra]],Estructura!$Q$4:$S$194,3,0)</f>
        <v>M-307</v>
      </c>
    </row>
    <row r="350" spans="1:27" ht="60" x14ac:dyDescent="0.3">
      <c r="A350" s="32" t="s">
        <v>736</v>
      </c>
      <c r="B350" s="12">
        <f t="shared" si="73"/>
        <v>300</v>
      </c>
      <c r="C350" s="13" t="str">
        <f t="shared" si="73"/>
        <v>Violencia contra la mujer</v>
      </c>
      <c r="D350" s="13" t="str">
        <f t="shared" si="73"/>
        <v>Mujeres</v>
      </c>
      <c r="E350" s="18">
        <v>270102008</v>
      </c>
      <c r="F350" s="13" t="str">
        <f t="shared" si="74"/>
        <v>Sentencias por delito de abuso sexual</v>
      </c>
      <c r="G350" s="55" t="str">
        <f t="shared" si="74"/>
        <v>Abuso Sexual</v>
      </c>
      <c r="H350" s="30" t="s">
        <v>19</v>
      </c>
      <c r="I350" s="31" t="s">
        <v>14</v>
      </c>
      <c r="J350" s="12" t="s">
        <v>398</v>
      </c>
      <c r="K350" s="12" t="s">
        <v>6114</v>
      </c>
      <c r="L350" s="12" t="str">
        <f t="shared" si="77"/>
        <v>Periodo 2013-2019</v>
      </c>
      <c r="M350" s="12" t="str">
        <f t="shared" si="77"/>
        <v>Porcentaje</v>
      </c>
      <c r="N350" s="33" t="s">
        <v>5964</v>
      </c>
      <c r="O350" s="27" t="s">
        <v>6140</v>
      </c>
      <c r="P350" s="42" t="s">
        <v>6141</v>
      </c>
      <c r="Q350" s="14" t="str">
        <f t="shared" si="76"/>
        <v>Gráfico de Evolución</v>
      </c>
      <c r="R350" s="77" t="s">
        <v>5971</v>
      </c>
      <c r="S350" s="15" t="s">
        <v>6727</v>
      </c>
      <c r="T350" s="65" t="s">
        <v>5951</v>
      </c>
      <c r="U350" s="24" t="s">
        <v>397</v>
      </c>
      <c r="V350" s="19" t="str">
        <f>+Ingresos_Historicos[[#This Row],[idcoleccion]]&amp;"-"&amp;Ingresos_Historicos[[#This Row],[id]]</f>
        <v>300-0340</v>
      </c>
      <c r="W350" s="19" t="e">
        <f>+VLOOKUP(Ingresos_Historicos[[#This Row],[Filtro URL]],Estructura!$X$4:$Y$366,2,0)</f>
        <v>#N/A</v>
      </c>
      <c r="X350" s="19" t="str">
        <f>+VLOOKUP(Ingresos_Historicos[[#This Row],[tema]],Estructura!$A$4:$C$18,3,0)</f>
        <v>T-306</v>
      </c>
      <c r="Y350" s="19" t="str">
        <f>+VLOOKUP(Ingresos_Historicos[[#This Row],[contenido]],Estructura!$E$4:$G$18,3,0)</f>
        <v>C-301</v>
      </c>
      <c r="Z350" s="19" t="str">
        <f>+VLOOKUP(Ingresos_Historicos[[#This Row],[Filtro Integrado]],Estructura!$M$4:$O$367,3,0)</f>
        <v>FI-303</v>
      </c>
      <c r="AA350" s="19" t="str">
        <f>+VLOOKUP(Ingresos_Historicos[[#This Row],[Muestra]],Estructura!$Q$4:$S$194,3,0)</f>
        <v>M-307</v>
      </c>
    </row>
    <row r="351" spans="1:27" ht="60" x14ac:dyDescent="0.3">
      <c r="A351" s="32" t="s">
        <v>737</v>
      </c>
      <c r="B351" s="12">
        <f t="shared" ref="B351:D366" si="78">+B350</f>
        <v>300</v>
      </c>
      <c r="C351" s="13" t="str">
        <f t="shared" si="78"/>
        <v>Violencia contra la mujer</v>
      </c>
      <c r="D351" s="13" t="str">
        <f t="shared" si="78"/>
        <v>Mujeres</v>
      </c>
      <c r="E351" s="18">
        <v>270102009</v>
      </c>
      <c r="F351" s="13" t="str">
        <f t="shared" si="74"/>
        <v>Sentencias por delito de abuso sexual</v>
      </c>
      <c r="G351" s="55" t="str">
        <f t="shared" si="74"/>
        <v>Abuso Sexual</v>
      </c>
      <c r="H351" s="30" t="s">
        <v>19</v>
      </c>
      <c r="I351" s="31" t="s">
        <v>14</v>
      </c>
      <c r="J351" s="12" t="s">
        <v>398</v>
      </c>
      <c r="K351" s="12" t="s">
        <v>6114</v>
      </c>
      <c r="L351" s="12" t="str">
        <f t="shared" si="77"/>
        <v>Periodo 2013-2019</v>
      </c>
      <c r="M351" s="12" t="str">
        <f t="shared" si="77"/>
        <v>Porcentaje</v>
      </c>
      <c r="N351" s="33" t="s">
        <v>5964</v>
      </c>
      <c r="O351" s="27" t="s">
        <v>6142</v>
      </c>
      <c r="P351" s="42" t="s">
        <v>6143</v>
      </c>
      <c r="Q351" s="14" t="str">
        <f t="shared" si="76"/>
        <v>Gráfico de Evolución</v>
      </c>
      <c r="R351" s="77" t="s">
        <v>5971</v>
      </c>
      <c r="S351" s="15" t="s">
        <v>6728</v>
      </c>
      <c r="T351" s="65" t="s">
        <v>5951</v>
      </c>
      <c r="U351" s="24" t="s">
        <v>397</v>
      </c>
      <c r="V351" s="19" t="str">
        <f>+Ingresos_Historicos[[#This Row],[idcoleccion]]&amp;"-"&amp;Ingresos_Historicos[[#This Row],[id]]</f>
        <v>300-0341</v>
      </c>
      <c r="W351" s="19" t="e">
        <f>+VLOOKUP(Ingresos_Historicos[[#This Row],[Filtro URL]],Estructura!$X$4:$Y$366,2,0)</f>
        <v>#N/A</v>
      </c>
      <c r="X351" s="19" t="str">
        <f>+VLOOKUP(Ingresos_Historicos[[#This Row],[tema]],Estructura!$A$4:$C$18,3,0)</f>
        <v>T-306</v>
      </c>
      <c r="Y351" s="19" t="str">
        <f>+VLOOKUP(Ingresos_Historicos[[#This Row],[contenido]],Estructura!$E$4:$G$18,3,0)</f>
        <v>C-301</v>
      </c>
      <c r="Z351" s="19" t="str">
        <f>+VLOOKUP(Ingresos_Historicos[[#This Row],[Filtro Integrado]],Estructura!$M$4:$O$367,3,0)</f>
        <v>FI-303</v>
      </c>
      <c r="AA351" s="19" t="str">
        <f>+VLOOKUP(Ingresos_Historicos[[#This Row],[Muestra]],Estructura!$Q$4:$S$194,3,0)</f>
        <v>M-307</v>
      </c>
    </row>
    <row r="352" spans="1:27" ht="60" x14ac:dyDescent="0.3">
      <c r="A352" s="32" t="s">
        <v>738</v>
      </c>
      <c r="B352" s="12">
        <f t="shared" si="78"/>
        <v>300</v>
      </c>
      <c r="C352" s="13" t="str">
        <f t="shared" si="78"/>
        <v>Violencia contra la mujer</v>
      </c>
      <c r="D352" s="13" t="str">
        <f t="shared" si="78"/>
        <v>Mujeres</v>
      </c>
      <c r="E352" s="18">
        <v>270102010</v>
      </c>
      <c r="F352" s="13" t="str">
        <f t="shared" si="74"/>
        <v>Sentencias por delito de abuso sexual</v>
      </c>
      <c r="G352" s="55" t="str">
        <f t="shared" si="74"/>
        <v>Abuso Sexual</v>
      </c>
      <c r="H352" s="30" t="s">
        <v>19</v>
      </c>
      <c r="I352" s="31" t="s">
        <v>14</v>
      </c>
      <c r="J352" s="12" t="s">
        <v>398</v>
      </c>
      <c r="K352" s="12" t="s">
        <v>6114</v>
      </c>
      <c r="L352" s="12" t="str">
        <f t="shared" si="77"/>
        <v>Periodo 2013-2019</v>
      </c>
      <c r="M352" s="12" t="str">
        <f t="shared" si="77"/>
        <v>Porcentaje</v>
      </c>
      <c r="N352" s="33" t="s">
        <v>5964</v>
      </c>
      <c r="O352" s="27" t="s">
        <v>6144</v>
      </c>
      <c r="P352" s="42" t="s">
        <v>6145</v>
      </c>
      <c r="Q352" s="14" t="str">
        <f t="shared" si="76"/>
        <v>Gráfico de Evolución</v>
      </c>
      <c r="R352" s="77" t="s">
        <v>5971</v>
      </c>
      <c r="S352" s="15" t="s">
        <v>6729</v>
      </c>
      <c r="T352" s="65" t="s">
        <v>5951</v>
      </c>
      <c r="U352" s="24" t="s">
        <v>397</v>
      </c>
      <c r="V352" s="19" t="str">
        <f>+Ingresos_Historicos[[#This Row],[idcoleccion]]&amp;"-"&amp;Ingresos_Historicos[[#This Row],[id]]</f>
        <v>300-0342</v>
      </c>
      <c r="W352" s="19" t="e">
        <f>+VLOOKUP(Ingresos_Historicos[[#This Row],[Filtro URL]],Estructura!$X$4:$Y$366,2,0)</f>
        <v>#N/A</v>
      </c>
      <c r="X352" s="19" t="str">
        <f>+VLOOKUP(Ingresos_Historicos[[#This Row],[tema]],Estructura!$A$4:$C$18,3,0)</f>
        <v>T-306</v>
      </c>
      <c r="Y352" s="19" t="str">
        <f>+VLOOKUP(Ingresos_Historicos[[#This Row],[contenido]],Estructura!$E$4:$G$18,3,0)</f>
        <v>C-301</v>
      </c>
      <c r="Z352" s="19" t="str">
        <f>+VLOOKUP(Ingresos_Historicos[[#This Row],[Filtro Integrado]],Estructura!$M$4:$O$367,3,0)</f>
        <v>FI-303</v>
      </c>
      <c r="AA352" s="19" t="str">
        <f>+VLOOKUP(Ingresos_Historicos[[#This Row],[Muestra]],Estructura!$Q$4:$S$194,3,0)</f>
        <v>M-307</v>
      </c>
    </row>
    <row r="353" spans="1:27" ht="60" x14ac:dyDescent="0.3">
      <c r="A353" s="32" t="s">
        <v>739</v>
      </c>
      <c r="B353" s="12">
        <f t="shared" si="78"/>
        <v>300</v>
      </c>
      <c r="C353" s="13" t="str">
        <f t="shared" si="78"/>
        <v>Violencia contra la mujer</v>
      </c>
      <c r="D353" s="13" t="str">
        <f t="shared" si="78"/>
        <v>Mujeres</v>
      </c>
      <c r="E353" s="18">
        <v>270102016</v>
      </c>
      <c r="F353" s="13" t="str">
        <f t="shared" ref="F353:G368" si="79">+F352</f>
        <v>Sentencias por delito de abuso sexual</v>
      </c>
      <c r="G353" s="55" t="str">
        <f t="shared" si="79"/>
        <v>Abuso Sexual</v>
      </c>
      <c r="H353" s="30" t="s">
        <v>19</v>
      </c>
      <c r="I353" s="31" t="s">
        <v>14</v>
      </c>
      <c r="J353" s="12" t="s">
        <v>398</v>
      </c>
      <c r="K353" s="12" t="s">
        <v>6114</v>
      </c>
      <c r="L353" s="12" t="str">
        <f t="shared" si="77"/>
        <v>Periodo 2013-2019</v>
      </c>
      <c r="M353" s="12" t="str">
        <f t="shared" si="77"/>
        <v>Porcentaje</v>
      </c>
      <c r="N353" s="33" t="s">
        <v>5964</v>
      </c>
      <c r="O353" s="27" t="s">
        <v>6146</v>
      </c>
      <c r="P353" s="42" t="s">
        <v>6147</v>
      </c>
      <c r="Q353" s="14" t="str">
        <f t="shared" si="76"/>
        <v>Gráfico de Evolución</v>
      </c>
      <c r="R353" s="77" t="s">
        <v>5971</v>
      </c>
      <c r="S353" s="15" t="s">
        <v>6730</v>
      </c>
      <c r="T353" s="65" t="s">
        <v>5951</v>
      </c>
      <c r="U353" s="24" t="s">
        <v>397</v>
      </c>
      <c r="V353" s="19" t="str">
        <f>+Ingresos_Historicos[[#This Row],[idcoleccion]]&amp;"-"&amp;Ingresos_Historicos[[#This Row],[id]]</f>
        <v>300-0343</v>
      </c>
      <c r="W353" s="19" t="e">
        <f>+VLOOKUP(Ingresos_Historicos[[#This Row],[Filtro URL]],Estructura!$X$4:$Y$366,2,0)</f>
        <v>#N/A</v>
      </c>
      <c r="X353" s="19" t="str">
        <f>+VLOOKUP(Ingresos_Historicos[[#This Row],[tema]],Estructura!$A$4:$C$18,3,0)</f>
        <v>T-306</v>
      </c>
      <c r="Y353" s="19" t="str">
        <f>+VLOOKUP(Ingresos_Historicos[[#This Row],[contenido]],Estructura!$E$4:$G$18,3,0)</f>
        <v>C-301</v>
      </c>
      <c r="Z353" s="19" t="str">
        <f>+VLOOKUP(Ingresos_Historicos[[#This Row],[Filtro Integrado]],Estructura!$M$4:$O$367,3,0)</f>
        <v>FI-303</v>
      </c>
      <c r="AA353" s="19" t="str">
        <f>+VLOOKUP(Ingresos_Historicos[[#This Row],[Muestra]],Estructura!$Q$4:$S$194,3,0)</f>
        <v>M-307</v>
      </c>
    </row>
    <row r="354" spans="1:27" ht="51" x14ac:dyDescent="0.3">
      <c r="A354" s="32" t="s">
        <v>740</v>
      </c>
      <c r="B354" s="12">
        <f t="shared" si="78"/>
        <v>300</v>
      </c>
      <c r="C354" s="13" t="str">
        <f t="shared" si="78"/>
        <v>Violencia contra la mujer</v>
      </c>
      <c r="D354" s="13" t="str">
        <f t="shared" si="78"/>
        <v>Mujeres</v>
      </c>
      <c r="E354" s="18">
        <v>270102003</v>
      </c>
      <c r="F354" s="13" t="str">
        <f t="shared" si="79"/>
        <v>Sentencias por delito de abuso sexual</v>
      </c>
      <c r="G354" s="55" t="str">
        <f t="shared" si="79"/>
        <v>Abuso Sexual</v>
      </c>
      <c r="H354" s="30" t="s">
        <v>19</v>
      </c>
      <c r="I354" s="31" t="s">
        <v>14</v>
      </c>
      <c r="J354" s="12" t="s">
        <v>15</v>
      </c>
      <c r="K354" s="12" t="s">
        <v>6148</v>
      </c>
      <c r="L354" s="12" t="str">
        <f t="shared" si="77"/>
        <v>Periodo 2013-2019</v>
      </c>
      <c r="M354" s="12" t="s">
        <v>5963</v>
      </c>
      <c r="N354" s="33" t="s">
        <v>5964</v>
      </c>
      <c r="O354" s="27" t="s">
        <v>6149</v>
      </c>
      <c r="P354" s="42" t="s">
        <v>6150</v>
      </c>
      <c r="Q354" s="14" t="s">
        <v>6151</v>
      </c>
      <c r="R354" s="77" t="s">
        <v>6152</v>
      </c>
      <c r="S354" s="67" t="s">
        <v>6731</v>
      </c>
      <c r="T354" s="65" t="s">
        <v>5906</v>
      </c>
      <c r="U354" s="24" t="s">
        <v>397</v>
      </c>
      <c r="V354" s="19" t="str">
        <f>+Ingresos_Historicos[[#This Row],[idcoleccion]]&amp;"-"&amp;Ingresos_Historicos[[#This Row],[id]]</f>
        <v>300-0344</v>
      </c>
      <c r="W354" s="19" t="e">
        <f>+VLOOKUP(Ingresos_Historicos[[#This Row],[Filtro URL]],Estructura!$X$4:$Y$366,2,0)</f>
        <v>#N/A</v>
      </c>
      <c r="X354" s="19" t="str">
        <f>+VLOOKUP(Ingresos_Historicos[[#This Row],[tema]],Estructura!$A$4:$C$18,3,0)</f>
        <v>T-306</v>
      </c>
      <c r="Y354" s="19" t="str">
        <f>+VLOOKUP(Ingresos_Historicos[[#This Row],[contenido]],Estructura!$E$4:$G$18,3,0)</f>
        <v>C-301</v>
      </c>
      <c r="Z354" s="19" t="str">
        <f>+VLOOKUP(Ingresos_Historicos[[#This Row],[Filtro Integrado]],Estructura!$M$4:$O$367,3,0)</f>
        <v>FI-302</v>
      </c>
      <c r="AA354" s="19" t="str">
        <f>+VLOOKUP(Ingresos_Historicos[[#This Row],[Muestra]],Estructura!$Q$4:$S$194,3,0)</f>
        <v>M-308</v>
      </c>
    </row>
    <row r="355" spans="1:27" ht="51" x14ac:dyDescent="0.3">
      <c r="A355" s="32" t="s">
        <v>741</v>
      </c>
      <c r="B355" s="12">
        <f t="shared" si="78"/>
        <v>300</v>
      </c>
      <c r="C355" s="13" t="str">
        <f t="shared" si="78"/>
        <v>Violencia contra la mujer</v>
      </c>
      <c r="D355" s="13" t="str">
        <f t="shared" si="78"/>
        <v>Mujeres</v>
      </c>
      <c r="E355" s="18">
        <v>270102004</v>
      </c>
      <c r="F355" s="13" t="str">
        <f t="shared" si="79"/>
        <v>Sentencias por delito de abuso sexual</v>
      </c>
      <c r="G355" s="55" t="str">
        <f t="shared" si="79"/>
        <v>Abuso Sexual</v>
      </c>
      <c r="H355" s="30" t="s">
        <v>19</v>
      </c>
      <c r="I355" s="31" t="s">
        <v>14</v>
      </c>
      <c r="J355" s="12" t="s">
        <v>15</v>
      </c>
      <c r="K355" s="12" t="s">
        <v>6148</v>
      </c>
      <c r="L355" s="12" t="str">
        <f t="shared" si="77"/>
        <v>Periodo 2013-2019</v>
      </c>
      <c r="M355" s="12" t="str">
        <f t="shared" si="77"/>
        <v>Número de sentencias</v>
      </c>
      <c r="N355" s="33" t="s">
        <v>5964</v>
      </c>
      <c r="O355" s="27" t="s">
        <v>6153</v>
      </c>
      <c r="P355" s="42" t="s">
        <v>6154</v>
      </c>
      <c r="Q355" s="14" t="str">
        <f t="shared" ref="Q355:Q371" si="80">+Q354</f>
        <v>Mapa de calor</v>
      </c>
      <c r="R355" s="77" t="s">
        <v>6152</v>
      </c>
      <c r="S355" s="67" t="s">
        <v>6732</v>
      </c>
      <c r="T355" s="65" t="s">
        <v>5906</v>
      </c>
      <c r="U355" s="24" t="s">
        <v>397</v>
      </c>
      <c r="V355" s="19" t="str">
        <f>+Ingresos_Historicos[[#This Row],[idcoleccion]]&amp;"-"&amp;Ingresos_Historicos[[#This Row],[id]]</f>
        <v>300-0345</v>
      </c>
      <c r="W355" s="19" t="e">
        <f>+VLOOKUP(Ingresos_Historicos[[#This Row],[Filtro URL]],Estructura!$X$4:$Y$366,2,0)</f>
        <v>#N/A</v>
      </c>
      <c r="X355" s="19" t="str">
        <f>+VLOOKUP(Ingresos_Historicos[[#This Row],[tema]],Estructura!$A$4:$C$18,3,0)</f>
        <v>T-306</v>
      </c>
      <c r="Y355" s="19" t="str">
        <f>+VLOOKUP(Ingresos_Historicos[[#This Row],[contenido]],Estructura!$E$4:$G$18,3,0)</f>
        <v>C-301</v>
      </c>
      <c r="Z355" s="19" t="str">
        <f>+VLOOKUP(Ingresos_Historicos[[#This Row],[Filtro Integrado]],Estructura!$M$4:$O$367,3,0)</f>
        <v>FI-302</v>
      </c>
      <c r="AA355" s="19" t="str">
        <f>+VLOOKUP(Ingresos_Historicos[[#This Row],[Muestra]],Estructura!$Q$4:$S$194,3,0)</f>
        <v>M-308</v>
      </c>
    </row>
    <row r="356" spans="1:27" ht="61.2" x14ac:dyDescent="0.3">
      <c r="A356" s="32" t="s">
        <v>742</v>
      </c>
      <c r="B356" s="12">
        <f t="shared" si="78"/>
        <v>300</v>
      </c>
      <c r="C356" s="13" t="str">
        <f t="shared" si="78"/>
        <v>Violencia contra la mujer</v>
      </c>
      <c r="D356" s="13" t="str">
        <f t="shared" si="78"/>
        <v>Mujeres</v>
      </c>
      <c r="E356" s="18">
        <v>270102005</v>
      </c>
      <c r="F356" s="13" t="str">
        <f t="shared" si="79"/>
        <v>Sentencias por delito de abuso sexual</v>
      </c>
      <c r="G356" s="55" t="str">
        <f t="shared" si="79"/>
        <v>Abuso Sexual</v>
      </c>
      <c r="H356" s="30" t="s">
        <v>19</v>
      </c>
      <c r="I356" s="31" t="s">
        <v>14</v>
      </c>
      <c r="J356" s="12" t="s">
        <v>15</v>
      </c>
      <c r="K356" s="12" t="s">
        <v>6148</v>
      </c>
      <c r="L356" s="12" t="str">
        <f t="shared" si="77"/>
        <v>Periodo 2013-2019</v>
      </c>
      <c r="M356" s="12" t="str">
        <f t="shared" si="77"/>
        <v>Número de sentencias</v>
      </c>
      <c r="N356" s="33" t="s">
        <v>5964</v>
      </c>
      <c r="O356" s="27" t="s">
        <v>6155</v>
      </c>
      <c r="P356" s="42" t="s">
        <v>6156</v>
      </c>
      <c r="Q356" s="14" t="str">
        <f t="shared" si="80"/>
        <v>Mapa de calor</v>
      </c>
      <c r="R356" s="77" t="s">
        <v>6152</v>
      </c>
      <c r="S356" s="67" t="s">
        <v>6733</v>
      </c>
      <c r="T356" s="65" t="s">
        <v>5906</v>
      </c>
      <c r="U356" s="24" t="s">
        <v>397</v>
      </c>
      <c r="V356" s="19" t="str">
        <f>+Ingresos_Historicos[[#This Row],[idcoleccion]]&amp;"-"&amp;Ingresos_Historicos[[#This Row],[id]]</f>
        <v>300-0346</v>
      </c>
      <c r="W356" s="19" t="e">
        <f>+VLOOKUP(Ingresos_Historicos[[#This Row],[Filtro URL]],Estructura!$X$4:$Y$366,2,0)</f>
        <v>#N/A</v>
      </c>
      <c r="X356" s="19" t="str">
        <f>+VLOOKUP(Ingresos_Historicos[[#This Row],[tema]],Estructura!$A$4:$C$18,3,0)</f>
        <v>T-306</v>
      </c>
      <c r="Y356" s="19" t="str">
        <f>+VLOOKUP(Ingresos_Historicos[[#This Row],[contenido]],Estructura!$E$4:$G$18,3,0)</f>
        <v>C-301</v>
      </c>
      <c r="Z356" s="19" t="str">
        <f>+VLOOKUP(Ingresos_Historicos[[#This Row],[Filtro Integrado]],Estructura!$M$4:$O$367,3,0)</f>
        <v>FI-302</v>
      </c>
      <c r="AA356" s="19" t="str">
        <f>+VLOOKUP(Ingresos_Historicos[[#This Row],[Muestra]],Estructura!$Q$4:$S$194,3,0)</f>
        <v>M-308</v>
      </c>
    </row>
    <row r="357" spans="1:27" ht="61.2" x14ac:dyDescent="0.3">
      <c r="A357" s="32" t="s">
        <v>743</v>
      </c>
      <c r="B357" s="12">
        <f t="shared" si="78"/>
        <v>300</v>
      </c>
      <c r="C357" s="13" t="str">
        <f t="shared" si="78"/>
        <v>Violencia contra la mujer</v>
      </c>
      <c r="D357" s="13" t="str">
        <f t="shared" si="78"/>
        <v>Mujeres</v>
      </c>
      <c r="E357" s="18">
        <v>270102006</v>
      </c>
      <c r="F357" s="13" t="str">
        <f t="shared" si="79"/>
        <v>Sentencias por delito de abuso sexual</v>
      </c>
      <c r="G357" s="55" t="str">
        <f t="shared" si="79"/>
        <v>Abuso Sexual</v>
      </c>
      <c r="H357" s="30" t="s">
        <v>19</v>
      </c>
      <c r="I357" s="31" t="s">
        <v>14</v>
      </c>
      <c r="J357" s="12" t="s">
        <v>15</v>
      </c>
      <c r="K357" s="12" t="s">
        <v>6148</v>
      </c>
      <c r="L357" s="12" t="str">
        <f t="shared" si="77"/>
        <v>Periodo 2013-2019</v>
      </c>
      <c r="M357" s="12" t="str">
        <f t="shared" si="77"/>
        <v>Número de sentencias</v>
      </c>
      <c r="N357" s="33" t="s">
        <v>5964</v>
      </c>
      <c r="O357" s="27" t="s">
        <v>6157</v>
      </c>
      <c r="P357" s="42" t="s">
        <v>6158</v>
      </c>
      <c r="Q357" s="14" t="str">
        <f t="shared" si="80"/>
        <v>Mapa de calor</v>
      </c>
      <c r="R357" s="77" t="s">
        <v>6152</v>
      </c>
      <c r="S357" s="67" t="s">
        <v>6734</v>
      </c>
      <c r="T357" s="65" t="s">
        <v>5906</v>
      </c>
      <c r="U357" s="24" t="s">
        <v>397</v>
      </c>
      <c r="V357" s="19" t="str">
        <f>+Ingresos_Historicos[[#This Row],[idcoleccion]]&amp;"-"&amp;Ingresos_Historicos[[#This Row],[id]]</f>
        <v>300-0347</v>
      </c>
      <c r="W357" s="19" t="e">
        <f>+VLOOKUP(Ingresos_Historicos[[#This Row],[Filtro URL]],Estructura!$X$4:$Y$366,2,0)</f>
        <v>#N/A</v>
      </c>
      <c r="X357" s="19" t="str">
        <f>+VLOOKUP(Ingresos_Historicos[[#This Row],[tema]],Estructura!$A$4:$C$18,3,0)</f>
        <v>T-306</v>
      </c>
      <c r="Y357" s="19" t="str">
        <f>+VLOOKUP(Ingresos_Historicos[[#This Row],[contenido]],Estructura!$E$4:$G$18,3,0)</f>
        <v>C-301</v>
      </c>
      <c r="Z357" s="19" t="str">
        <f>+VLOOKUP(Ingresos_Historicos[[#This Row],[Filtro Integrado]],Estructura!$M$4:$O$367,3,0)</f>
        <v>FI-302</v>
      </c>
      <c r="AA357" s="19" t="str">
        <f>+VLOOKUP(Ingresos_Historicos[[#This Row],[Muestra]],Estructura!$Q$4:$S$194,3,0)</f>
        <v>M-308</v>
      </c>
    </row>
    <row r="358" spans="1:27" ht="61.2" x14ac:dyDescent="0.3">
      <c r="A358" s="32" t="s">
        <v>744</v>
      </c>
      <c r="B358" s="12">
        <f t="shared" si="78"/>
        <v>300</v>
      </c>
      <c r="C358" s="13" t="str">
        <f t="shared" si="78"/>
        <v>Violencia contra la mujer</v>
      </c>
      <c r="D358" s="13" t="str">
        <f t="shared" si="78"/>
        <v>Mujeres</v>
      </c>
      <c r="E358" s="18">
        <v>270102007</v>
      </c>
      <c r="F358" s="13" t="str">
        <f t="shared" si="79"/>
        <v>Sentencias por delito de abuso sexual</v>
      </c>
      <c r="G358" s="55" t="str">
        <f t="shared" si="79"/>
        <v>Abuso Sexual</v>
      </c>
      <c r="H358" s="30" t="s">
        <v>19</v>
      </c>
      <c r="I358" s="31" t="s">
        <v>14</v>
      </c>
      <c r="J358" s="12" t="s">
        <v>15</v>
      </c>
      <c r="K358" s="12" t="s">
        <v>6148</v>
      </c>
      <c r="L358" s="12" t="str">
        <f t="shared" si="77"/>
        <v>Periodo 2013-2019</v>
      </c>
      <c r="M358" s="12" t="str">
        <f t="shared" si="77"/>
        <v>Número de sentencias</v>
      </c>
      <c r="N358" s="33" t="s">
        <v>5964</v>
      </c>
      <c r="O358" s="27" t="s">
        <v>6159</v>
      </c>
      <c r="P358" s="42" t="s">
        <v>6160</v>
      </c>
      <c r="Q358" s="14" t="str">
        <f t="shared" si="80"/>
        <v>Mapa de calor</v>
      </c>
      <c r="R358" s="77" t="s">
        <v>6152</v>
      </c>
      <c r="S358" s="67" t="s">
        <v>6735</v>
      </c>
      <c r="T358" s="65" t="s">
        <v>5906</v>
      </c>
      <c r="U358" s="24" t="s">
        <v>397</v>
      </c>
      <c r="V358" s="19" t="str">
        <f>+Ingresos_Historicos[[#This Row],[idcoleccion]]&amp;"-"&amp;Ingresos_Historicos[[#This Row],[id]]</f>
        <v>300-0348</v>
      </c>
      <c r="W358" s="19" t="e">
        <f>+VLOOKUP(Ingresos_Historicos[[#This Row],[Filtro URL]],Estructura!$X$4:$Y$366,2,0)</f>
        <v>#N/A</v>
      </c>
      <c r="X358" s="19" t="str">
        <f>+VLOOKUP(Ingresos_Historicos[[#This Row],[tema]],Estructura!$A$4:$C$18,3,0)</f>
        <v>T-306</v>
      </c>
      <c r="Y358" s="19" t="str">
        <f>+VLOOKUP(Ingresos_Historicos[[#This Row],[contenido]],Estructura!$E$4:$G$18,3,0)</f>
        <v>C-301</v>
      </c>
      <c r="Z358" s="19" t="str">
        <f>+VLOOKUP(Ingresos_Historicos[[#This Row],[Filtro Integrado]],Estructura!$M$4:$O$367,3,0)</f>
        <v>FI-302</v>
      </c>
      <c r="AA358" s="19" t="str">
        <f>+VLOOKUP(Ingresos_Historicos[[#This Row],[Muestra]],Estructura!$Q$4:$S$194,3,0)</f>
        <v>M-308</v>
      </c>
    </row>
    <row r="359" spans="1:27" ht="61.2" x14ac:dyDescent="0.3">
      <c r="A359" s="32" t="s">
        <v>745</v>
      </c>
      <c r="B359" s="12">
        <f t="shared" si="78"/>
        <v>300</v>
      </c>
      <c r="C359" s="13" t="str">
        <f t="shared" si="78"/>
        <v>Violencia contra la mujer</v>
      </c>
      <c r="D359" s="13" t="str">
        <f t="shared" si="78"/>
        <v>Mujeres</v>
      </c>
      <c r="E359" s="18">
        <v>270102008</v>
      </c>
      <c r="F359" s="13" t="str">
        <f t="shared" si="79"/>
        <v>Sentencias por delito de abuso sexual</v>
      </c>
      <c r="G359" s="55" t="str">
        <f t="shared" si="79"/>
        <v>Abuso Sexual</v>
      </c>
      <c r="H359" s="30" t="s">
        <v>19</v>
      </c>
      <c r="I359" s="31" t="s">
        <v>14</v>
      </c>
      <c r="J359" s="12" t="s">
        <v>15</v>
      </c>
      <c r="K359" s="12" t="s">
        <v>6148</v>
      </c>
      <c r="L359" s="12" t="str">
        <f t="shared" si="77"/>
        <v>Periodo 2013-2019</v>
      </c>
      <c r="M359" s="12" t="str">
        <f t="shared" si="77"/>
        <v>Número de sentencias</v>
      </c>
      <c r="N359" s="33" t="s">
        <v>5964</v>
      </c>
      <c r="O359" s="27" t="s">
        <v>6161</v>
      </c>
      <c r="P359" s="42" t="s">
        <v>6162</v>
      </c>
      <c r="Q359" s="14" t="str">
        <f t="shared" si="80"/>
        <v>Mapa de calor</v>
      </c>
      <c r="R359" s="77" t="s">
        <v>6152</v>
      </c>
      <c r="S359" s="67" t="s">
        <v>6736</v>
      </c>
      <c r="T359" s="65" t="s">
        <v>5906</v>
      </c>
      <c r="U359" s="24" t="s">
        <v>397</v>
      </c>
      <c r="V359" s="19" t="str">
        <f>+Ingresos_Historicos[[#This Row],[idcoleccion]]&amp;"-"&amp;Ingresos_Historicos[[#This Row],[id]]</f>
        <v>300-0349</v>
      </c>
      <c r="W359" s="19" t="e">
        <f>+VLOOKUP(Ingresos_Historicos[[#This Row],[Filtro URL]],Estructura!$X$4:$Y$366,2,0)</f>
        <v>#N/A</v>
      </c>
      <c r="X359" s="19" t="str">
        <f>+VLOOKUP(Ingresos_Historicos[[#This Row],[tema]],Estructura!$A$4:$C$18,3,0)</f>
        <v>T-306</v>
      </c>
      <c r="Y359" s="19" t="str">
        <f>+VLOOKUP(Ingresos_Historicos[[#This Row],[contenido]],Estructura!$E$4:$G$18,3,0)</f>
        <v>C-301</v>
      </c>
      <c r="Z359" s="19" t="str">
        <f>+VLOOKUP(Ingresos_Historicos[[#This Row],[Filtro Integrado]],Estructura!$M$4:$O$367,3,0)</f>
        <v>FI-302</v>
      </c>
      <c r="AA359" s="19" t="str">
        <f>+VLOOKUP(Ingresos_Historicos[[#This Row],[Muestra]],Estructura!$Q$4:$S$194,3,0)</f>
        <v>M-308</v>
      </c>
    </row>
    <row r="360" spans="1:27" ht="61.2" x14ac:dyDescent="0.3">
      <c r="A360" s="32" t="s">
        <v>746</v>
      </c>
      <c r="B360" s="12">
        <f t="shared" si="78"/>
        <v>300</v>
      </c>
      <c r="C360" s="13" t="str">
        <f t="shared" si="78"/>
        <v>Violencia contra la mujer</v>
      </c>
      <c r="D360" s="13" t="str">
        <f t="shared" si="78"/>
        <v>Mujeres</v>
      </c>
      <c r="E360" s="18">
        <v>270102009</v>
      </c>
      <c r="F360" s="13" t="str">
        <f t="shared" si="79"/>
        <v>Sentencias por delito de abuso sexual</v>
      </c>
      <c r="G360" s="55" t="str">
        <f t="shared" si="79"/>
        <v>Abuso Sexual</v>
      </c>
      <c r="H360" s="30" t="s">
        <v>19</v>
      </c>
      <c r="I360" s="31" t="s">
        <v>14</v>
      </c>
      <c r="J360" s="12" t="s">
        <v>15</v>
      </c>
      <c r="K360" s="12" t="s">
        <v>6148</v>
      </c>
      <c r="L360" s="12" t="str">
        <f t="shared" si="77"/>
        <v>Periodo 2013-2019</v>
      </c>
      <c r="M360" s="12" t="str">
        <f t="shared" si="77"/>
        <v>Número de sentencias</v>
      </c>
      <c r="N360" s="33" t="s">
        <v>5964</v>
      </c>
      <c r="O360" s="27" t="s">
        <v>6163</v>
      </c>
      <c r="P360" s="42" t="s">
        <v>6164</v>
      </c>
      <c r="Q360" s="14" t="str">
        <f t="shared" si="80"/>
        <v>Mapa de calor</v>
      </c>
      <c r="R360" s="77" t="s">
        <v>6152</v>
      </c>
      <c r="S360" s="67" t="s">
        <v>6737</v>
      </c>
      <c r="T360" s="65" t="s">
        <v>5906</v>
      </c>
      <c r="U360" s="24" t="s">
        <v>397</v>
      </c>
      <c r="V360" s="19" t="str">
        <f>+Ingresos_Historicos[[#This Row],[idcoleccion]]&amp;"-"&amp;Ingresos_Historicos[[#This Row],[id]]</f>
        <v>300-0350</v>
      </c>
      <c r="W360" s="19" t="e">
        <f>+VLOOKUP(Ingresos_Historicos[[#This Row],[Filtro URL]],Estructura!$X$4:$Y$366,2,0)</f>
        <v>#N/A</v>
      </c>
      <c r="X360" s="19" t="str">
        <f>+VLOOKUP(Ingresos_Historicos[[#This Row],[tema]],Estructura!$A$4:$C$18,3,0)</f>
        <v>T-306</v>
      </c>
      <c r="Y360" s="19" t="str">
        <f>+VLOOKUP(Ingresos_Historicos[[#This Row],[contenido]],Estructura!$E$4:$G$18,3,0)</f>
        <v>C-301</v>
      </c>
      <c r="Z360" s="19" t="str">
        <f>+VLOOKUP(Ingresos_Historicos[[#This Row],[Filtro Integrado]],Estructura!$M$4:$O$367,3,0)</f>
        <v>FI-302</v>
      </c>
      <c r="AA360" s="19" t="str">
        <f>+VLOOKUP(Ingresos_Historicos[[#This Row],[Muestra]],Estructura!$Q$4:$S$194,3,0)</f>
        <v>M-308</v>
      </c>
    </row>
    <row r="361" spans="1:27" ht="51" x14ac:dyDescent="0.3">
      <c r="A361" s="32" t="s">
        <v>747</v>
      </c>
      <c r="B361" s="12">
        <f t="shared" si="78"/>
        <v>300</v>
      </c>
      <c r="C361" s="13" t="str">
        <f t="shared" si="78"/>
        <v>Violencia contra la mujer</v>
      </c>
      <c r="D361" s="13" t="str">
        <f t="shared" si="78"/>
        <v>Mujeres</v>
      </c>
      <c r="E361" s="18">
        <v>270102010</v>
      </c>
      <c r="F361" s="13" t="str">
        <f t="shared" si="79"/>
        <v>Sentencias por delito de abuso sexual</v>
      </c>
      <c r="G361" s="55" t="str">
        <f t="shared" si="79"/>
        <v>Abuso Sexual</v>
      </c>
      <c r="H361" s="30" t="s">
        <v>19</v>
      </c>
      <c r="I361" s="31" t="s">
        <v>14</v>
      </c>
      <c r="J361" s="12" t="s">
        <v>15</v>
      </c>
      <c r="K361" s="12" t="s">
        <v>6148</v>
      </c>
      <c r="L361" s="12" t="str">
        <f t="shared" si="77"/>
        <v>Periodo 2013-2019</v>
      </c>
      <c r="M361" s="12" t="str">
        <f t="shared" si="77"/>
        <v>Número de sentencias</v>
      </c>
      <c r="N361" s="33" t="s">
        <v>5964</v>
      </c>
      <c r="O361" s="27" t="s">
        <v>6165</v>
      </c>
      <c r="P361" s="42" t="s">
        <v>6166</v>
      </c>
      <c r="Q361" s="14" t="str">
        <f t="shared" si="80"/>
        <v>Mapa de calor</v>
      </c>
      <c r="R361" s="77" t="s">
        <v>6152</v>
      </c>
      <c r="S361" s="67" t="s">
        <v>6738</v>
      </c>
      <c r="T361" s="65" t="s">
        <v>5906</v>
      </c>
      <c r="U361" s="24" t="s">
        <v>397</v>
      </c>
      <c r="V361" s="19" t="str">
        <f>+Ingresos_Historicos[[#This Row],[idcoleccion]]&amp;"-"&amp;Ingresos_Historicos[[#This Row],[id]]</f>
        <v>300-0351</v>
      </c>
      <c r="W361" s="19" t="e">
        <f>+VLOOKUP(Ingresos_Historicos[[#This Row],[Filtro URL]],Estructura!$X$4:$Y$366,2,0)</f>
        <v>#N/A</v>
      </c>
      <c r="X361" s="19" t="str">
        <f>+VLOOKUP(Ingresos_Historicos[[#This Row],[tema]],Estructura!$A$4:$C$18,3,0)</f>
        <v>T-306</v>
      </c>
      <c r="Y361" s="19" t="str">
        <f>+VLOOKUP(Ingresos_Historicos[[#This Row],[contenido]],Estructura!$E$4:$G$18,3,0)</f>
        <v>C-301</v>
      </c>
      <c r="Z361" s="19" t="str">
        <f>+VLOOKUP(Ingresos_Historicos[[#This Row],[Filtro Integrado]],Estructura!$M$4:$O$367,3,0)</f>
        <v>FI-302</v>
      </c>
      <c r="AA361" s="19" t="str">
        <f>+VLOOKUP(Ingresos_Historicos[[#This Row],[Muestra]],Estructura!$Q$4:$S$194,3,0)</f>
        <v>M-308</v>
      </c>
    </row>
    <row r="362" spans="1:27" ht="61.2" x14ac:dyDescent="0.3">
      <c r="A362" s="32" t="s">
        <v>748</v>
      </c>
      <c r="B362" s="12">
        <f t="shared" si="78"/>
        <v>300</v>
      </c>
      <c r="C362" s="13" t="str">
        <f t="shared" si="78"/>
        <v>Violencia contra la mujer</v>
      </c>
      <c r="D362" s="13" t="str">
        <f t="shared" si="78"/>
        <v>Mujeres</v>
      </c>
      <c r="E362" s="18">
        <v>270102016</v>
      </c>
      <c r="F362" s="13" t="str">
        <f t="shared" si="79"/>
        <v>Sentencias por delito de abuso sexual</v>
      </c>
      <c r="G362" s="55" t="str">
        <f t="shared" si="79"/>
        <v>Abuso Sexual</v>
      </c>
      <c r="H362" s="30" t="s">
        <v>19</v>
      </c>
      <c r="I362" s="31" t="s">
        <v>14</v>
      </c>
      <c r="J362" s="12" t="s">
        <v>15</v>
      </c>
      <c r="K362" s="12" t="s">
        <v>6148</v>
      </c>
      <c r="L362" s="12" t="str">
        <f t="shared" si="77"/>
        <v>Periodo 2013-2019</v>
      </c>
      <c r="M362" s="12" t="str">
        <f t="shared" si="77"/>
        <v>Número de sentencias</v>
      </c>
      <c r="N362" s="33" t="s">
        <v>5964</v>
      </c>
      <c r="O362" s="27" t="s">
        <v>6167</v>
      </c>
      <c r="P362" s="42" t="s">
        <v>6168</v>
      </c>
      <c r="Q362" s="14" t="str">
        <f t="shared" si="80"/>
        <v>Mapa de calor</v>
      </c>
      <c r="R362" s="77" t="s">
        <v>6152</v>
      </c>
      <c r="S362" s="67" t="s">
        <v>6739</v>
      </c>
      <c r="T362" s="65" t="s">
        <v>5906</v>
      </c>
      <c r="U362" s="24" t="s">
        <v>397</v>
      </c>
      <c r="V362" s="19" t="str">
        <f>+Ingresos_Historicos[[#This Row],[idcoleccion]]&amp;"-"&amp;Ingresos_Historicos[[#This Row],[id]]</f>
        <v>300-0352</v>
      </c>
      <c r="W362" s="19" t="e">
        <f>+VLOOKUP(Ingresos_Historicos[[#This Row],[Filtro URL]],Estructura!$X$4:$Y$366,2,0)</f>
        <v>#N/A</v>
      </c>
      <c r="X362" s="19" t="str">
        <f>+VLOOKUP(Ingresos_Historicos[[#This Row],[tema]],Estructura!$A$4:$C$18,3,0)</f>
        <v>T-306</v>
      </c>
      <c r="Y362" s="19" t="str">
        <f>+VLOOKUP(Ingresos_Historicos[[#This Row],[contenido]],Estructura!$E$4:$G$18,3,0)</f>
        <v>C-301</v>
      </c>
      <c r="Z362" s="19" t="str">
        <f>+VLOOKUP(Ingresos_Historicos[[#This Row],[Filtro Integrado]],Estructura!$M$4:$O$367,3,0)</f>
        <v>FI-302</v>
      </c>
      <c r="AA362" s="19" t="str">
        <f>+VLOOKUP(Ingresos_Historicos[[#This Row],[Muestra]],Estructura!$Q$4:$S$194,3,0)</f>
        <v>M-308</v>
      </c>
    </row>
    <row r="363" spans="1:27" ht="61.2" x14ac:dyDescent="0.3">
      <c r="A363" s="32" t="s">
        <v>749</v>
      </c>
      <c r="B363" s="12">
        <f t="shared" si="78"/>
        <v>300</v>
      </c>
      <c r="C363" s="13" t="str">
        <f t="shared" si="78"/>
        <v>Violencia contra la mujer</v>
      </c>
      <c r="D363" s="13" t="str">
        <f t="shared" si="78"/>
        <v>Mujeres</v>
      </c>
      <c r="E363" s="18">
        <v>270102005</v>
      </c>
      <c r="F363" s="13" t="str">
        <f t="shared" si="79"/>
        <v>Sentencias por delito de abuso sexual</v>
      </c>
      <c r="G363" s="55" t="str">
        <f t="shared" si="79"/>
        <v>Abuso Sexual</v>
      </c>
      <c r="H363" s="30" t="s">
        <v>19</v>
      </c>
      <c r="I363" s="31" t="s">
        <v>14</v>
      </c>
      <c r="J363" s="12" t="s">
        <v>15</v>
      </c>
      <c r="K363" s="12" t="s">
        <v>6169</v>
      </c>
      <c r="L363" s="12" t="s">
        <v>6170</v>
      </c>
      <c r="M363" s="12" t="str">
        <f t="shared" si="77"/>
        <v>Número de sentencias</v>
      </c>
      <c r="N363" s="33" t="s">
        <v>5964</v>
      </c>
      <c r="O363" s="68" t="s">
        <v>6171</v>
      </c>
      <c r="P363" s="42" t="s">
        <v>6172</v>
      </c>
      <c r="Q363" s="14" t="str">
        <f t="shared" si="80"/>
        <v>Mapa de calor</v>
      </c>
      <c r="R363" s="77" t="s">
        <v>6152</v>
      </c>
      <c r="S363" s="67" t="s">
        <v>6740</v>
      </c>
      <c r="T363" s="65" t="s">
        <v>5906</v>
      </c>
      <c r="U363" s="24" t="s">
        <v>397</v>
      </c>
      <c r="V363" s="19" t="str">
        <f>+Ingresos_Historicos[[#This Row],[idcoleccion]]&amp;"-"&amp;Ingresos_Historicos[[#This Row],[id]]</f>
        <v>300-0353</v>
      </c>
      <c r="W363" s="19" t="e">
        <f>+VLOOKUP(Ingresos_Historicos[[#This Row],[Filtro URL]],Estructura!$X$4:$Y$366,2,0)</f>
        <v>#N/A</v>
      </c>
      <c r="X363" s="19" t="str">
        <f>+VLOOKUP(Ingresos_Historicos[[#This Row],[tema]],Estructura!$A$4:$C$18,3,0)</f>
        <v>T-306</v>
      </c>
      <c r="Y363" s="19" t="str">
        <f>+VLOOKUP(Ingresos_Historicos[[#This Row],[contenido]],Estructura!$E$4:$G$18,3,0)</f>
        <v>C-301</v>
      </c>
      <c r="Z363" s="19" t="str">
        <f>+VLOOKUP(Ingresos_Historicos[[#This Row],[Filtro Integrado]],Estructura!$M$4:$O$367,3,0)</f>
        <v>FI-302</v>
      </c>
      <c r="AA363" s="19" t="str">
        <f>+VLOOKUP(Ingresos_Historicos[[#This Row],[Muestra]],Estructura!$Q$4:$S$194,3,0)</f>
        <v>M-309</v>
      </c>
    </row>
    <row r="364" spans="1:27" ht="61.2" x14ac:dyDescent="0.3">
      <c r="A364" s="32" t="s">
        <v>750</v>
      </c>
      <c r="B364" s="12">
        <f t="shared" si="78"/>
        <v>300</v>
      </c>
      <c r="C364" s="13" t="str">
        <f t="shared" si="78"/>
        <v>Violencia contra la mujer</v>
      </c>
      <c r="D364" s="13" t="str">
        <f t="shared" si="78"/>
        <v>Mujeres</v>
      </c>
      <c r="E364" s="18">
        <v>270102006</v>
      </c>
      <c r="F364" s="13" t="str">
        <f t="shared" si="79"/>
        <v>Sentencias por delito de abuso sexual</v>
      </c>
      <c r="G364" s="55" t="str">
        <f t="shared" si="79"/>
        <v>Abuso Sexual</v>
      </c>
      <c r="H364" s="30" t="s">
        <v>19</v>
      </c>
      <c r="I364" s="31" t="s">
        <v>14</v>
      </c>
      <c r="J364" s="12" t="s">
        <v>15</v>
      </c>
      <c r="K364" s="12" t="s">
        <v>6169</v>
      </c>
      <c r="L364" s="12" t="str">
        <f t="shared" ref="L364:M369" si="81">+L363</f>
        <v>Año 2019</v>
      </c>
      <c r="M364" s="12" t="str">
        <f t="shared" si="81"/>
        <v>Número de sentencias</v>
      </c>
      <c r="N364" s="33" t="s">
        <v>5964</v>
      </c>
      <c r="O364" s="27" t="s">
        <v>6173</v>
      </c>
      <c r="P364" s="42" t="s">
        <v>6174</v>
      </c>
      <c r="Q364" s="14" t="str">
        <f t="shared" si="80"/>
        <v>Mapa de calor</v>
      </c>
      <c r="R364" s="77" t="s">
        <v>6152</v>
      </c>
      <c r="S364" s="67" t="s">
        <v>6741</v>
      </c>
      <c r="T364" s="65" t="s">
        <v>5906</v>
      </c>
      <c r="U364" s="24" t="s">
        <v>397</v>
      </c>
      <c r="V364" s="19" t="str">
        <f>+Ingresos_Historicos[[#This Row],[idcoleccion]]&amp;"-"&amp;Ingresos_Historicos[[#This Row],[id]]</f>
        <v>300-0354</v>
      </c>
      <c r="W364" s="19" t="e">
        <f>+VLOOKUP(Ingresos_Historicos[[#This Row],[Filtro URL]],Estructura!$X$4:$Y$366,2,0)</f>
        <v>#N/A</v>
      </c>
      <c r="X364" s="19" t="str">
        <f>+VLOOKUP(Ingresos_Historicos[[#This Row],[tema]],Estructura!$A$4:$C$18,3,0)</f>
        <v>T-306</v>
      </c>
      <c r="Y364" s="19" t="str">
        <f>+VLOOKUP(Ingresos_Historicos[[#This Row],[contenido]],Estructura!$E$4:$G$18,3,0)</f>
        <v>C-301</v>
      </c>
      <c r="Z364" s="19" t="str">
        <f>+VLOOKUP(Ingresos_Historicos[[#This Row],[Filtro Integrado]],Estructura!$M$4:$O$367,3,0)</f>
        <v>FI-302</v>
      </c>
      <c r="AA364" s="19" t="str">
        <f>+VLOOKUP(Ingresos_Historicos[[#This Row],[Muestra]],Estructura!$Q$4:$S$194,3,0)</f>
        <v>M-309</v>
      </c>
    </row>
    <row r="365" spans="1:27" ht="61.2" x14ac:dyDescent="0.3">
      <c r="A365" s="32" t="s">
        <v>751</v>
      </c>
      <c r="B365" s="12">
        <f t="shared" si="78"/>
        <v>300</v>
      </c>
      <c r="C365" s="13" t="str">
        <f t="shared" si="78"/>
        <v>Violencia contra la mujer</v>
      </c>
      <c r="D365" s="13" t="str">
        <f t="shared" si="78"/>
        <v>Mujeres</v>
      </c>
      <c r="E365" s="18">
        <v>270102007</v>
      </c>
      <c r="F365" s="13" t="str">
        <f t="shared" si="79"/>
        <v>Sentencias por delito de abuso sexual</v>
      </c>
      <c r="G365" s="55" t="str">
        <f t="shared" si="79"/>
        <v>Abuso Sexual</v>
      </c>
      <c r="H365" s="30" t="s">
        <v>19</v>
      </c>
      <c r="I365" s="31" t="s">
        <v>14</v>
      </c>
      <c r="J365" s="12" t="s">
        <v>15</v>
      </c>
      <c r="K365" s="12" t="s">
        <v>6169</v>
      </c>
      <c r="L365" s="12" t="str">
        <f t="shared" si="81"/>
        <v>Año 2019</v>
      </c>
      <c r="M365" s="12" t="str">
        <f t="shared" si="81"/>
        <v>Número de sentencias</v>
      </c>
      <c r="N365" s="33" t="s">
        <v>5964</v>
      </c>
      <c r="O365" s="27" t="s">
        <v>6175</v>
      </c>
      <c r="P365" s="42" t="s">
        <v>6176</v>
      </c>
      <c r="Q365" s="14" t="str">
        <f t="shared" si="80"/>
        <v>Mapa de calor</v>
      </c>
      <c r="R365" s="77" t="s">
        <v>6152</v>
      </c>
      <c r="S365" s="67" t="s">
        <v>6742</v>
      </c>
      <c r="T365" s="65" t="s">
        <v>5906</v>
      </c>
      <c r="U365" s="24" t="s">
        <v>397</v>
      </c>
      <c r="V365" s="19" t="str">
        <f>+Ingresos_Historicos[[#This Row],[idcoleccion]]&amp;"-"&amp;Ingresos_Historicos[[#This Row],[id]]</f>
        <v>300-0355</v>
      </c>
      <c r="W365" s="19" t="e">
        <f>+VLOOKUP(Ingresos_Historicos[[#This Row],[Filtro URL]],Estructura!$X$4:$Y$366,2,0)</f>
        <v>#N/A</v>
      </c>
      <c r="X365" s="19" t="str">
        <f>+VLOOKUP(Ingresos_Historicos[[#This Row],[tema]],Estructura!$A$4:$C$18,3,0)</f>
        <v>T-306</v>
      </c>
      <c r="Y365" s="19" t="str">
        <f>+VLOOKUP(Ingresos_Historicos[[#This Row],[contenido]],Estructura!$E$4:$G$18,3,0)</f>
        <v>C-301</v>
      </c>
      <c r="Z365" s="19" t="str">
        <f>+VLOOKUP(Ingresos_Historicos[[#This Row],[Filtro Integrado]],Estructura!$M$4:$O$367,3,0)</f>
        <v>FI-302</v>
      </c>
      <c r="AA365" s="19" t="str">
        <f>+VLOOKUP(Ingresos_Historicos[[#This Row],[Muestra]],Estructura!$Q$4:$S$194,3,0)</f>
        <v>M-309</v>
      </c>
    </row>
    <row r="366" spans="1:27" ht="61.2" x14ac:dyDescent="0.3">
      <c r="A366" s="32" t="s">
        <v>752</v>
      </c>
      <c r="B366" s="12">
        <f t="shared" si="78"/>
        <v>300</v>
      </c>
      <c r="C366" s="13" t="str">
        <f t="shared" si="78"/>
        <v>Violencia contra la mujer</v>
      </c>
      <c r="D366" s="13" t="str">
        <f t="shared" si="78"/>
        <v>Mujeres</v>
      </c>
      <c r="E366" s="18">
        <v>270102008</v>
      </c>
      <c r="F366" s="13" t="str">
        <f t="shared" si="79"/>
        <v>Sentencias por delito de abuso sexual</v>
      </c>
      <c r="G366" s="55" t="str">
        <f t="shared" si="79"/>
        <v>Abuso Sexual</v>
      </c>
      <c r="H366" s="30" t="s">
        <v>19</v>
      </c>
      <c r="I366" s="31" t="s">
        <v>14</v>
      </c>
      <c r="J366" s="12" t="s">
        <v>15</v>
      </c>
      <c r="K366" s="12" t="s">
        <v>6169</v>
      </c>
      <c r="L366" s="12" t="str">
        <f t="shared" si="81"/>
        <v>Año 2019</v>
      </c>
      <c r="M366" s="12" t="str">
        <f t="shared" si="81"/>
        <v>Número de sentencias</v>
      </c>
      <c r="N366" s="33" t="s">
        <v>5964</v>
      </c>
      <c r="O366" s="27" t="s">
        <v>6177</v>
      </c>
      <c r="P366" s="42" t="s">
        <v>6178</v>
      </c>
      <c r="Q366" s="14" t="str">
        <f t="shared" si="80"/>
        <v>Mapa de calor</v>
      </c>
      <c r="R366" s="77" t="s">
        <v>6152</v>
      </c>
      <c r="S366" s="67" t="s">
        <v>6743</v>
      </c>
      <c r="T366" s="65" t="s">
        <v>5906</v>
      </c>
      <c r="U366" s="24" t="s">
        <v>397</v>
      </c>
      <c r="V366" s="19" t="str">
        <f>+Ingresos_Historicos[[#This Row],[idcoleccion]]&amp;"-"&amp;Ingresos_Historicos[[#This Row],[id]]</f>
        <v>300-0356</v>
      </c>
      <c r="W366" s="19" t="e">
        <f>+VLOOKUP(Ingresos_Historicos[[#This Row],[Filtro URL]],Estructura!$X$4:$Y$366,2,0)</f>
        <v>#N/A</v>
      </c>
      <c r="X366" s="19" t="str">
        <f>+VLOOKUP(Ingresos_Historicos[[#This Row],[tema]],Estructura!$A$4:$C$18,3,0)</f>
        <v>T-306</v>
      </c>
      <c r="Y366" s="19" t="str">
        <f>+VLOOKUP(Ingresos_Historicos[[#This Row],[contenido]],Estructura!$E$4:$G$18,3,0)</f>
        <v>C-301</v>
      </c>
      <c r="Z366" s="19" t="str">
        <f>+VLOOKUP(Ingresos_Historicos[[#This Row],[Filtro Integrado]],Estructura!$M$4:$O$367,3,0)</f>
        <v>FI-302</v>
      </c>
      <c r="AA366" s="19" t="str">
        <f>+VLOOKUP(Ingresos_Historicos[[#This Row],[Muestra]],Estructura!$Q$4:$S$194,3,0)</f>
        <v>M-309</v>
      </c>
    </row>
    <row r="367" spans="1:27" ht="61.2" x14ac:dyDescent="0.3">
      <c r="A367" s="32" t="s">
        <v>753</v>
      </c>
      <c r="B367" s="12">
        <f t="shared" ref="B367:D371" si="82">+B366</f>
        <v>300</v>
      </c>
      <c r="C367" s="13" t="str">
        <f t="shared" si="82"/>
        <v>Violencia contra la mujer</v>
      </c>
      <c r="D367" s="13" t="str">
        <f t="shared" si="82"/>
        <v>Mujeres</v>
      </c>
      <c r="E367" s="18">
        <v>270102009</v>
      </c>
      <c r="F367" s="13" t="str">
        <f t="shared" si="79"/>
        <v>Sentencias por delito de abuso sexual</v>
      </c>
      <c r="G367" s="55" t="str">
        <f t="shared" si="79"/>
        <v>Abuso Sexual</v>
      </c>
      <c r="H367" s="30" t="s">
        <v>19</v>
      </c>
      <c r="I367" s="31" t="s">
        <v>14</v>
      </c>
      <c r="J367" s="12" t="s">
        <v>15</v>
      </c>
      <c r="K367" s="12" t="s">
        <v>6169</v>
      </c>
      <c r="L367" s="12" t="str">
        <f t="shared" si="81"/>
        <v>Año 2019</v>
      </c>
      <c r="M367" s="12" t="str">
        <f t="shared" si="81"/>
        <v>Número de sentencias</v>
      </c>
      <c r="N367" s="33" t="s">
        <v>5964</v>
      </c>
      <c r="O367" s="27" t="s">
        <v>6179</v>
      </c>
      <c r="P367" s="42" t="s">
        <v>6180</v>
      </c>
      <c r="Q367" s="14" t="str">
        <f t="shared" si="80"/>
        <v>Mapa de calor</v>
      </c>
      <c r="R367" s="77" t="s">
        <v>6152</v>
      </c>
      <c r="S367" s="67" t="s">
        <v>6744</v>
      </c>
      <c r="T367" s="65" t="s">
        <v>5906</v>
      </c>
      <c r="U367" s="24" t="s">
        <v>397</v>
      </c>
      <c r="V367" s="19" t="str">
        <f>+Ingresos_Historicos[[#This Row],[idcoleccion]]&amp;"-"&amp;Ingresos_Historicos[[#This Row],[id]]</f>
        <v>300-0357</v>
      </c>
      <c r="W367" s="19" t="e">
        <f>+VLOOKUP(Ingresos_Historicos[[#This Row],[Filtro URL]],Estructura!$X$4:$Y$366,2,0)</f>
        <v>#N/A</v>
      </c>
      <c r="X367" s="19" t="str">
        <f>+VLOOKUP(Ingresos_Historicos[[#This Row],[tema]],Estructura!$A$4:$C$18,3,0)</f>
        <v>T-306</v>
      </c>
      <c r="Y367" s="19" t="str">
        <f>+VLOOKUP(Ingresos_Historicos[[#This Row],[contenido]],Estructura!$E$4:$G$18,3,0)</f>
        <v>C-301</v>
      </c>
      <c r="Z367" s="19" t="str">
        <f>+VLOOKUP(Ingresos_Historicos[[#This Row],[Filtro Integrado]],Estructura!$M$4:$O$367,3,0)</f>
        <v>FI-302</v>
      </c>
      <c r="AA367" s="19" t="str">
        <f>+VLOOKUP(Ingresos_Historicos[[#This Row],[Muestra]],Estructura!$Q$4:$S$194,3,0)</f>
        <v>M-309</v>
      </c>
    </row>
    <row r="368" spans="1:27" ht="51" x14ac:dyDescent="0.3">
      <c r="A368" s="32" t="s">
        <v>754</v>
      </c>
      <c r="B368" s="12">
        <f t="shared" si="82"/>
        <v>300</v>
      </c>
      <c r="C368" s="13" t="str">
        <f t="shared" si="82"/>
        <v>Violencia contra la mujer</v>
      </c>
      <c r="D368" s="13" t="str">
        <f t="shared" si="82"/>
        <v>Mujeres</v>
      </c>
      <c r="E368" s="18">
        <v>270102010</v>
      </c>
      <c r="F368" s="13" t="str">
        <f t="shared" si="79"/>
        <v>Sentencias por delito de abuso sexual</v>
      </c>
      <c r="G368" s="55" t="str">
        <f t="shared" si="79"/>
        <v>Abuso Sexual</v>
      </c>
      <c r="H368" s="30" t="s">
        <v>19</v>
      </c>
      <c r="I368" s="31" t="s">
        <v>14</v>
      </c>
      <c r="J368" s="12" t="s">
        <v>15</v>
      </c>
      <c r="K368" s="12" t="s">
        <v>6169</v>
      </c>
      <c r="L368" s="12" t="str">
        <f t="shared" si="81"/>
        <v>Año 2019</v>
      </c>
      <c r="M368" s="12" t="str">
        <f t="shared" si="81"/>
        <v>Número de sentencias</v>
      </c>
      <c r="N368" s="33" t="s">
        <v>5964</v>
      </c>
      <c r="O368" s="27" t="s">
        <v>6181</v>
      </c>
      <c r="P368" s="42" t="s">
        <v>6182</v>
      </c>
      <c r="Q368" s="14" t="str">
        <f t="shared" si="80"/>
        <v>Mapa de calor</v>
      </c>
      <c r="R368" s="77" t="s">
        <v>6152</v>
      </c>
      <c r="S368" s="67" t="s">
        <v>6745</v>
      </c>
      <c r="T368" s="65" t="s">
        <v>5906</v>
      </c>
      <c r="U368" s="24" t="s">
        <v>397</v>
      </c>
      <c r="V368" s="19" t="str">
        <f>+Ingresos_Historicos[[#This Row],[idcoleccion]]&amp;"-"&amp;Ingresos_Historicos[[#This Row],[id]]</f>
        <v>300-0358</v>
      </c>
      <c r="W368" s="19" t="e">
        <f>+VLOOKUP(Ingresos_Historicos[[#This Row],[Filtro URL]],Estructura!$X$4:$Y$366,2,0)</f>
        <v>#N/A</v>
      </c>
      <c r="X368" s="19" t="str">
        <f>+VLOOKUP(Ingresos_Historicos[[#This Row],[tema]],Estructura!$A$4:$C$18,3,0)</f>
        <v>T-306</v>
      </c>
      <c r="Y368" s="19" t="str">
        <f>+VLOOKUP(Ingresos_Historicos[[#This Row],[contenido]],Estructura!$E$4:$G$18,3,0)</f>
        <v>C-301</v>
      </c>
      <c r="Z368" s="19" t="str">
        <f>+VLOOKUP(Ingresos_Historicos[[#This Row],[Filtro Integrado]],Estructura!$M$4:$O$367,3,0)</f>
        <v>FI-302</v>
      </c>
      <c r="AA368" s="19" t="str">
        <f>+VLOOKUP(Ingresos_Historicos[[#This Row],[Muestra]],Estructura!$Q$4:$S$194,3,0)</f>
        <v>M-309</v>
      </c>
    </row>
    <row r="369" spans="1:27" ht="61.2" x14ac:dyDescent="0.3">
      <c r="A369" s="32" t="s">
        <v>755</v>
      </c>
      <c r="B369" s="12">
        <f t="shared" si="82"/>
        <v>300</v>
      </c>
      <c r="C369" s="13" t="str">
        <f t="shared" si="82"/>
        <v>Violencia contra la mujer</v>
      </c>
      <c r="D369" s="13" t="str">
        <f t="shared" si="82"/>
        <v>Mujeres</v>
      </c>
      <c r="E369" s="18">
        <v>270102016</v>
      </c>
      <c r="F369" s="13" t="str">
        <f t="shared" ref="F369:G369" si="83">+F368</f>
        <v>Sentencias por delito de abuso sexual</v>
      </c>
      <c r="G369" s="55" t="str">
        <f t="shared" si="83"/>
        <v>Abuso Sexual</v>
      </c>
      <c r="H369" s="30" t="s">
        <v>19</v>
      </c>
      <c r="I369" s="31" t="s">
        <v>14</v>
      </c>
      <c r="J369" s="12" t="s">
        <v>15</v>
      </c>
      <c r="K369" s="12" t="s">
        <v>6169</v>
      </c>
      <c r="L369" s="12" t="str">
        <f t="shared" si="81"/>
        <v>Año 2019</v>
      </c>
      <c r="M369" s="12" t="str">
        <f t="shared" si="81"/>
        <v>Número de sentencias</v>
      </c>
      <c r="N369" s="33" t="s">
        <v>5964</v>
      </c>
      <c r="O369" s="72" t="s">
        <v>6183</v>
      </c>
      <c r="P369" s="42" t="s">
        <v>6184</v>
      </c>
      <c r="Q369" s="14" t="str">
        <f t="shared" si="80"/>
        <v>Mapa de calor</v>
      </c>
      <c r="R369" s="77" t="s">
        <v>6152</v>
      </c>
      <c r="S369" s="67" t="s">
        <v>6746</v>
      </c>
      <c r="T369" s="65" t="s">
        <v>5906</v>
      </c>
      <c r="U369" s="24" t="s">
        <v>397</v>
      </c>
      <c r="V369" s="19" t="str">
        <f>+Ingresos_Historicos[[#This Row],[idcoleccion]]&amp;"-"&amp;Ingresos_Historicos[[#This Row],[id]]</f>
        <v>300-0359</v>
      </c>
      <c r="W369" s="19" t="e">
        <f>+VLOOKUP(Ingresos_Historicos[[#This Row],[Filtro URL]],Estructura!$X$4:$Y$366,2,0)</f>
        <v>#N/A</v>
      </c>
      <c r="X369" s="19" t="str">
        <f>+VLOOKUP(Ingresos_Historicos[[#This Row],[tema]],Estructura!$A$4:$C$18,3,0)</f>
        <v>T-306</v>
      </c>
      <c r="Y369" s="19" t="str">
        <f>+VLOOKUP(Ingresos_Historicos[[#This Row],[contenido]],Estructura!$E$4:$G$18,3,0)</f>
        <v>C-301</v>
      </c>
      <c r="Z369" s="19" t="str">
        <f>+VLOOKUP(Ingresos_Historicos[[#This Row],[Filtro Integrado]],Estructura!$M$4:$O$367,3,0)</f>
        <v>FI-302</v>
      </c>
      <c r="AA369" s="19" t="str">
        <f>+VLOOKUP(Ingresos_Historicos[[#This Row],[Muestra]],Estructura!$Q$4:$S$194,3,0)</f>
        <v>M-309</v>
      </c>
    </row>
    <row r="370" spans="1:27" ht="51" x14ac:dyDescent="0.3">
      <c r="A370" s="32" t="s">
        <v>756</v>
      </c>
      <c r="B370" s="12">
        <f t="shared" si="82"/>
        <v>300</v>
      </c>
      <c r="C370" s="13" t="str">
        <f t="shared" si="82"/>
        <v>Violencia contra la mujer</v>
      </c>
      <c r="D370" s="13" t="str">
        <f t="shared" si="82"/>
        <v>Mujeres</v>
      </c>
      <c r="E370" s="18" t="s">
        <v>6185</v>
      </c>
      <c r="F370" s="13" t="str">
        <f>+F369</f>
        <v>Sentencias por delito de abuso sexual</v>
      </c>
      <c r="G370" s="55" t="str">
        <f>+G369</f>
        <v>Abuso Sexual</v>
      </c>
      <c r="H370" s="30" t="s">
        <v>19</v>
      </c>
      <c r="I370" s="31" t="s">
        <v>14</v>
      </c>
      <c r="J370" s="12" t="s">
        <v>15</v>
      </c>
      <c r="K370" s="12" t="s">
        <v>6148</v>
      </c>
      <c r="L370" s="12" t="s">
        <v>5962</v>
      </c>
      <c r="M370" s="12" t="s">
        <v>5963</v>
      </c>
      <c r="N370" s="33" t="s">
        <v>5964</v>
      </c>
      <c r="O370" s="72" t="s">
        <v>6186</v>
      </c>
      <c r="P370" s="42" t="s">
        <v>6187</v>
      </c>
      <c r="Q370" s="14" t="str">
        <f t="shared" si="80"/>
        <v>Mapa de calor</v>
      </c>
      <c r="R370" s="77" t="s">
        <v>6152</v>
      </c>
      <c r="S370" s="15" t="s">
        <v>6747</v>
      </c>
      <c r="T370" s="65" t="s">
        <v>5906</v>
      </c>
      <c r="U370" s="24" t="s">
        <v>397</v>
      </c>
      <c r="V370" s="19" t="str">
        <f>+Ingresos_Historicos[[#This Row],[idcoleccion]]&amp;"-"&amp;Ingresos_Historicos[[#This Row],[id]]</f>
        <v>300-0360</v>
      </c>
      <c r="W370" s="19" t="e">
        <f>+VLOOKUP(Ingresos_Historicos[[#This Row],[Filtro URL]],Estructura!$X$4:$Y$366,2,0)</f>
        <v>#N/A</v>
      </c>
      <c r="X370" s="19" t="str">
        <f>+VLOOKUP(Ingresos_Historicos[[#This Row],[tema]],Estructura!$A$4:$C$18,3,0)</f>
        <v>T-306</v>
      </c>
      <c r="Y370" s="19" t="str">
        <f>+VLOOKUP(Ingresos_Historicos[[#This Row],[contenido]],Estructura!$E$4:$G$18,3,0)</f>
        <v>C-301</v>
      </c>
      <c r="Z370" s="19" t="str">
        <f>+VLOOKUP(Ingresos_Historicos[[#This Row],[Filtro Integrado]],Estructura!$M$4:$O$367,3,0)</f>
        <v>FI-302</v>
      </c>
      <c r="AA370" s="19" t="str">
        <f>+VLOOKUP(Ingresos_Historicos[[#This Row],[Muestra]],Estructura!$Q$4:$S$194,3,0)</f>
        <v>M-308</v>
      </c>
    </row>
    <row r="371" spans="1:27" ht="51" x14ac:dyDescent="0.3">
      <c r="A371" s="32" t="s">
        <v>757</v>
      </c>
      <c r="B371" s="56">
        <f t="shared" si="82"/>
        <v>300</v>
      </c>
      <c r="C371" s="57" t="str">
        <f t="shared" si="82"/>
        <v>Violencia contra la mujer</v>
      </c>
      <c r="D371" s="57" t="str">
        <f t="shared" si="82"/>
        <v>Mujeres</v>
      </c>
      <c r="E371" s="18" t="s">
        <v>6188</v>
      </c>
      <c r="F371" s="57" t="str">
        <f>+F370</f>
        <v>Sentencias por delito de abuso sexual</v>
      </c>
      <c r="G371" s="58" t="str">
        <f>+G370</f>
        <v>Abuso Sexual</v>
      </c>
      <c r="H371" s="30" t="s">
        <v>19</v>
      </c>
      <c r="I371" s="59" t="s">
        <v>14</v>
      </c>
      <c r="J371" s="56" t="s">
        <v>15</v>
      </c>
      <c r="K371" s="56" t="s">
        <v>6169</v>
      </c>
      <c r="L371" s="56" t="s">
        <v>6170</v>
      </c>
      <c r="M371" s="56" t="s">
        <v>5963</v>
      </c>
      <c r="N371" s="60" t="s">
        <v>5964</v>
      </c>
      <c r="O371" s="73" t="s">
        <v>6189</v>
      </c>
      <c r="P371" s="61" t="s">
        <v>6190</v>
      </c>
      <c r="Q371" s="62" t="str">
        <f t="shared" si="80"/>
        <v>Mapa de calor</v>
      </c>
      <c r="R371" s="78" t="s">
        <v>6152</v>
      </c>
      <c r="S371" s="70" t="s">
        <v>6748</v>
      </c>
      <c r="T371" s="66" t="s">
        <v>5906</v>
      </c>
      <c r="U371" s="24" t="s">
        <v>397</v>
      </c>
      <c r="V371" s="19" t="str">
        <f>+Ingresos_Historicos[[#This Row],[idcoleccion]]&amp;"-"&amp;Ingresos_Historicos[[#This Row],[id]]</f>
        <v>300-0361</v>
      </c>
      <c r="W371" s="19" t="e">
        <f>+VLOOKUP(Ingresos_Historicos[[#This Row],[Filtro URL]],Estructura!$X$4:$Y$366,2,0)</f>
        <v>#N/A</v>
      </c>
      <c r="X371" s="19" t="str">
        <f>+VLOOKUP(Ingresos_Historicos[[#This Row],[tema]],Estructura!$A$4:$C$18,3,0)</f>
        <v>T-306</v>
      </c>
      <c r="Y371" s="19" t="str">
        <f>+VLOOKUP(Ingresos_Historicos[[#This Row],[contenido]],Estructura!$E$4:$G$18,3,0)</f>
        <v>C-301</v>
      </c>
      <c r="Z371" s="19" t="str">
        <f>+VLOOKUP(Ingresos_Historicos[[#This Row],[Filtro Integrado]],Estructura!$M$4:$O$367,3,0)</f>
        <v>FI-302</v>
      </c>
      <c r="AA371" s="19" t="str">
        <f>+VLOOKUP(Ingresos_Historicos[[#This Row],[Muestra]],Estructura!$Q$4:$S$194,3,0)</f>
        <v>M-309</v>
      </c>
    </row>
    <row r="372" spans="1:27" ht="51" x14ac:dyDescent="0.3">
      <c r="A372" s="32" t="s">
        <v>758</v>
      </c>
      <c r="B372" s="12">
        <v>300</v>
      </c>
      <c r="C372" s="13" t="s">
        <v>5839</v>
      </c>
      <c r="D372" s="13" t="s">
        <v>5847</v>
      </c>
      <c r="E372" s="18">
        <v>270103</v>
      </c>
      <c r="F372" s="13" t="s">
        <v>7577</v>
      </c>
      <c r="G372" s="13" t="s">
        <v>7576</v>
      </c>
      <c r="H372" s="30" t="s">
        <v>19</v>
      </c>
      <c r="I372" s="31" t="s">
        <v>14</v>
      </c>
      <c r="J372" s="12" t="s">
        <v>398</v>
      </c>
      <c r="K372" s="12" t="s">
        <v>6191</v>
      </c>
      <c r="L372" s="75" t="s">
        <v>5962</v>
      </c>
      <c r="M372" s="12" t="s">
        <v>5963</v>
      </c>
      <c r="N372" s="33" t="s">
        <v>5964</v>
      </c>
      <c r="O372" s="72" t="s">
        <v>6192</v>
      </c>
      <c r="P372" s="42" t="s">
        <v>6193</v>
      </c>
      <c r="Q372" s="14" t="s">
        <v>5967</v>
      </c>
      <c r="R372" s="27" t="s">
        <v>6194</v>
      </c>
      <c r="S372" s="15" t="s">
        <v>6767</v>
      </c>
      <c r="T372" s="65" t="s">
        <v>5906</v>
      </c>
      <c r="U372" s="24" t="s">
        <v>397</v>
      </c>
      <c r="V372" s="19" t="str">
        <f>+Ingresos_Historicos[[#This Row],[idcoleccion]]&amp;"-"&amp;Ingresos_Historicos[[#This Row],[id]]</f>
        <v>300-0362</v>
      </c>
      <c r="W372" s="19" t="e">
        <f>+VLOOKUP(Ingresos_Historicos[[#This Row],[Filtro URL]],Estructura!$X$4:$Y$366,2,0)</f>
        <v>#N/A</v>
      </c>
      <c r="X372" s="19" t="str">
        <f>+VLOOKUP(Ingresos_Historicos[[#This Row],[tema]],Estructura!$A$4:$C$18,3,0)</f>
        <v>T-307</v>
      </c>
      <c r="Y372" s="19" t="str">
        <f>+VLOOKUP(Ingresos_Historicos[[#This Row],[contenido]],Estructura!$E$4:$G$18,3,0)</f>
        <v>C-303</v>
      </c>
      <c r="Z372" s="19" t="str">
        <f>+VLOOKUP(Ingresos_Historicos[[#This Row],[Filtro Integrado]],Estructura!$M$4:$O$367,3,0)</f>
        <v>FI-303</v>
      </c>
      <c r="AA372" s="19" t="str">
        <f>+VLOOKUP(Ingresos_Historicos[[#This Row],[Muestra]],Estructura!$Q$4:$S$194,3,0)</f>
        <v>M-310</v>
      </c>
    </row>
    <row r="373" spans="1:27" ht="51" x14ac:dyDescent="0.3">
      <c r="A373" s="32" t="s">
        <v>759</v>
      </c>
      <c r="B373" s="12">
        <f>+B372</f>
        <v>300</v>
      </c>
      <c r="C373" s="13" t="str">
        <f>+C372</f>
        <v>Violencia contra la mujer</v>
      </c>
      <c r="D373" s="13" t="str">
        <f>+D372</f>
        <v>Mujeres</v>
      </c>
      <c r="E373" s="18">
        <v>270104</v>
      </c>
      <c r="F373" s="13" t="s">
        <v>7579</v>
      </c>
      <c r="G373" s="13" t="s">
        <v>7576</v>
      </c>
      <c r="H373" s="30" t="s">
        <v>19</v>
      </c>
      <c r="I373" s="31" t="s">
        <v>14</v>
      </c>
      <c r="J373" s="12" t="s">
        <v>398</v>
      </c>
      <c r="K373" s="12" t="s">
        <v>6191</v>
      </c>
      <c r="L373" s="75" t="str">
        <f>+L372</f>
        <v>Periodo 2013-2019</v>
      </c>
      <c r="M373" s="12" t="str">
        <f>+M372</f>
        <v>Número de sentencias</v>
      </c>
      <c r="N373" s="33" t="s">
        <v>5964</v>
      </c>
      <c r="O373" s="72" t="s">
        <v>6195</v>
      </c>
      <c r="P373" s="42" t="s">
        <v>6196</v>
      </c>
      <c r="Q373" s="14" t="s">
        <v>5967</v>
      </c>
      <c r="R373" s="27" t="s">
        <v>6197</v>
      </c>
      <c r="S373" s="15" t="s">
        <v>6768</v>
      </c>
      <c r="T373" s="65" t="s">
        <v>5906</v>
      </c>
      <c r="U373" s="24" t="s">
        <v>397</v>
      </c>
      <c r="V373" s="19" t="str">
        <f>+Ingresos_Historicos[[#This Row],[idcoleccion]]&amp;"-"&amp;Ingresos_Historicos[[#This Row],[id]]</f>
        <v>300-0363</v>
      </c>
      <c r="W373" s="19" t="e">
        <f>+VLOOKUP(Ingresos_Historicos[[#This Row],[Filtro URL]],Estructura!$X$4:$Y$366,2,0)</f>
        <v>#N/A</v>
      </c>
      <c r="X373" s="19" t="str">
        <f>+VLOOKUP(Ingresos_Historicos[[#This Row],[tema]],Estructura!$A$4:$C$18,3,0)</f>
        <v>T-308</v>
      </c>
      <c r="Y373" s="19" t="str">
        <f>+VLOOKUP(Ingresos_Historicos[[#This Row],[contenido]],Estructura!$E$4:$G$18,3,0)</f>
        <v>C-303</v>
      </c>
      <c r="Z373" s="19" t="str">
        <f>+VLOOKUP(Ingresos_Historicos[[#This Row],[Filtro Integrado]],Estructura!$M$4:$O$367,3,0)</f>
        <v>FI-303</v>
      </c>
      <c r="AA373" s="19" t="str">
        <f>+VLOOKUP(Ingresos_Historicos[[#This Row],[Muestra]],Estructura!$Q$4:$S$194,3,0)</f>
        <v>M-310</v>
      </c>
    </row>
    <row r="374" spans="1:27" ht="51" x14ac:dyDescent="0.3">
      <c r="A374" s="32" t="s">
        <v>760</v>
      </c>
      <c r="B374" s="12">
        <f t="shared" ref="B374:D389" si="84">+B373</f>
        <v>300</v>
      </c>
      <c r="C374" s="13" t="str">
        <f t="shared" si="84"/>
        <v>Violencia contra la mujer</v>
      </c>
      <c r="D374" s="13" t="str">
        <f t="shared" si="84"/>
        <v>Mujeres</v>
      </c>
      <c r="E374" s="18">
        <v>270105</v>
      </c>
      <c r="F374" s="13" t="s">
        <v>7580</v>
      </c>
      <c r="G374" s="13" t="s">
        <v>7576</v>
      </c>
      <c r="H374" s="30" t="s">
        <v>19</v>
      </c>
      <c r="I374" s="31" t="s">
        <v>14</v>
      </c>
      <c r="J374" s="12" t="s">
        <v>398</v>
      </c>
      <c r="K374" s="12" t="s">
        <v>6191</v>
      </c>
      <c r="L374" s="75" t="str">
        <f t="shared" ref="L374:M389" si="85">+L373</f>
        <v>Periodo 2013-2019</v>
      </c>
      <c r="M374" s="12" t="str">
        <f t="shared" si="85"/>
        <v>Número de sentencias</v>
      </c>
      <c r="N374" s="33" t="s">
        <v>5964</v>
      </c>
      <c r="O374" s="72" t="s">
        <v>6198</v>
      </c>
      <c r="P374" s="42" t="s">
        <v>6199</v>
      </c>
      <c r="Q374" s="14" t="s">
        <v>5967</v>
      </c>
      <c r="R374" s="27" t="s">
        <v>6200</v>
      </c>
      <c r="S374" s="15" t="s">
        <v>6769</v>
      </c>
      <c r="T374" s="65" t="s">
        <v>5906</v>
      </c>
      <c r="U374" s="24" t="s">
        <v>397</v>
      </c>
      <c r="V374" s="19" t="str">
        <f>+Ingresos_Historicos[[#This Row],[idcoleccion]]&amp;"-"&amp;Ingresos_Historicos[[#This Row],[id]]</f>
        <v>300-0364</v>
      </c>
      <c r="W374" s="19" t="e">
        <f>+VLOOKUP(Ingresos_Historicos[[#This Row],[Filtro URL]],Estructura!$X$4:$Y$366,2,0)</f>
        <v>#N/A</v>
      </c>
      <c r="X374" s="19" t="str">
        <f>+VLOOKUP(Ingresos_Historicos[[#This Row],[tema]],Estructura!$A$4:$C$18,3,0)</f>
        <v>T-309</v>
      </c>
      <c r="Y374" s="19" t="str">
        <f>+VLOOKUP(Ingresos_Historicos[[#This Row],[contenido]],Estructura!$E$4:$G$18,3,0)</f>
        <v>C-303</v>
      </c>
      <c r="Z374" s="19" t="str">
        <f>+VLOOKUP(Ingresos_Historicos[[#This Row],[Filtro Integrado]],Estructura!$M$4:$O$367,3,0)</f>
        <v>FI-303</v>
      </c>
      <c r="AA374" s="19" t="str">
        <f>+VLOOKUP(Ingresos_Historicos[[#This Row],[Muestra]],Estructura!$Q$4:$S$194,3,0)</f>
        <v>M-310</v>
      </c>
    </row>
    <row r="375" spans="1:27" ht="81.599999999999994" x14ac:dyDescent="0.3">
      <c r="A375" s="32" t="s">
        <v>761</v>
      </c>
      <c r="B375" s="12">
        <f t="shared" si="84"/>
        <v>300</v>
      </c>
      <c r="C375" s="13" t="str">
        <f t="shared" si="84"/>
        <v>Violencia contra la mujer</v>
      </c>
      <c r="D375" s="13" t="str">
        <f t="shared" si="84"/>
        <v>Mujeres</v>
      </c>
      <c r="E375" s="26">
        <v>1</v>
      </c>
      <c r="F375" s="13" t="s">
        <v>7581</v>
      </c>
      <c r="G375" s="13" t="s">
        <v>7576</v>
      </c>
      <c r="H375" s="29" t="s">
        <v>15</v>
      </c>
      <c r="I375" s="28" t="s">
        <v>367</v>
      </c>
      <c r="J375" s="12" t="s">
        <v>398</v>
      </c>
      <c r="K375" s="12" t="s">
        <v>6191</v>
      </c>
      <c r="L375" s="75" t="str">
        <f t="shared" si="85"/>
        <v>Periodo 2013-2019</v>
      </c>
      <c r="M375" s="12" t="str">
        <f t="shared" si="85"/>
        <v>Número de sentencias</v>
      </c>
      <c r="N375" s="33" t="s">
        <v>5964</v>
      </c>
      <c r="O375" s="72" t="str">
        <f>"Sentencias Dictadas por Delitos Vinculados a la Mujer por Tipo de Delito en la "&amp;Ingresos_Historicos[[#This Row],[territorio]]&amp;" durante el Periodo 2013-2019"</f>
        <v>Sentencias Dictadas por Delitos Vinculados a la Mujer por Tipo de Delito en la Región de Tarapacá durante el Periodo 2013-2019</v>
      </c>
      <c r="P375" s="42" t="s">
        <v>6201</v>
      </c>
      <c r="Q375" s="14" t="s">
        <v>5967</v>
      </c>
      <c r="R375" s="27" t="s">
        <v>6202</v>
      </c>
      <c r="S375" s="15" t="s">
        <v>6770</v>
      </c>
      <c r="T375" s="65" t="s">
        <v>5922</v>
      </c>
      <c r="U375" s="24" t="s">
        <v>397</v>
      </c>
      <c r="V375" s="19" t="str">
        <f>+Ingresos_Historicos[[#This Row],[idcoleccion]]&amp;"-"&amp;Ingresos_Historicos[[#This Row],[id]]</f>
        <v>300-0365</v>
      </c>
      <c r="W375" s="19">
        <f>+VLOOKUP(Ingresos_Historicos[[#This Row],[Filtro URL]],Estructura!$X$4:$Y$366,2,0)</f>
        <v>30200001</v>
      </c>
      <c r="X375" s="19" t="str">
        <f>+VLOOKUP(Ingresos_Historicos[[#This Row],[tema]],Estructura!$A$4:$C$18,3,0)</f>
        <v>T-310</v>
      </c>
      <c r="Y375" s="19" t="str">
        <f>+VLOOKUP(Ingresos_Historicos[[#This Row],[contenido]],Estructura!$E$4:$G$18,3,0)</f>
        <v>C-303</v>
      </c>
      <c r="Z375" s="19" t="str">
        <f>+VLOOKUP(Ingresos_Historicos[[#This Row],[Filtro Integrado]],Estructura!$M$4:$O$367,3,0)</f>
        <v>FI-303</v>
      </c>
      <c r="AA375" s="19" t="str">
        <f>+VLOOKUP(Ingresos_Historicos[[#This Row],[Muestra]],Estructura!$Q$4:$S$194,3,0)</f>
        <v>M-310</v>
      </c>
    </row>
    <row r="376" spans="1:27" ht="81.599999999999994" x14ac:dyDescent="0.3">
      <c r="A376" s="71" t="s">
        <v>762</v>
      </c>
      <c r="B376" s="12">
        <f t="shared" si="84"/>
        <v>300</v>
      </c>
      <c r="C376" s="13" t="str">
        <f t="shared" si="84"/>
        <v>Violencia contra la mujer</v>
      </c>
      <c r="D376" s="13" t="str">
        <f t="shared" si="84"/>
        <v>Mujeres</v>
      </c>
      <c r="E376" s="26">
        <v>2</v>
      </c>
      <c r="F376" s="13" t="s">
        <v>7581</v>
      </c>
      <c r="G376" s="13" t="s">
        <v>7576</v>
      </c>
      <c r="H376" s="29" t="s">
        <v>15</v>
      </c>
      <c r="I376" s="28" t="s">
        <v>368</v>
      </c>
      <c r="J376" s="12" t="str">
        <f t="shared" ref="J376:M391" si="86">+J375</f>
        <v>Ninguno</v>
      </c>
      <c r="K376" s="12" t="str">
        <f t="shared" si="86"/>
        <v>Sentencias Dictadas por Delitos Vinculados a la Mujer</v>
      </c>
      <c r="L376" s="75" t="str">
        <f t="shared" si="85"/>
        <v>Periodo 2013-2019</v>
      </c>
      <c r="M376" s="12" t="str">
        <f t="shared" si="85"/>
        <v>Número de sentencias</v>
      </c>
      <c r="N376" s="33" t="s">
        <v>5964</v>
      </c>
      <c r="O376" s="72" t="str">
        <f>"Sentencias Dictadas por Delitos Vinculados a la Mujer por Tipo de Delito en la "&amp;Ingresos_Historicos[[#This Row],[territorio]]&amp;" durante el Periodo 2013-2019"</f>
        <v>Sentencias Dictadas por Delitos Vinculados a la Mujer por Tipo de Delito en la Región de Antofagasta durante el Periodo 2013-2019</v>
      </c>
      <c r="P376" s="42" t="s">
        <v>6203</v>
      </c>
      <c r="Q376" s="14" t="s">
        <v>5967</v>
      </c>
      <c r="R376" s="27" t="s">
        <v>6204</v>
      </c>
      <c r="S376" s="15" t="s">
        <v>6771</v>
      </c>
      <c r="T376" s="65" t="s">
        <v>5923</v>
      </c>
      <c r="U376" s="24" t="s">
        <v>397</v>
      </c>
      <c r="V376" s="19" t="str">
        <f>+Ingresos_Historicos[[#This Row],[idcoleccion]]&amp;"-"&amp;Ingresos_Historicos[[#This Row],[id]]</f>
        <v>300-0366</v>
      </c>
      <c r="W376" s="19">
        <f>+VLOOKUP(Ingresos_Historicos[[#This Row],[Filtro URL]],Estructura!$X$4:$Y$366,2,0)</f>
        <v>30200002</v>
      </c>
      <c r="X376" s="19" t="str">
        <f>+VLOOKUP(Ingresos_Historicos[[#This Row],[tema]],Estructura!$A$4:$C$18,3,0)</f>
        <v>T-310</v>
      </c>
      <c r="Y376" s="19" t="str">
        <f>+VLOOKUP(Ingresos_Historicos[[#This Row],[contenido]],Estructura!$E$4:$G$18,3,0)</f>
        <v>C-303</v>
      </c>
      <c r="Z376" s="19" t="str">
        <f>+VLOOKUP(Ingresos_Historicos[[#This Row],[Filtro Integrado]],Estructura!$M$4:$O$367,3,0)</f>
        <v>FI-303</v>
      </c>
      <c r="AA376" s="19" t="str">
        <f>+VLOOKUP(Ingresos_Historicos[[#This Row],[Muestra]],Estructura!$Q$4:$S$194,3,0)</f>
        <v>M-310</v>
      </c>
    </row>
    <row r="377" spans="1:27" ht="81.599999999999994" x14ac:dyDescent="0.3">
      <c r="A377" s="71" t="s">
        <v>763</v>
      </c>
      <c r="B377" s="12">
        <f t="shared" si="84"/>
        <v>300</v>
      </c>
      <c r="C377" s="13" t="str">
        <f t="shared" si="84"/>
        <v>Violencia contra la mujer</v>
      </c>
      <c r="D377" s="13" t="str">
        <f t="shared" si="84"/>
        <v>Mujeres</v>
      </c>
      <c r="E377" s="26">
        <v>3</v>
      </c>
      <c r="F377" s="13" t="s">
        <v>7581</v>
      </c>
      <c r="G377" s="13" t="s">
        <v>7576</v>
      </c>
      <c r="H377" s="29" t="s">
        <v>15</v>
      </c>
      <c r="I377" s="28" t="s">
        <v>369</v>
      </c>
      <c r="J377" s="12" t="str">
        <f t="shared" si="86"/>
        <v>Ninguno</v>
      </c>
      <c r="K377" s="12" t="str">
        <f t="shared" si="86"/>
        <v>Sentencias Dictadas por Delitos Vinculados a la Mujer</v>
      </c>
      <c r="L377" s="75" t="str">
        <f t="shared" si="85"/>
        <v>Periodo 2013-2019</v>
      </c>
      <c r="M377" s="12" t="str">
        <f t="shared" si="85"/>
        <v>Número de sentencias</v>
      </c>
      <c r="N377" s="33" t="s">
        <v>5964</v>
      </c>
      <c r="O377" s="72" t="str">
        <f>"Sentencias Dictadas por Delitos Vinculados a la Mujer por Tipo de Delito en la "&amp;Ingresos_Historicos[[#This Row],[territorio]]&amp;" durante el Periodo 2013-2019"</f>
        <v>Sentencias Dictadas por Delitos Vinculados a la Mujer por Tipo de Delito en la Región de Atacama durante el Periodo 2013-2019</v>
      </c>
      <c r="P377" s="42" t="s">
        <v>6205</v>
      </c>
      <c r="Q377" s="14" t="s">
        <v>5967</v>
      </c>
      <c r="R377" s="27" t="s">
        <v>6206</v>
      </c>
      <c r="S377" s="15" t="s">
        <v>6772</v>
      </c>
      <c r="T377" s="65" t="s">
        <v>5925</v>
      </c>
      <c r="U377" s="24" t="s">
        <v>397</v>
      </c>
      <c r="V377" s="19" t="str">
        <f>+Ingresos_Historicos[[#This Row],[idcoleccion]]&amp;"-"&amp;Ingresos_Historicos[[#This Row],[id]]</f>
        <v>300-0367</v>
      </c>
      <c r="W377" s="19">
        <f>+VLOOKUP(Ingresos_Historicos[[#This Row],[Filtro URL]],Estructura!$X$4:$Y$366,2,0)</f>
        <v>30200003</v>
      </c>
      <c r="X377" s="19" t="str">
        <f>+VLOOKUP(Ingresos_Historicos[[#This Row],[tema]],Estructura!$A$4:$C$18,3,0)</f>
        <v>T-310</v>
      </c>
      <c r="Y377" s="19" t="str">
        <f>+VLOOKUP(Ingresos_Historicos[[#This Row],[contenido]],Estructura!$E$4:$G$18,3,0)</f>
        <v>C-303</v>
      </c>
      <c r="Z377" s="19" t="str">
        <f>+VLOOKUP(Ingresos_Historicos[[#This Row],[Filtro Integrado]],Estructura!$M$4:$O$367,3,0)</f>
        <v>FI-303</v>
      </c>
      <c r="AA377" s="19" t="str">
        <f>+VLOOKUP(Ingresos_Historicos[[#This Row],[Muestra]],Estructura!$Q$4:$S$194,3,0)</f>
        <v>M-310</v>
      </c>
    </row>
    <row r="378" spans="1:27" ht="81.599999999999994" x14ac:dyDescent="0.3">
      <c r="A378" s="71" t="s">
        <v>764</v>
      </c>
      <c r="B378" s="12">
        <f t="shared" si="84"/>
        <v>300</v>
      </c>
      <c r="C378" s="13" t="str">
        <f t="shared" si="84"/>
        <v>Violencia contra la mujer</v>
      </c>
      <c r="D378" s="13" t="str">
        <f t="shared" si="84"/>
        <v>Mujeres</v>
      </c>
      <c r="E378" s="26">
        <v>4</v>
      </c>
      <c r="F378" s="13" t="s">
        <v>7581</v>
      </c>
      <c r="G378" s="13" t="s">
        <v>7576</v>
      </c>
      <c r="H378" s="29" t="s">
        <v>15</v>
      </c>
      <c r="I378" s="28" t="s">
        <v>370</v>
      </c>
      <c r="J378" s="12" t="str">
        <f t="shared" si="86"/>
        <v>Ninguno</v>
      </c>
      <c r="K378" s="12" t="str">
        <f t="shared" si="86"/>
        <v>Sentencias Dictadas por Delitos Vinculados a la Mujer</v>
      </c>
      <c r="L378" s="75" t="str">
        <f t="shared" si="85"/>
        <v>Periodo 2013-2019</v>
      </c>
      <c r="M378" s="12" t="str">
        <f t="shared" si="85"/>
        <v>Número de sentencias</v>
      </c>
      <c r="N378" s="33" t="s">
        <v>5964</v>
      </c>
      <c r="O378" s="72" t="str">
        <f>"Sentencias Dictadas por Delitos Vinculados a la Mujer por Tipo de Delito en la "&amp;Ingresos_Historicos[[#This Row],[territorio]]&amp;" durante el Periodo 2013-2019"</f>
        <v>Sentencias Dictadas por Delitos Vinculados a la Mujer por Tipo de Delito en la Región de Coquimbo durante el Periodo 2013-2019</v>
      </c>
      <c r="P378" s="42" t="s">
        <v>6207</v>
      </c>
      <c r="Q378" s="14" t="s">
        <v>5967</v>
      </c>
      <c r="R378" s="27" t="s">
        <v>6208</v>
      </c>
      <c r="S378" s="15" t="s">
        <v>6773</v>
      </c>
      <c r="T378" s="65" t="s">
        <v>5926</v>
      </c>
      <c r="U378" s="24" t="s">
        <v>397</v>
      </c>
      <c r="V378" s="19" t="str">
        <f>+Ingresos_Historicos[[#This Row],[idcoleccion]]&amp;"-"&amp;Ingresos_Historicos[[#This Row],[id]]</f>
        <v>300-0368</v>
      </c>
      <c r="W378" s="19">
        <f>+VLOOKUP(Ingresos_Historicos[[#This Row],[Filtro URL]],Estructura!$X$4:$Y$366,2,0)</f>
        <v>30200004</v>
      </c>
      <c r="X378" s="19" t="str">
        <f>+VLOOKUP(Ingresos_Historicos[[#This Row],[tema]],Estructura!$A$4:$C$18,3,0)</f>
        <v>T-310</v>
      </c>
      <c r="Y378" s="19" t="str">
        <f>+VLOOKUP(Ingresos_Historicos[[#This Row],[contenido]],Estructura!$E$4:$G$18,3,0)</f>
        <v>C-303</v>
      </c>
      <c r="Z378" s="19" t="str">
        <f>+VLOOKUP(Ingresos_Historicos[[#This Row],[Filtro Integrado]],Estructura!$M$4:$O$367,3,0)</f>
        <v>FI-303</v>
      </c>
      <c r="AA378" s="19" t="str">
        <f>+VLOOKUP(Ingresos_Historicos[[#This Row],[Muestra]],Estructura!$Q$4:$S$194,3,0)</f>
        <v>M-310</v>
      </c>
    </row>
    <row r="379" spans="1:27" ht="81.599999999999994" x14ac:dyDescent="0.3">
      <c r="A379" s="71" t="s">
        <v>765</v>
      </c>
      <c r="B379" s="12">
        <f t="shared" si="84"/>
        <v>300</v>
      </c>
      <c r="C379" s="13" t="str">
        <f t="shared" si="84"/>
        <v>Violencia contra la mujer</v>
      </c>
      <c r="D379" s="13" t="str">
        <f t="shared" si="84"/>
        <v>Mujeres</v>
      </c>
      <c r="E379" s="26">
        <v>5</v>
      </c>
      <c r="F379" s="13" t="s">
        <v>7581</v>
      </c>
      <c r="G379" s="13" t="s">
        <v>7576</v>
      </c>
      <c r="H379" s="29" t="s">
        <v>15</v>
      </c>
      <c r="I379" s="28" t="s">
        <v>371</v>
      </c>
      <c r="J379" s="12" t="str">
        <f t="shared" si="86"/>
        <v>Ninguno</v>
      </c>
      <c r="K379" s="12" t="str">
        <f t="shared" si="86"/>
        <v>Sentencias Dictadas por Delitos Vinculados a la Mujer</v>
      </c>
      <c r="L379" s="75" t="str">
        <f t="shared" si="85"/>
        <v>Periodo 2013-2019</v>
      </c>
      <c r="M379" s="12" t="str">
        <f t="shared" si="85"/>
        <v>Número de sentencias</v>
      </c>
      <c r="N379" s="33" t="s">
        <v>5964</v>
      </c>
      <c r="O379" s="72" t="str">
        <f>"Sentencias Dictadas por Delitos Vinculados a la Mujer por Tipo de Delito en la "&amp;Ingresos_Historicos[[#This Row],[territorio]]&amp;" durante el Periodo 2013-2019"</f>
        <v>Sentencias Dictadas por Delitos Vinculados a la Mujer por Tipo de Delito en la Región de Valparaíso durante el Periodo 2013-2019</v>
      </c>
      <c r="P379" s="42" t="s">
        <v>6209</v>
      </c>
      <c r="Q379" s="14" t="s">
        <v>5967</v>
      </c>
      <c r="R379" s="27" t="s">
        <v>6210</v>
      </c>
      <c r="S379" s="15" t="s">
        <v>6774</v>
      </c>
      <c r="T379" s="65" t="s">
        <v>5927</v>
      </c>
      <c r="U379" s="24" t="s">
        <v>397</v>
      </c>
      <c r="V379" s="19" t="str">
        <f>+Ingresos_Historicos[[#This Row],[idcoleccion]]&amp;"-"&amp;Ingresos_Historicos[[#This Row],[id]]</f>
        <v>300-0369</v>
      </c>
      <c r="W379" s="19">
        <f>+VLOOKUP(Ingresos_Historicos[[#This Row],[Filtro URL]],Estructura!$X$4:$Y$366,2,0)</f>
        <v>30200005</v>
      </c>
      <c r="X379" s="19" t="str">
        <f>+VLOOKUP(Ingresos_Historicos[[#This Row],[tema]],Estructura!$A$4:$C$18,3,0)</f>
        <v>T-310</v>
      </c>
      <c r="Y379" s="19" t="str">
        <f>+VLOOKUP(Ingresos_Historicos[[#This Row],[contenido]],Estructura!$E$4:$G$18,3,0)</f>
        <v>C-303</v>
      </c>
      <c r="Z379" s="19" t="str">
        <f>+VLOOKUP(Ingresos_Historicos[[#This Row],[Filtro Integrado]],Estructura!$M$4:$O$367,3,0)</f>
        <v>FI-303</v>
      </c>
      <c r="AA379" s="19" t="str">
        <f>+VLOOKUP(Ingresos_Historicos[[#This Row],[Muestra]],Estructura!$Q$4:$S$194,3,0)</f>
        <v>M-310</v>
      </c>
    </row>
    <row r="380" spans="1:27" ht="81.599999999999994" x14ac:dyDescent="0.3">
      <c r="A380" s="71" t="s">
        <v>766</v>
      </c>
      <c r="B380" s="12">
        <f t="shared" si="84"/>
        <v>300</v>
      </c>
      <c r="C380" s="13" t="str">
        <f t="shared" si="84"/>
        <v>Violencia contra la mujer</v>
      </c>
      <c r="D380" s="13" t="str">
        <f t="shared" si="84"/>
        <v>Mujeres</v>
      </c>
      <c r="E380" s="26">
        <v>6</v>
      </c>
      <c r="F380" s="13" t="s">
        <v>7581</v>
      </c>
      <c r="G380" s="13" t="s">
        <v>7576</v>
      </c>
      <c r="H380" s="29" t="s">
        <v>15</v>
      </c>
      <c r="I380" s="28" t="s">
        <v>372</v>
      </c>
      <c r="J380" s="12" t="str">
        <f t="shared" si="86"/>
        <v>Ninguno</v>
      </c>
      <c r="K380" s="12" t="str">
        <f t="shared" si="86"/>
        <v>Sentencias Dictadas por Delitos Vinculados a la Mujer</v>
      </c>
      <c r="L380" s="75" t="str">
        <f t="shared" si="85"/>
        <v>Periodo 2013-2019</v>
      </c>
      <c r="M380" s="12" t="str">
        <f t="shared" si="85"/>
        <v>Número de sentencias</v>
      </c>
      <c r="N380" s="33" t="s">
        <v>5964</v>
      </c>
      <c r="O380" s="72" t="str">
        <f>"Sentencias Dictadas por Delitos Vinculados a la Mujer por Tipo de Delito en la "&amp;Ingresos_Historicos[[#This Row],[territorio]]&amp;" durante el Periodo 2013-2019"</f>
        <v>Sentencias Dictadas por Delitos Vinculados a la Mujer por Tipo de Delito en la Región de O'Higgins durante el Periodo 2013-2019</v>
      </c>
      <c r="P380" s="42" t="s">
        <v>6211</v>
      </c>
      <c r="Q380" s="14" t="s">
        <v>5967</v>
      </c>
      <c r="R380" s="27" t="s">
        <v>6212</v>
      </c>
      <c r="S380" s="15" t="s">
        <v>6775</v>
      </c>
      <c r="T380" s="65" t="s">
        <v>5928</v>
      </c>
      <c r="U380" s="24" t="s">
        <v>397</v>
      </c>
      <c r="V380" s="19" t="str">
        <f>+Ingresos_Historicos[[#This Row],[idcoleccion]]&amp;"-"&amp;Ingresos_Historicos[[#This Row],[id]]</f>
        <v>300-0370</v>
      </c>
      <c r="W380" s="19">
        <f>+VLOOKUP(Ingresos_Historicos[[#This Row],[Filtro URL]],Estructura!$X$4:$Y$366,2,0)</f>
        <v>30200006</v>
      </c>
      <c r="X380" s="19" t="str">
        <f>+VLOOKUP(Ingresos_Historicos[[#This Row],[tema]],Estructura!$A$4:$C$18,3,0)</f>
        <v>T-310</v>
      </c>
      <c r="Y380" s="19" t="str">
        <f>+VLOOKUP(Ingresos_Historicos[[#This Row],[contenido]],Estructura!$E$4:$G$18,3,0)</f>
        <v>C-303</v>
      </c>
      <c r="Z380" s="19" t="str">
        <f>+VLOOKUP(Ingresos_Historicos[[#This Row],[Filtro Integrado]],Estructura!$M$4:$O$367,3,0)</f>
        <v>FI-303</v>
      </c>
      <c r="AA380" s="19" t="str">
        <f>+VLOOKUP(Ingresos_Historicos[[#This Row],[Muestra]],Estructura!$Q$4:$S$194,3,0)</f>
        <v>M-310</v>
      </c>
    </row>
    <row r="381" spans="1:27" ht="81.599999999999994" x14ac:dyDescent="0.3">
      <c r="A381" s="71" t="s">
        <v>767</v>
      </c>
      <c r="B381" s="12">
        <f t="shared" si="84"/>
        <v>300</v>
      </c>
      <c r="C381" s="13" t="str">
        <f t="shared" si="84"/>
        <v>Violencia contra la mujer</v>
      </c>
      <c r="D381" s="13" t="str">
        <f t="shared" si="84"/>
        <v>Mujeres</v>
      </c>
      <c r="E381" s="26">
        <v>7</v>
      </c>
      <c r="F381" s="13" t="s">
        <v>7581</v>
      </c>
      <c r="G381" s="13" t="s">
        <v>7576</v>
      </c>
      <c r="H381" s="29" t="s">
        <v>15</v>
      </c>
      <c r="I381" s="28" t="s">
        <v>373</v>
      </c>
      <c r="J381" s="12" t="str">
        <f t="shared" si="86"/>
        <v>Ninguno</v>
      </c>
      <c r="K381" s="12" t="str">
        <f t="shared" si="86"/>
        <v>Sentencias Dictadas por Delitos Vinculados a la Mujer</v>
      </c>
      <c r="L381" s="75" t="str">
        <f t="shared" si="85"/>
        <v>Periodo 2013-2019</v>
      </c>
      <c r="M381" s="12" t="str">
        <f t="shared" si="85"/>
        <v>Número de sentencias</v>
      </c>
      <c r="N381" s="33" t="s">
        <v>5964</v>
      </c>
      <c r="O381" s="72" t="str">
        <f>"Sentencias Dictadas por Delitos Vinculados a la Mujer por Tipo de Delito en la "&amp;Ingresos_Historicos[[#This Row],[territorio]]&amp;" durante el Periodo 2013-2019"</f>
        <v>Sentencias Dictadas por Delitos Vinculados a la Mujer por Tipo de Delito en la Región de Maule durante el Periodo 2013-2019</v>
      </c>
      <c r="P381" s="42" t="s">
        <v>6213</v>
      </c>
      <c r="Q381" s="14" t="s">
        <v>5967</v>
      </c>
      <c r="R381" s="27" t="s">
        <v>6214</v>
      </c>
      <c r="S381" s="15" t="s">
        <v>6776</v>
      </c>
      <c r="T381" s="65" t="s">
        <v>5929</v>
      </c>
      <c r="U381" s="24" t="s">
        <v>397</v>
      </c>
      <c r="V381" s="19" t="str">
        <f>+Ingresos_Historicos[[#This Row],[idcoleccion]]&amp;"-"&amp;Ingresos_Historicos[[#This Row],[id]]</f>
        <v>300-0371</v>
      </c>
      <c r="W381" s="19">
        <f>+VLOOKUP(Ingresos_Historicos[[#This Row],[Filtro URL]],Estructura!$X$4:$Y$366,2,0)</f>
        <v>30200007</v>
      </c>
      <c r="X381" s="19" t="str">
        <f>+VLOOKUP(Ingresos_Historicos[[#This Row],[tema]],Estructura!$A$4:$C$18,3,0)</f>
        <v>T-310</v>
      </c>
      <c r="Y381" s="19" t="str">
        <f>+VLOOKUP(Ingresos_Historicos[[#This Row],[contenido]],Estructura!$E$4:$G$18,3,0)</f>
        <v>C-303</v>
      </c>
      <c r="Z381" s="19" t="str">
        <f>+VLOOKUP(Ingresos_Historicos[[#This Row],[Filtro Integrado]],Estructura!$M$4:$O$367,3,0)</f>
        <v>FI-303</v>
      </c>
      <c r="AA381" s="19" t="str">
        <f>+VLOOKUP(Ingresos_Historicos[[#This Row],[Muestra]],Estructura!$Q$4:$S$194,3,0)</f>
        <v>M-310</v>
      </c>
    </row>
    <row r="382" spans="1:27" ht="81.599999999999994" x14ac:dyDescent="0.3">
      <c r="A382" s="71" t="s">
        <v>768</v>
      </c>
      <c r="B382" s="12">
        <f t="shared" si="84"/>
        <v>300</v>
      </c>
      <c r="C382" s="13" t="str">
        <f t="shared" si="84"/>
        <v>Violencia contra la mujer</v>
      </c>
      <c r="D382" s="13" t="str">
        <f t="shared" si="84"/>
        <v>Mujeres</v>
      </c>
      <c r="E382" s="26">
        <v>8</v>
      </c>
      <c r="F382" s="13" t="s">
        <v>7581</v>
      </c>
      <c r="G382" s="13" t="s">
        <v>7576</v>
      </c>
      <c r="H382" s="29" t="s">
        <v>15</v>
      </c>
      <c r="I382" s="28" t="s">
        <v>374</v>
      </c>
      <c r="J382" s="12" t="str">
        <f t="shared" si="86"/>
        <v>Ninguno</v>
      </c>
      <c r="K382" s="12" t="str">
        <f t="shared" si="86"/>
        <v>Sentencias Dictadas por Delitos Vinculados a la Mujer</v>
      </c>
      <c r="L382" s="75" t="str">
        <f t="shared" si="85"/>
        <v>Periodo 2013-2019</v>
      </c>
      <c r="M382" s="12" t="str">
        <f t="shared" si="85"/>
        <v>Número de sentencias</v>
      </c>
      <c r="N382" s="33" t="s">
        <v>5964</v>
      </c>
      <c r="O382" s="72" t="str">
        <f>"Sentencias Dictadas por Delitos Vinculados a la Mujer por Tipo de Delito en la "&amp;Ingresos_Historicos[[#This Row],[territorio]]&amp;" durante el Periodo 2013-2019"</f>
        <v>Sentencias Dictadas por Delitos Vinculados a la Mujer por Tipo de Delito en la Región del Biobío durante el Periodo 2013-2019</v>
      </c>
      <c r="P382" s="42" t="s">
        <v>6215</v>
      </c>
      <c r="Q382" s="14" t="s">
        <v>5967</v>
      </c>
      <c r="R382" s="27" t="s">
        <v>6216</v>
      </c>
      <c r="S382" s="15" t="s">
        <v>6777</v>
      </c>
      <c r="T382" s="65" t="s">
        <v>5930</v>
      </c>
      <c r="U382" s="24" t="s">
        <v>397</v>
      </c>
      <c r="V382" s="19" t="str">
        <f>+Ingresos_Historicos[[#This Row],[idcoleccion]]&amp;"-"&amp;Ingresos_Historicos[[#This Row],[id]]</f>
        <v>300-0372</v>
      </c>
      <c r="W382" s="19">
        <f>+VLOOKUP(Ingresos_Historicos[[#This Row],[Filtro URL]],Estructura!$X$4:$Y$366,2,0)</f>
        <v>30200008</v>
      </c>
      <c r="X382" s="19" t="str">
        <f>+VLOOKUP(Ingresos_Historicos[[#This Row],[tema]],Estructura!$A$4:$C$18,3,0)</f>
        <v>T-310</v>
      </c>
      <c r="Y382" s="19" t="str">
        <f>+VLOOKUP(Ingresos_Historicos[[#This Row],[contenido]],Estructura!$E$4:$G$18,3,0)</f>
        <v>C-303</v>
      </c>
      <c r="Z382" s="19" t="str">
        <f>+VLOOKUP(Ingresos_Historicos[[#This Row],[Filtro Integrado]],Estructura!$M$4:$O$367,3,0)</f>
        <v>FI-303</v>
      </c>
      <c r="AA382" s="19" t="str">
        <f>+VLOOKUP(Ingresos_Historicos[[#This Row],[Muestra]],Estructura!$Q$4:$S$194,3,0)</f>
        <v>M-310</v>
      </c>
    </row>
    <row r="383" spans="1:27" ht="81.599999999999994" x14ac:dyDescent="0.3">
      <c r="A383" s="71" t="s">
        <v>769</v>
      </c>
      <c r="B383" s="12">
        <f t="shared" si="84"/>
        <v>300</v>
      </c>
      <c r="C383" s="13" t="str">
        <f t="shared" si="84"/>
        <v>Violencia contra la mujer</v>
      </c>
      <c r="D383" s="13" t="str">
        <f t="shared" si="84"/>
        <v>Mujeres</v>
      </c>
      <c r="E383" s="26">
        <v>9</v>
      </c>
      <c r="F383" s="13" t="s">
        <v>7581</v>
      </c>
      <c r="G383" s="13" t="s">
        <v>7576</v>
      </c>
      <c r="H383" s="29" t="s">
        <v>15</v>
      </c>
      <c r="I383" s="28" t="s">
        <v>375</v>
      </c>
      <c r="J383" s="12" t="str">
        <f t="shared" si="86"/>
        <v>Ninguno</v>
      </c>
      <c r="K383" s="12" t="str">
        <f t="shared" si="86"/>
        <v>Sentencias Dictadas por Delitos Vinculados a la Mujer</v>
      </c>
      <c r="L383" s="75" t="str">
        <f t="shared" si="85"/>
        <v>Periodo 2013-2019</v>
      </c>
      <c r="M383" s="12" t="str">
        <f t="shared" si="85"/>
        <v>Número de sentencias</v>
      </c>
      <c r="N383" s="33" t="s">
        <v>5964</v>
      </c>
      <c r="O383" s="72" t="str">
        <f>"Sentencias Dictadas por Delitos Vinculados a la Mujer por Tipo de Delito en la "&amp;Ingresos_Historicos[[#This Row],[territorio]]&amp;" durante el Periodo 2013-2019"</f>
        <v>Sentencias Dictadas por Delitos Vinculados a la Mujer por Tipo de Delito en la Región de La Araucanía durante el Periodo 2013-2019</v>
      </c>
      <c r="P383" s="42" t="s">
        <v>6217</v>
      </c>
      <c r="Q383" s="14" t="s">
        <v>5967</v>
      </c>
      <c r="R383" s="27" t="s">
        <v>6218</v>
      </c>
      <c r="S383" s="15" t="s">
        <v>6778</v>
      </c>
      <c r="T383" s="65" t="s">
        <v>5931</v>
      </c>
      <c r="U383" s="24" t="s">
        <v>397</v>
      </c>
      <c r="V383" s="19" t="str">
        <f>+Ingresos_Historicos[[#This Row],[idcoleccion]]&amp;"-"&amp;Ingresos_Historicos[[#This Row],[id]]</f>
        <v>300-0373</v>
      </c>
      <c r="W383" s="19">
        <f>+VLOOKUP(Ingresos_Historicos[[#This Row],[Filtro URL]],Estructura!$X$4:$Y$366,2,0)</f>
        <v>30200009</v>
      </c>
      <c r="X383" s="19" t="str">
        <f>+VLOOKUP(Ingresos_Historicos[[#This Row],[tema]],Estructura!$A$4:$C$18,3,0)</f>
        <v>T-310</v>
      </c>
      <c r="Y383" s="19" t="str">
        <f>+VLOOKUP(Ingresos_Historicos[[#This Row],[contenido]],Estructura!$E$4:$G$18,3,0)</f>
        <v>C-303</v>
      </c>
      <c r="Z383" s="19" t="str">
        <f>+VLOOKUP(Ingresos_Historicos[[#This Row],[Filtro Integrado]],Estructura!$M$4:$O$367,3,0)</f>
        <v>FI-303</v>
      </c>
      <c r="AA383" s="19" t="str">
        <f>+VLOOKUP(Ingresos_Historicos[[#This Row],[Muestra]],Estructura!$Q$4:$S$194,3,0)</f>
        <v>M-310</v>
      </c>
    </row>
    <row r="384" spans="1:27" ht="81.599999999999994" x14ac:dyDescent="0.3">
      <c r="A384" s="71" t="s">
        <v>770</v>
      </c>
      <c r="B384" s="12">
        <f t="shared" si="84"/>
        <v>300</v>
      </c>
      <c r="C384" s="13" t="str">
        <f t="shared" si="84"/>
        <v>Violencia contra la mujer</v>
      </c>
      <c r="D384" s="13" t="str">
        <f t="shared" si="84"/>
        <v>Mujeres</v>
      </c>
      <c r="E384" s="26">
        <v>10</v>
      </c>
      <c r="F384" s="13" t="s">
        <v>7581</v>
      </c>
      <c r="G384" s="13" t="s">
        <v>7576</v>
      </c>
      <c r="H384" s="29" t="s">
        <v>15</v>
      </c>
      <c r="I384" s="28" t="s">
        <v>376</v>
      </c>
      <c r="J384" s="12" t="str">
        <f t="shared" si="86"/>
        <v>Ninguno</v>
      </c>
      <c r="K384" s="12" t="str">
        <f t="shared" si="86"/>
        <v>Sentencias Dictadas por Delitos Vinculados a la Mujer</v>
      </c>
      <c r="L384" s="75" t="str">
        <f t="shared" si="85"/>
        <v>Periodo 2013-2019</v>
      </c>
      <c r="M384" s="12" t="str">
        <f t="shared" si="85"/>
        <v>Número de sentencias</v>
      </c>
      <c r="N384" s="33" t="s">
        <v>5964</v>
      </c>
      <c r="O384" s="72" t="str">
        <f>"Sentencias Dictadas por Delitos Vinculados a la Mujer por Tipo de Delito en la "&amp;Ingresos_Historicos[[#This Row],[territorio]]&amp;" durante el Periodo 2013-2019"</f>
        <v>Sentencias Dictadas por Delitos Vinculados a la Mujer por Tipo de Delito en la Región de Los Lagos durante el Periodo 2013-2019</v>
      </c>
      <c r="P384" s="42" t="s">
        <v>6219</v>
      </c>
      <c r="Q384" s="14" t="s">
        <v>5967</v>
      </c>
      <c r="R384" s="27" t="s">
        <v>6220</v>
      </c>
      <c r="S384" s="15" t="s">
        <v>6779</v>
      </c>
      <c r="T384" s="65" t="s">
        <v>5932</v>
      </c>
      <c r="U384" s="24" t="s">
        <v>397</v>
      </c>
      <c r="V384" s="19" t="str">
        <f>+Ingresos_Historicos[[#This Row],[idcoleccion]]&amp;"-"&amp;Ingresos_Historicos[[#This Row],[id]]</f>
        <v>300-0374</v>
      </c>
      <c r="W384" s="19">
        <f>+VLOOKUP(Ingresos_Historicos[[#This Row],[Filtro URL]],Estructura!$X$4:$Y$366,2,0)</f>
        <v>30200010</v>
      </c>
      <c r="X384" s="19" t="str">
        <f>+VLOOKUP(Ingresos_Historicos[[#This Row],[tema]],Estructura!$A$4:$C$18,3,0)</f>
        <v>T-310</v>
      </c>
      <c r="Y384" s="19" t="str">
        <f>+VLOOKUP(Ingresos_Historicos[[#This Row],[contenido]],Estructura!$E$4:$G$18,3,0)</f>
        <v>C-303</v>
      </c>
      <c r="Z384" s="19" t="str">
        <f>+VLOOKUP(Ingresos_Historicos[[#This Row],[Filtro Integrado]],Estructura!$M$4:$O$367,3,0)</f>
        <v>FI-303</v>
      </c>
      <c r="AA384" s="19" t="str">
        <f>+VLOOKUP(Ingresos_Historicos[[#This Row],[Muestra]],Estructura!$Q$4:$S$194,3,0)</f>
        <v>M-310</v>
      </c>
    </row>
    <row r="385" spans="1:27" ht="81.599999999999994" x14ac:dyDescent="0.3">
      <c r="A385" s="71" t="s">
        <v>771</v>
      </c>
      <c r="B385" s="12">
        <f t="shared" si="84"/>
        <v>300</v>
      </c>
      <c r="C385" s="13" t="str">
        <f t="shared" si="84"/>
        <v>Violencia contra la mujer</v>
      </c>
      <c r="D385" s="13" t="str">
        <f t="shared" si="84"/>
        <v>Mujeres</v>
      </c>
      <c r="E385" s="26">
        <v>11</v>
      </c>
      <c r="F385" s="13" t="s">
        <v>7581</v>
      </c>
      <c r="G385" s="13" t="s">
        <v>7576</v>
      </c>
      <c r="H385" s="29" t="s">
        <v>15</v>
      </c>
      <c r="I385" s="28" t="s">
        <v>377</v>
      </c>
      <c r="J385" s="12" t="str">
        <f t="shared" si="86"/>
        <v>Ninguno</v>
      </c>
      <c r="K385" s="12" t="str">
        <f t="shared" si="86"/>
        <v>Sentencias Dictadas por Delitos Vinculados a la Mujer</v>
      </c>
      <c r="L385" s="75" t="str">
        <f t="shared" si="85"/>
        <v>Periodo 2013-2019</v>
      </c>
      <c r="M385" s="12" t="str">
        <f t="shared" si="85"/>
        <v>Número de sentencias</v>
      </c>
      <c r="N385" s="33" t="s">
        <v>5964</v>
      </c>
      <c r="O385" s="72" t="str">
        <f>"Sentencias Dictadas por Delitos Vinculados a la Mujer por Tipo de Delito en la "&amp;Ingresos_Historicos[[#This Row],[territorio]]&amp;" durante el Periodo 2013-2019"</f>
        <v>Sentencias Dictadas por Delitos Vinculados a la Mujer por Tipo de Delito en la Región de Aysén durante el Periodo 2013-2019</v>
      </c>
      <c r="P385" s="42" t="s">
        <v>6221</v>
      </c>
      <c r="Q385" s="14" t="s">
        <v>5967</v>
      </c>
      <c r="R385" s="27" t="s">
        <v>6222</v>
      </c>
      <c r="S385" s="15" t="s">
        <v>6780</v>
      </c>
      <c r="T385" s="65" t="s">
        <v>5933</v>
      </c>
      <c r="U385" s="24" t="s">
        <v>397</v>
      </c>
      <c r="V385" s="19" t="str">
        <f>+Ingresos_Historicos[[#This Row],[idcoleccion]]&amp;"-"&amp;Ingresos_Historicos[[#This Row],[id]]</f>
        <v>300-0375</v>
      </c>
      <c r="W385" s="19">
        <f>+VLOOKUP(Ingresos_Historicos[[#This Row],[Filtro URL]],Estructura!$X$4:$Y$366,2,0)</f>
        <v>30200011</v>
      </c>
      <c r="X385" s="19" t="str">
        <f>+VLOOKUP(Ingresos_Historicos[[#This Row],[tema]],Estructura!$A$4:$C$18,3,0)</f>
        <v>T-310</v>
      </c>
      <c r="Y385" s="19" t="str">
        <f>+VLOOKUP(Ingresos_Historicos[[#This Row],[contenido]],Estructura!$E$4:$G$18,3,0)</f>
        <v>C-303</v>
      </c>
      <c r="Z385" s="19" t="str">
        <f>+VLOOKUP(Ingresos_Historicos[[#This Row],[Filtro Integrado]],Estructura!$M$4:$O$367,3,0)</f>
        <v>FI-303</v>
      </c>
      <c r="AA385" s="19" t="str">
        <f>+VLOOKUP(Ingresos_Historicos[[#This Row],[Muestra]],Estructura!$Q$4:$S$194,3,0)</f>
        <v>M-310</v>
      </c>
    </row>
    <row r="386" spans="1:27" ht="81.599999999999994" x14ac:dyDescent="0.3">
      <c r="A386" s="71" t="s">
        <v>772</v>
      </c>
      <c r="B386" s="12">
        <f t="shared" si="84"/>
        <v>300</v>
      </c>
      <c r="C386" s="13" t="str">
        <f t="shared" si="84"/>
        <v>Violencia contra la mujer</v>
      </c>
      <c r="D386" s="13" t="str">
        <f t="shared" si="84"/>
        <v>Mujeres</v>
      </c>
      <c r="E386" s="26">
        <v>12</v>
      </c>
      <c r="F386" s="13" t="s">
        <v>7581</v>
      </c>
      <c r="G386" s="13" t="s">
        <v>7576</v>
      </c>
      <c r="H386" s="29" t="s">
        <v>15</v>
      </c>
      <c r="I386" s="28" t="s">
        <v>378</v>
      </c>
      <c r="J386" s="12" t="str">
        <f t="shared" si="86"/>
        <v>Ninguno</v>
      </c>
      <c r="K386" s="12" t="str">
        <f t="shared" si="86"/>
        <v>Sentencias Dictadas por Delitos Vinculados a la Mujer</v>
      </c>
      <c r="L386" s="75" t="str">
        <f t="shared" si="85"/>
        <v>Periodo 2013-2019</v>
      </c>
      <c r="M386" s="12" t="str">
        <f t="shared" si="85"/>
        <v>Número de sentencias</v>
      </c>
      <c r="N386" s="33" t="s">
        <v>5964</v>
      </c>
      <c r="O386" s="72" t="str">
        <f>"Sentencias Dictadas por Delitos Vinculados a la Mujer por Tipo de Delito en la "&amp;Ingresos_Historicos[[#This Row],[territorio]]&amp;" durante el Periodo 2013-2019"</f>
        <v>Sentencias Dictadas por Delitos Vinculados a la Mujer por Tipo de Delito en la Región de Magallanes durante el Periodo 2013-2019</v>
      </c>
      <c r="P386" s="42" t="s">
        <v>6223</v>
      </c>
      <c r="Q386" s="14" t="s">
        <v>5967</v>
      </c>
      <c r="R386" s="27" t="s">
        <v>6224</v>
      </c>
      <c r="S386" s="15" t="s">
        <v>6781</v>
      </c>
      <c r="T386" s="65" t="s">
        <v>5934</v>
      </c>
      <c r="U386" s="24" t="s">
        <v>397</v>
      </c>
      <c r="V386" s="19" t="str">
        <f>+Ingresos_Historicos[[#This Row],[idcoleccion]]&amp;"-"&amp;Ingresos_Historicos[[#This Row],[id]]</f>
        <v>300-0376</v>
      </c>
      <c r="W386" s="19">
        <f>+VLOOKUP(Ingresos_Historicos[[#This Row],[Filtro URL]],Estructura!$X$4:$Y$366,2,0)</f>
        <v>30200012</v>
      </c>
      <c r="X386" s="19" t="str">
        <f>+VLOOKUP(Ingresos_Historicos[[#This Row],[tema]],Estructura!$A$4:$C$18,3,0)</f>
        <v>T-310</v>
      </c>
      <c r="Y386" s="19" t="str">
        <f>+VLOOKUP(Ingresos_Historicos[[#This Row],[contenido]],Estructura!$E$4:$G$18,3,0)</f>
        <v>C-303</v>
      </c>
      <c r="Z386" s="19" t="str">
        <f>+VLOOKUP(Ingresos_Historicos[[#This Row],[Filtro Integrado]],Estructura!$M$4:$O$367,3,0)</f>
        <v>FI-303</v>
      </c>
      <c r="AA386" s="19" t="str">
        <f>+VLOOKUP(Ingresos_Historicos[[#This Row],[Muestra]],Estructura!$Q$4:$S$194,3,0)</f>
        <v>M-310</v>
      </c>
    </row>
    <row r="387" spans="1:27" ht="81.599999999999994" x14ac:dyDescent="0.3">
      <c r="A387" s="71" t="s">
        <v>773</v>
      </c>
      <c r="B387" s="12">
        <f t="shared" si="84"/>
        <v>300</v>
      </c>
      <c r="C387" s="13" t="str">
        <f t="shared" si="84"/>
        <v>Violencia contra la mujer</v>
      </c>
      <c r="D387" s="13" t="str">
        <f t="shared" si="84"/>
        <v>Mujeres</v>
      </c>
      <c r="E387" s="26">
        <v>13</v>
      </c>
      <c r="F387" s="13" t="s">
        <v>7581</v>
      </c>
      <c r="G387" s="13" t="s">
        <v>7576</v>
      </c>
      <c r="H387" s="29" t="s">
        <v>15</v>
      </c>
      <c r="I387" s="28" t="s">
        <v>379</v>
      </c>
      <c r="J387" s="12" t="str">
        <f t="shared" si="86"/>
        <v>Ninguno</v>
      </c>
      <c r="K387" s="12" t="str">
        <f t="shared" si="86"/>
        <v>Sentencias Dictadas por Delitos Vinculados a la Mujer</v>
      </c>
      <c r="L387" s="75" t="str">
        <f t="shared" si="85"/>
        <v>Periodo 2013-2019</v>
      </c>
      <c r="M387" s="12" t="str">
        <f t="shared" si="85"/>
        <v>Número de sentencias</v>
      </c>
      <c r="N387" s="33" t="s">
        <v>5964</v>
      </c>
      <c r="O387" s="72" t="str">
        <f>"Sentencias Dictadas por Delitos Vinculados a la Mujer por Tipo de Delito en la "&amp;Ingresos_Historicos[[#This Row],[territorio]]&amp;" durante el Periodo 2013-2019"</f>
        <v>Sentencias Dictadas por Delitos Vinculados a la Mujer por Tipo de Delito en la Región Metropolitana durante el Periodo 2013-2019</v>
      </c>
      <c r="P387" s="42" t="s">
        <v>6225</v>
      </c>
      <c r="Q387" s="14" t="s">
        <v>5967</v>
      </c>
      <c r="R387" s="27" t="s">
        <v>6226</v>
      </c>
      <c r="S387" s="15" t="s">
        <v>6782</v>
      </c>
      <c r="T387" s="65" t="s">
        <v>5935</v>
      </c>
      <c r="U387" s="24" t="s">
        <v>397</v>
      </c>
      <c r="V387" s="19" t="str">
        <f>+Ingresos_Historicos[[#This Row],[idcoleccion]]&amp;"-"&amp;Ingresos_Historicos[[#This Row],[id]]</f>
        <v>300-0377</v>
      </c>
      <c r="W387" s="19">
        <f>+VLOOKUP(Ingresos_Historicos[[#This Row],[Filtro URL]],Estructura!$X$4:$Y$366,2,0)</f>
        <v>30200013</v>
      </c>
      <c r="X387" s="19" t="str">
        <f>+VLOOKUP(Ingresos_Historicos[[#This Row],[tema]],Estructura!$A$4:$C$18,3,0)</f>
        <v>T-310</v>
      </c>
      <c r="Y387" s="19" t="str">
        <f>+VLOOKUP(Ingresos_Historicos[[#This Row],[contenido]],Estructura!$E$4:$G$18,3,0)</f>
        <v>C-303</v>
      </c>
      <c r="Z387" s="19" t="str">
        <f>+VLOOKUP(Ingresos_Historicos[[#This Row],[Filtro Integrado]],Estructura!$M$4:$O$367,3,0)</f>
        <v>FI-303</v>
      </c>
      <c r="AA387" s="19" t="str">
        <f>+VLOOKUP(Ingresos_Historicos[[#This Row],[Muestra]],Estructura!$Q$4:$S$194,3,0)</f>
        <v>M-310</v>
      </c>
    </row>
    <row r="388" spans="1:27" ht="81.599999999999994" x14ac:dyDescent="0.3">
      <c r="A388" s="71" t="s">
        <v>774</v>
      </c>
      <c r="B388" s="12">
        <f t="shared" si="84"/>
        <v>300</v>
      </c>
      <c r="C388" s="13" t="str">
        <f t="shared" si="84"/>
        <v>Violencia contra la mujer</v>
      </c>
      <c r="D388" s="13" t="str">
        <f t="shared" si="84"/>
        <v>Mujeres</v>
      </c>
      <c r="E388" s="26">
        <v>14</v>
      </c>
      <c r="F388" s="13" t="s">
        <v>7581</v>
      </c>
      <c r="G388" s="13" t="s">
        <v>7576</v>
      </c>
      <c r="H388" s="29" t="s">
        <v>15</v>
      </c>
      <c r="I388" s="28" t="s">
        <v>380</v>
      </c>
      <c r="J388" s="12" t="str">
        <f t="shared" si="86"/>
        <v>Ninguno</v>
      </c>
      <c r="K388" s="12" t="str">
        <f t="shared" si="86"/>
        <v>Sentencias Dictadas por Delitos Vinculados a la Mujer</v>
      </c>
      <c r="L388" s="75" t="str">
        <f t="shared" si="85"/>
        <v>Periodo 2013-2019</v>
      </c>
      <c r="M388" s="12" t="str">
        <f t="shared" si="85"/>
        <v>Número de sentencias</v>
      </c>
      <c r="N388" s="33" t="s">
        <v>5964</v>
      </c>
      <c r="O388" s="72" t="str">
        <f>"Sentencias Dictadas por Delitos Vinculados a la Mujer por Tipo de Delito en la "&amp;Ingresos_Historicos[[#This Row],[territorio]]&amp;" durante el Periodo 2013-2019"</f>
        <v>Sentencias Dictadas por Delitos Vinculados a la Mujer por Tipo de Delito en la Región de Los Ríos durante el Periodo 2013-2019</v>
      </c>
      <c r="P388" s="42" t="s">
        <v>6227</v>
      </c>
      <c r="Q388" s="14" t="s">
        <v>5967</v>
      </c>
      <c r="R388" s="27" t="s">
        <v>6228</v>
      </c>
      <c r="S388" s="15" t="s">
        <v>6783</v>
      </c>
      <c r="T388" s="65" t="s">
        <v>5936</v>
      </c>
      <c r="U388" s="24" t="s">
        <v>397</v>
      </c>
      <c r="V388" s="19" t="str">
        <f>+Ingresos_Historicos[[#This Row],[idcoleccion]]&amp;"-"&amp;Ingresos_Historicos[[#This Row],[id]]</f>
        <v>300-0378</v>
      </c>
      <c r="W388" s="19">
        <f>+VLOOKUP(Ingresos_Historicos[[#This Row],[Filtro URL]],Estructura!$X$4:$Y$366,2,0)</f>
        <v>30200014</v>
      </c>
      <c r="X388" s="19" t="str">
        <f>+VLOOKUP(Ingresos_Historicos[[#This Row],[tema]],Estructura!$A$4:$C$18,3,0)</f>
        <v>T-310</v>
      </c>
      <c r="Y388" s="19" t="str">
        <f>+VLOOKUP(Ingresos_Historicos[[#This Row],[contenido]],Estructura!$E$4:$G$18,3,0)</f>
        <v>C-303</v>
      </c>
      <c r="Z388" s="19" t="str">
        <f>+VLOOKUP(Ingresos_Historicos[[#This Row],[Filtro Integrado]],Estructura!$M$4:$O$367,3,0)</f>
        <v>FI-303</v>
      </c>
      <c r="AA388" s="19" t="str">
        <f>+VLOOKUP(Ingresos_Historicos[[#This Row],[Muestra]],Estructura!$Q$4:$S$194,3,0)</f>
        <v>M-310</v>
      </c>
    </row>
    <row r="389" spans="1:27" ht="81.599999999999994" x14ac:dyDescent="0.3">
      <c r="A389" s="71" t="s">
        <v>775</v>
      </c>
      <c r="B389" s="12">
        <f t="shared" si="84"/>
        <v>300</v>
      </c>
      <c r="C389" s="13" t="str">
        <f t="shared" si="84"/>
        <v>Violencia contra la mujer</v>
      </c>
      <c r="D389" s="13" t="str">
        <f t="shared" si="84"/>
        <v>Mujeres</v>
      </c>
      <c r="E389" s="26">
        <v>15</v>
      </c>
      <c r="F389" s="13" t="s">
        <v>7581</v>
      </c>
      <c r="G389" s="13" t="s">
        <v>7576</v>
      </c>
      <c r="H389" s="29" t="s">
        <v>15</v>
      </c>
      <c r="I389" s="28" t="s">
        <v>381</v>
      </c>
      <c r="J389" s="12" t="str">
        <f t="shared" si="86"/>
        <v>Ninguno</v>
      </c>
      <c r="K389" s="12" t="str">
        <f t="shared" si="86"/>
        <v>Sentencias Dictadas por Delitos Vinculados a la Mujer</v>
      </c>
      <c r="L389" s="75" t="str">
        <f t="shared" si="85"/>
        <v>Periodo 2013-2019</v>
      </c>
      <c r="M389" s="12" t="str">
        <f t="shared" si="85"/>
        <v>Número de sentencias</v>
      </c>
      <c r="N389" s="33" t="s">
        <v>5964</v>
      </c>
      <c r="O389" s="72" t="str">
        <f>"Sentencias Dictadas por Delitos Vinculados a la Mujer por Tipo de Delito en la "&amp;Ingresos_Historicos[[#This Row],[territorio]]&amp;" durante el Periodo 2013-2019"</f>
        <v>Sentencias Dictadas por Delitos Vinculados a la Mujer por Tipo de Delito en la Región de Arica y Parinacota durante el Periodo 2013-2019</v>
      </c>
      <c r="P389" s="42" t="s">
        <v>6229</v>
      </c>
      <c r="Q389" s="14" t="str">
        <f t="shared" ref="Q389:Q419" si="87">+Q388</f>
        <v>Gráfico de Evolución</v>
      </c>
      <c r="R389" s="27" t="s">
        <v>6230</v>
      </c>
      <c r="S389" s="15" t="s">
        <v>6784</v>
      </c>
      <c r="T389" s="65" t="s">
        <v>5937</v>
      </c>
      <c r="U389" s="24" t="s">
        <v>397</v>
      </c>
      <c r="V389" s="19" t="str">
        <f>+Ingresos_Historicos[[#This Row],[idcoleccion]]&amp;"-"&amp;Ingresos_Historicos[[#This Row],[id]]</f>
        <v>300-0379</v>
      </c>
      <c r="W389" s="19">
        <f>+VLOOKUP(Ingresos_Historicos[[#This Row],[Filtro URL]],Estructura!$X$4:$Y$366,2,0)</f>
        <v>30200015</v>
      </c>
      <c r="X389" s="19" t="str">
        <f>+VLOOKUP(Ingresos_Historicos[[#This Row],[tema]],Estructura!$A$4:$C$18,3,0)</f>
        <v>T-310</v>
      </c>
      <c r="Y389" s="19" t="str">
        <f>+VLOOKUP(Ingresos_Historicos[[#This Row],[contenido]],Estructura!$E$4:$G$18,3,0)</f>
        <v>C-303</v>
      </c>
      <c r="Z389" s="19" t="str">
        <f>+VLOOKUP(Ingresos_Historicos[[#This Row],[Filtro Integrado]],Estructura!$M$4:$O$367,3,0)</f>
        <v>FI-303</v>
      </c>
      <c r="AA389" s="19" t="str">
        <f>+VLOOKUP(Ingresos_Historicos[[#This Row],[Muestra]],Estructura!$Q$4:$S$194,3,0)</f>
        <v>M-310</v>
      </c>
    </row>
    <row r="390" spans="1:27" ht="81.599999999999994" x14ac:dyDescent="0.3">
      <c r="A390" s="71" t="s">
        <v>776</v>
      </c>
      <c r="B390" s="12">
        <f t="shared" ref="B390:D405" si="88">+B389</f>
        <v>300</v>
      </c>
      <c r="C390" s="13" t="str">
        <f t="shared" si="88"/>
        <v>Violencia contra la mujer</v>
      </c>
      <c r="D390" s="13" t="str">
        <f t="shared" si="88"/>
        <v>Mujeres</v>
      </c>
      <c r="E390" s="26">
        <v>16</v>
      </c>
      <c r="F390" s="13" t="s">
        <v>7581</v>
      </c>
      <c r="G390" s="13" t="s">
        <v>7576</v>
      </c>
      <c r="H390" s="29" t="s">
        <v>15</v>
      </c>
      <c r="I390" s="28" t="s">
        <v>382</v>
      </c>
      <c r="J390" s="12" t="str">
        <f t="shared" si="86"/>
        <v>Ninguno</v>
      </c>
      <c r="K390" s="12" t="str">
        <f t="shared" si="86"/>
        <v>Sentencias Dictadas por Delitos Vinculados a la Mujer</v>
      </c>
      <c r="L390" s="75" t="str">
        <f t="shared" si="86"/>
        <v>Periodo 2013-2019</v>
      </c>
      <c r="M390" s="12" t="str">
        <f t="shared" si="86"/>
        <v>Número de sentencias</v>
      </c>
      <c r="N390" s="33" t="s">
        <v>5964</v>
      </c>
      <c r="O390" s="72" t="str">
        <f>"Sentencias Dictadas por Delitos Vinculados a la Mujer por Tipo de Delito en la "&amp;Ingresos_Historicos[[#This Row],[territorio]]&amp;" durante el Periodo 2013-2019"</f>
        <v>Sentencias Dictadas por Delitos Vinculados a la Mujer por Tipo de Delito en la Región de Ñuble durante el Periodo 2013-2019</v>
      </c>
      <c r="P390" s="42" t="s">
        <v>6231</v>
      </c>
      <c r="Q390" s="14" t="str">
        <f t="shared" si="87"/>
        <v>Gráfico de Evolución</v>
      </c>
      <c r="R390" s="27" t="s">
        <v>6232</v>
      </c>
      <c r="S390" s="15" t="s">
        <v>6785</v>
      </c>
      <c r="T390" s="65" t="s">
        <v>5924</v>
      </c>
      <c r="U390" s="24" t="s">
        <v>397</v>
      </c>
      <c r="V390" s="19" t="str">
        <f>+Ingresos_Historicos[[#This Row],[idcoleccion]]&amp;"-"&amp;Ingresos_Historicos[[#This Row],[id]]</f>
        <v>300-0380</v>
      </c>
      <c r="W390" s="19">
        <f>+VLOOKUP(Ingresos_Historicos[[#This Row],[Filtro URL]],Estructura!$X$4:$Y$366,2,0)</f>
        <v>30200016</v>
      </c>
      <c r="X390" s="19" t="str">
        <f>+VLOOKUP(Ingresos_Historicos[[#This Row],[tema]],Estructura!$A$4:$C$18,3,0)</f>
        <v>T-310</v>
      </c>
      <c r="Y390" s="19" t="str">
        <f>+VLOOKUP(Ingresos_Historicos[[#This Row],[contenido]],Estructura!$E$4:$G$18,3,0)</f>
        <v>C-303</v>
      </c>
      <c r="Z390" s="19" t="str">
        <f>+VLOOKUP(Ingresos_Historicos[[#This Row],[Filtro Integrado]],Estructura!$M$4:$O$367,3,0)</f>
        <v>FI-303</v>
      </c>
      <c r="AA390" s="19" t="str">
        <f>+VLOOKUP(Ingresos_Historicos[[#This Row],[Muestra]],Estructura!$Q$4:$S$194,3,0)</f>
        <v>M-310</v>
      </c>
    </row>
    <row r="391" spans="1:27" ht="57.6" x14ac:dyDescent="0.3">
      <c r="A391" s="32" t="s">
        <v>777</v>
      </c>
      <c r="B391" s="12">
        <f t="shared" si="88"/>
        <v>300</v>
      </c>
      <c r="C391" s="13" t="str">
        <f t="shared" si="88"/>
        <v>Violencia contra la mujer</v>
      </c>
      <c r="D391" s="13" t="str">
        <f t="shared" si="88"/>
        <v>Mujeres</v>
      </c>
      <c r="E391" s="26">
        <v>1</v>
      </c>
      <c r="F391" s="13" t="s">
        <v>7581</v>
      </c>
      <c r="G391" s="13" t="s">
        <v>7576</v>
      </c>
      <c r="H391" s="29" t="s">
        <v>15</v>
      </c>
      <c r="I391" s="28" t="s">
        <v>367</v>
      </c>
      <c r="J391" s="12" t="s">
        <v>398</v>
      </c>
      <c r="K391" s="12" t="str">
        <f t="shared" si="86"/>
        <v>Sentencias Dictadas por Delitos Vinculados a la Mujer</v>
      </c>
      <c r="L391" s="75" t="str">
        <f t="shared" si="86"/>
        <v>Periodo 2013-2019</v>
      </c>
      <c r="M391" s="12" t="str">
        <f t="shared" si="86"/>
        <v>Número de sentencias</v>
      </c>
      <c r="N391" s="33" t="s">
        <v>5964</v>
      </c>
      <c r="O391" s="74" t="str">
        <f>"Sentencias Dictadas por Delitos Vinculados a la Mujer por Juzgado de Garantía en la "&amp;Ingresos_Historicos[[#This Row],[territorio]]&amp;" durante el Periodo 2013-2019"</f>
        <v>Sentencias Dictadas por Delitos Vinculados a la Mujer por Juzgado de Garantía en la Región de Tarapacá durante el Periodo 2013-2019</v>
      </c>
      <c r="P391"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Tarapacá durante el Periodo 2013-2019 de acuerdo a datos provenientes del Poder Judicial de Chile.</v>
      </c>
      <c r="Q391" s="14" t="str">
        <f t="shared" si="87"/>
        <v>Gráfico de Evolución</v>
      </c>
      <c r="R391" s="27" t="s">
        <v>6233</v>
      </c>
      <c r="S391" s="25" t="s">
        <v>6786</v>
      </c>
      <c r="T391" s="65" t="s">
        <v>5907</v>
      </c>
      <c r="U391" s="24" t="s">
        <v>397</v>
      </c>
      <c r="V391" s="19" t="str">
        <f>+Ingresos_Historicos[[#This Row],[idcoleccion]]&amp;"-"&amp;Ingresos_Historicos[[#This Row],[id]]</f>
        <v>300-0381</v>
      </c>
      <c r="W391" s="19">
        <f>+VLOOKUP(Ingresos_Historicos[[#This Row],[Filtro URL]],Estructura!$X$4:$Y$366,2,0)</f>
        <v>30200001</v>
      </c>
      <c r="X391" s="19" t="str">
        <f>+VLOOKUP(Ingresos_Historicos[[#This Row],[tema]],Estructura!$A$4:$C$18,3,0)</f>
        <v>T-310</v>
      </c>
      <c r="Y391" s="19" t="str">
        <f>+VLOOKUP(Ingresos_Historicos[[#This Row],[contenido]],Estructura!$E$4:$G$18,3,0)</f>
        <v>C-303</v>
      </c>
      <c r="Z391" s="19" t="str">
        <f>+VLOOKUP(Ingresos_Historicos[[#This Row],[Filtro Integrado]],Estructura!$M$4:$O$367,3,0)</f>
        <v>FI-303</v>
      </c>
      <c r="AA391" s="19" t="str">
        <f>+VLOOKUP(Ingresos_Historicos[[#This Row],[Muestra]],Estructura!$Q$4:$S$194,3,0)</f>
        <v>M-310</v>
      </c>
    </row>
    <row r="392" spans="1:27" ht="51" x14ac:dyDescent="0.3">
      <c r="A392" s="71" t="s">
        <v>778</v>
      </c>
      <c r="B392" s="12">
        <f t="shared" si="88"/>
        <v>300</v>
      </c>
      <c r="C392" s="13" t="str">
        <f t="shared" si="88"/>
        <v>Violencia contra la mujer</v>
      </c>
      <c r="D392" s="13" t="str">
        <f t="shared" si="88"/>
        <v>Mujeres</v>
      </c>
      <c r="E392" s="26">
        <v>2</v>
      </c>
      <c r="F392" s="13" t="s">
        <v>7581</v>
      </c>
      <c r="G392" s="13" t="s">
        <v>7576</v>
      </c>
      <c r="H392" s="29" t="s">
        <v>15</v>
      </c>
      <c r="I392" s="28" t="s">
        <v>368</v>
      </c>
      <c r="J392" s="12" t="str">
        <f t="shared" ref="J392:M407" si="89">+J391</f>
        <v>Ninguno</v>
      </c>
      <c r="K392" s="12" t="str">
        <f t="shared" si="89"/>
        <v>Sentencias Dictadas por Delitos Vinculados a la Mujer</v>
      </c>
      <c r="L392" s="75" t="str">
        <f t="shared" si="89"/>
        <v>Periodo 2013-2019</v>
      </c>
      <c r="M392" s="12" t="str">
        <f t="shared" si="89"/>
        <v>Número de sentencias</v>
      </c>
      <c r="N392" s="33" t="s">
        <v>5964</v>
      </c>
      <c r="O392" s="74" t="str">
        <f>"Sentencias Dictadas por Delitos Vinculados a la Mujer por Juzgado de Garantía en la "&amp;Ingresos_Historicos[[#This Row],[territorio]]&amp;" durante el Periodo 2013-2019"</f>
        <v>Sentencias Dictadas por Delitos Vinculados a la Mujer por Juzgado de Garantía en la Región de Antofagasta durante el Periodo 2013-2019</v>
      </c>
      <c r="P392"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Antofagasta durante el Periodo 2013-2019 de acuerdo a datos provenientes del Poder Judicial de Chile.</v>
      </c>
      <c r="Q392" s="14" t="str">
        <f t="shared" si="87"/>
        <v>Gráfico de Evolución</v>
      </c>
      <c r="R392" s="27" t="s">
        <v>6234</v>
      </c>
      <c r="S392" s="15" t="s">
        <v>6787</v>
      </c>
      <c r="T392" s="65" t="s">
        <v>5908</v>
      </c>
      <c r="U392" s="24" t="s">
        <v>397</v>
      </c>
      <c r="V392" s="19" t="str">
        <f>+Ingresos_Historicos[[#This Row],[idcoleccion]]&amp;"-"&amp;Ingresos_Historicos[[#This Row],[id]]</f>
        <v>300-0382</v>
      </c>
      <c r="W392" s="19">
        <f>+VLOOKUP(Ingresos_Historicos[[#This Row],[Filtro URL]],Estructura!$X$4:$Y$366,2,0)</f>
        <v>30200002</v>
      </c>
      <c r="X392" s="19" t="str">
        <f>+VLOOKUP(Ingresos_Historicos[[#This Row],[tema]],Estructura!$A$4:$C$18,3,0)</f>
        <v>T-310</v>
      </c>
      <c r="Y392" s="19" t="str">
        <f>+VLOOKUP(Ingresos_Historicos[[#This Row],[contenido]],Estructura!$E$4:$G$18,3,0)</f>
        <v>C-303</v>
      </c>
      <c r="Z392" s="19" t="str">
        <f>+VLOOKUP(Ingresos_Historicos[[#This Row],[Filtro Integrado]],Estructura!$M$4:$O$367,3,0)</f>
        <v>FI-303</v>
      </c>
      <c r="AA392" s="19" t="str">
        <f>+VLOOKUP(Ingresos_Historicos[[#This Row],[Muestra]],Estructura!$Q$4:$S$194,3,0)</f>
        <v>M-310</v>
      </c>
    </row>
    <row r="393" spans="1:27" ht="51" x14ac:dyDescent="0.3">
      <c r="A393" s="71" t="s">
        <v>779</v>
      </c>
      <c r="B393" s="12">
        <f t="shared" si="88"/>
        <v>300</v>
      </c>
      <c r="C393" s="13" t="str">
        <f t="shared" si="88"/>
        <v>Violencia contra la mujer</v>
      </c>
      <c r="D393" s="13" t="str">
        <f t="shared" si="88"/>
        <v>Mujeres</v>
      </c>
      <c r="E393" s="26">
        <v>3</v>
      </c>
      <c r="F393" s="13" t="s">
        <v>7581</v>
      </c>
      <c r="G393" s="13" t="s">
        <v>7576</v>
      </c>
      <c r="H393" s="29" t="s">
        <v>15</v>
      </c>
      <c r="I393" s="28" t="s">
        <v>369</v>
      </c>
      <c r="J393" s="12" t="str">
        <f t="shared" si="89"/>
        <v>Ninguno</v>
      </c>
      <c r="K393" s="12" t="str">
        <f t="shared" si="89"/>
        <v>Sentencias Dictadas por Delitos Vinculados a la Mujer</v>
      </c>
      <c r="L393" s="75" t="str">
        <f t="shared" si="89"/>
        <v>Periodo 2013-2019</v>
      </c>
      <c r="M393" s="12" t="str">
        <f t="shared" si="89"/>
        <v>Número de sentencias</v>
      </c>
      <c r="N393" s="33" t="s">
        <v>5964</v>
      </c>
      <c r="O393" s="74" t="str">
        <f>"Sentencias Dictadas por Delitos Vinculados a la Mujer por Juzgado de Garantía en la "&amp;Ingresos_Historicos[[#This Row],[territorio]]&amp;" durante el Periodo 2013-2019"</f>
        <v>Sentencias Dictadas por Delitos Vinculados a la Mujer por Juzgado de Garantía en la Región de Atacama durante el Periodo 2013-2019</v>
      </c>
      <c r="P393"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Atacama durante el Periodo 2013-2019 de acuerdo a datos provenientes del Poder Judicial de Chile.</v>
      </c>
      <c r="Q393" s="14" t="str">
        <f t="shared" si="87"/>
        <v>Gráfico de Evolución</v>
      </c>
      <c r="R393" s="27" t="s">
        <v>6235</v>
      </c>
      <c r="S393" s="15" t="s">
        <v>6788</v>
      </c>
      <c r="T393" s="65" t="s">
        <v>5909</v>
      </c>
      <c r="U393" s="24" t="s">
        <v>397</v>
      </c>
      <c r="V393" s="19" t="str">
        <f>+Ingresos_Historicos[[#This Row],[idcoleccion]]&amp;"-"&amp;Ingresos_Historicos[[#This Row],[id]]</f>
        <v>300-0383</v>
      </c>
      <c r="W393" s="19">
        <f>+VLOOKUP(Ingresos_Historicos[[#This Row],[Filtro URL]],Estructura!$X$4:$Y$366,2,0)</f>
        <v>30200003</v>
      </c>
      <c r="X393" s="19" t="str">
        <f>+VLOOKUP(Ingresos_Historicos[[#This Row],[tema]],Estructura!$A$4:$C$18,3,0)</f>
        <v>T-310</v>
      </c>
      <c r="Y393" s="19" t="str">
        <f>+VLOOKUP(Ingresos_Historicos[[#This Row],[contenido]],Estructura!$E$4:$G$18,3,0)</f>
        <v>C-303</v>
      </c>
      <c r="Z393" s="19" t="str">
        <f>+VLOOKUP(Ingresos_Historicos[[#This Row],[Filtro Integrado]],Estructura!$M$4:$O$367,3,0)</f>
        <v>FI-303</v>
      </c>
      <c r="AA393" s="19" t="str">
        <f>+VLOOKUP(Ingresos_Historicos[[#This Row],[Muestra]],Estructura!$Q$4:$S$194,3,0)</f>
        <v>M-310</v>
      </c>
    </row>
    <row r="394" spans="1:27" ht="51" x14ac:dyDescent="0.3">
      <c r="A394" s="71" t="s">
        <v>780</v>
      </c>
      <c r="B394" s="12">
        <f t="shared" si="88"/>
        <v>300</v>
      </c>
      <c r="C394" s="13" t="str">
        <f t="shared" si="88"/>
        <v>Violencia contra la mujer</v>
      </c>
      <c r="D394" s="13" t="str">
        <f t="shared" si="88"/>
        <v>Mujeres</v>
      </c>
      <c r="E394" s="26">
        <v>4</v>
      </c>
      <c r="F394" s="13" t="s">
        <v>7581</v>
      </c>
      <c r="G394" s="13" t="s">
        <v>7576</v>
      </c>
      <c r="H394" s="29" t="s">
        <v>15</v>
      </c>
      <c r="I394" s="28" t="s">
        <v>370</v>
      </c>
      <c r="J394" s="12" t="str">
        <f t="shared" si="89"/>
        <v>Ninguno</v>
      </c>
      <c r="K394" s="12" t="str">
        <f t="shared" si="89"/>
        <v>Sentencias Dictadas por Delitos Vinculados a la Mujer</v>
      </c>
      <c r="L394" s="75" t="str">
        <f t="shared" si="89"/>
        <v>Periodo 2013-2019</v>
      </c>
      <c r="M394" s="12" t="str">
        <f t="shared" si="89"/>
        <v>Número de sentencias</v>
      </c>
      <c r="N394" s="33" t="s">
        <v>5964</v>
      </c>
      <c r="O394" s="74" t="str">
        <f>"Sentencias Dictadas por Delitos Vinculados a la Mujer por Juzgado de Garantía en la "&amp;Ingresos_Historicos[[#This Row],[territorio]]&amp;" durante el Periodo 2013-2019"</f>
        <v>Sentencias Dictadas por Delitos Vinculados a la Mujer por Juzgado de Garantía en la Región de Coquimbo durante el Periodo 2013-2019</v>
      </c>
      <c r="P394"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Coquimbo durante el Periodo 2013-2019 de acuerdo a datos provenientes del Poder Judicial de Chile.</v>
      </c>
      <c r="Q394" s="14" t="str">
        <f t="shared" si="87"/>
        <v>Gráfico de Evolución</v>
      </c>
      <c r="R394" s="27" t="s">
        <v>6236</v>
      </c>
      <c r="S394" s="15" t="s">
        <v>6789</v>
      </c>
      <c r="T394" s="65" t="s">
        <v>5910</v>
      </c>
      <c r="U394" s="24" t="s">
        <v>397</v>
      </c>
      <c r="V394" s="19" t="str">
        <f>+Ingresos_Historicos[[#This Row],[idcoleccion]]&amp;"-"&amp;Ingresos_Historicos[[#This Row],[id]]</f>
        <v>300-0384</v>
      </c>
      <c r="W394" s="19">
        <f>+VLOOKUP(Ingresos_Historicos[[#This Row],[Filtro URL]],Estructura!$X$4:$Y$366,2,0)</f>
        <v>30200004</v>
      </c>
      <c r="X394" s="19" t="str">
        <f>+VLOOKUP(Ingresos_Historicos[[#This Row],[tema]],Estructura!$A$4:$C$18,3,0)</f>
        <v>T-310</v>
      </c>
      <c r="Y394" s="19" t="str">
        <f>+VLOOKUP(Ingresos_Historicos[[#This Row],[contenido]],Estructura!$E$4:$G$18,3,0)</f>
        <v>C-303</v>
      </c>
      <c r="Z394" s="19" t="str">
        <f>+VLOOKUP(Ingresos_Historicos[[#This Row],[Filtro Integrado]],Estructura!$M$4:$O$367,3,0)</f>
        <v>FI-303</v>
      </c>
      <c r="AA394" s="19" t="str">
        <f>+VLOOKUP(Ingresos_Historicos[[#This Row],[Muestra]],Estructura!$Q$4:$S$194,3,0)</f>
        <v>M-310</v>
      </c>
    </row>
    <row r="395" spans="1:27" ht="51" x14ac:dyDescent="0.3">
      <c r="A395" s="71" t="s">
        <v>781</v>
      </c>
      <c r="B395" s="12">
        <f t="shared" si="88"/>
        <v>300</v>
      </c>
      <c r="C395" s="13" t="str">
        <f t="shared" si="88"/>
        <v>Violencia contra la mujer</v>
      </c>
      <c r="D395" s="13" t="str">
        <f t="shared" si="88"/>
        <v>Mujeres</v>
      </c>
      <c r="E395" s="26">
        <v>5</v>
      </c>
      <c r="F395" s="13" t="s">
        <v>7581</v>
      </c>
      <c r="G395" s="13" t="s">
        <v>7576</v>
      </c>
      <c r="H395" s="29" t="s">
        <v>15</v>
      </c>
      <c r="I395" s="28" t="s">
        <v>371</v>
      </c>
      <c r="J395" s="12" t="str">
        <f t="shared" si="89"/>
        <v>Ninguno</v>
      </c>
      <c r="K395" s="12" t="str">
        <f t="shared" si="89"/>
        <v>Sentencias Dictadas por Delitos Vinculados a la Mujer</v>
      </c>
      <c r="L395" s="75" t="str">
        <f t="shared" si="89"/>
        <v>Periodo 2013-2019</v>
      </c>
      <c r="M395" s="12" t="str">
        <f t="shared" si="89"/>
        <v>Número de sentencias</v>
      </c>
      <c r="N395" s="33" t="s">
        <v>5964</v>
      </c>
      <c r="O395" s="74" t="str">
        <f>"Sentencias Dictadas por Delitos Vinculados a la Mujer por Juzgado de Garantía en la "&amp;Ingresos_Historicos[[#This Row],[territorio]]&amp;" durante el Periodo 2013-2019"</f>
        <v>Sentencias Dictadas por Delitos Vinculados a la Mujer por Juzgado de Garantía en la Región de Valparaíso durante el Periodo 2013-2019</v>
      </c>
      <c r="P395"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Valparaíso durante el Periodo 2013-2019 de acuerdo a datos provenientes del Poder Judicial de Chile.</v>
      </c>
      <c r="Q395" s="14" t="str">
        <f t="shared" si="87"/>
        <v>Gráfico de Evolución</v>
      </c>
      <c r="R395" s="27" t="s">
        <v>6237</v>
      </c>
      <c r="S395" s="15" t="s">
        <v>6790</v>
      </c>
      <c r="T395" s="65" t="s">
        <v>5911</v>
      </c>
      <c r="U395" s="24" t="s">
        <v>397</v>
      </c>
      <c r="V395" s="19" t="str">
        <f>+Ingresos_Historicos[[#This Row],[idcoleccion]]&amp;"-"&amp;Ingresos_Historicos[[#This Row],[id]]</f>
        <v>300-0385</v>
      </c>
      <c r="W395" s="19">
        <f>+VLOOKUP(Ingresos_Historicos[[#This Row],[Filtro URL]],Estructura!$X$4:$Y$366,2,0)</f>
        <v>30200005</v>
      </c>
      <c r="X395" s="19" t="str">
        <f>+VLOOKUP(Ingresos_Historicos[[#This Row],[tema]],Estructura!$A$4:$C$18,3,0)</f>
        <v>T-310</v>
      </c>
      <c r="Y395" s="19" t="str">
        <f>+VLOOKUP(Ingresos_Historicos[[#This Row],[contenido]],Estructura!$E$4:$G$18,3,0)</f>
        <v>C-303</v>
      </c>
      <c r="Z395" s="19" t="str">
        <f>+VLOOKUP(Ingresos_Historicos[[#This Row],[Filtro Integrado]],Estructura!$M$4:$O$367,3,0)</f>
        <v>FI-303</v>
      </c>
      <c r="AA395" s="19" t="str">
        <f>+VLOOKUP(Ingresos_Historicos[[#This Row],[Muestra]],Estructura!$Q$4:$S$194,3,0)</f>
        <v>M-310</v>
      </c>
    </row>
    <row r="396" spans="1:27" ht="51" x14ac:dyDescent="0.3">
      <c r="A396" s="71" t="s">
        <v>782</v>
      </c>
      <c r="B396" s="12">
        <f t="shared" si="88"/>
        <v>300</v>
      </c>
      <c r="C396" s="13" t="str">
        <f t="shared" si="88"/>
        <v>Violencia contra la mujer</v>
      </c>
      <c r="D396" s="13" t="str">
        <f t="shared" si="88"/>
        <v>Mujeres</v>
      </c>
      <c r="E396" s="26">
        <v>6</v>
      </c>
      <c r="F396" s="13" t="s">
        <v>7581</v>
      </c>
      <c r="G396" s="13" t="s">
        <v>7576</v>
      </c>
      <c r="H396" s="29" t="s">
        <v>15</v>
      </c>
      <c r="I396" s="28" t="s">
        <v>372</v>
      </c>
      <c r="J396" s="12" t="str">
        <f t="shared" si="89"/>
        <v>Ninguno</v>
      </c>
      <c r="K396" s="12" t="str">
        <f t="shared" si="89"/>
        <v>Sentencias Dictadas por Delitos Vinculados a la Mujer</v>
      </c>
      <c r="L396" s="75" t="str">
        <f t="shared" si="89"/>
        <v>Periodo 2013-2019</v>
      </c>
      <c r="M396" s="12" t="str">
        <f t="shared" si="89"/>
        <v>Número de sentencias</v>
      </c>
      <c r="N396" s="33" t="s">
        <v>5964</v>
      </c>
      <c r="O396" s="74" t="str">
        <f>"Sentencias Dictadas por Delitos Vinculados a la Mujer por Juzgado de Garantía en la "&amp;Ingresos_Historicos[[#This Row],[territorio]]&amp;" durante el Periodo 2013-2019"</f>
        <v>Sentencias Dictadas por Delitos Vinculados a la Mujer por Juzgado de Garantía en la Región de O'Higgins durante el Periodo 2013-2019</v>
      </c>
      <c r="P396"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O'Higgins durante el Periodo 2013-2019 de acuerdo a datos provenientes del Poder Judicial de Chile.</v>
      </c>
      <c r="Q396" s="14" t="str">
        <f t="shared" si="87"/>
        <v>Gráfico de Evolución</v>
      </c>
      <c r="R396" s="27" t="s">
        <v>6238</v>
      </c>
      <c r="S396" s="15" t="s">
        <v>6791</v>
      </c>
      <c r="T396" s="65" t="s">
        <v>5912</v>
      </c>
      <c r="U396" s="24" t="s">
        <v>397</v>
      </c>
      <c r="V396" s="19" t="str">
        <f>+Ingresos_Historicos[[#This Row],[idcoleccion]]&amp;"-"&amp;Ingresos_Historicos[[#This Row],[id]]</f>
        <v>300-0386</v>
      </c>
      <c r="W396" s="19">
        <f>+VLOOKUP(Ingresos_Historicos[[#This Row],[Filtro URL]],Estructura!$X$4:$Y$366,2,0)</f>
        <v>30200006</v>
      </c>
      <c r="X396" s="19" t="str">
        <f>+VLOOKUP(Ingresos_Historicos[[#This Row],[tema]],Estructura!$A$4:$C$18,3,0)</f>
        <v>T-310</v>
      </c>
      <c r="Y396" s="19" t="str">
        <f>+VLOOKUP(Ingresos_Historicos[[#This Row],[contenido]],Estructura!$E$4:$G$18,3,0)</f>
        <v>C-303</v>
      </c>
      <c r="Z396" s="19" t="str">
        <f>+VLOOKUP(Ingresos_Historicos[[#This Row],[Filtro Integrado]],Estructura!$M$4:$O$367,3,0)</f>
        <v>FI-303</v>
      </c>
      <c r="AA396" s="19" t="str">
        <f>+VLOOKUP(Ingresos_Historicos[[#This Row],[Muestra]],Estructura!$Q$4:$S$194,3,0)</f>
        <v>M-310</v>
      </c>
    </row>
    <row r="397" spans="1:27" ht="51" x14ac:dyDescent="0.3">
      <c r="A397" s="71" t="s">
        <v>783</v>
      </c>
      <c r="B397" s="12">
        <f t="shared" si="88"/>
        <v>300</v>
      </c>
      <c r="C397" s="13" t="str">
        <f t="shared" si="88"/>
        <v>Violencia contra la mujer</v>
      </c>
      <c r="D397" s="13" t="str">
        <f t="shared" si="88"/>
        <v>Mujeres</v>
      </c>
      <c r="E397" s="26">
        <v>7</v>
      </c>
      <c r="F397" s="13" t="s">
        <v>7581</v>
      </c>
      <c r="G397" s="13" t="s">
        <v>7576</v>
      </c>
      <c r="H397" s="29" t="s">
        <v>15</v>
      </c>
      <c r="I397" s="28" t="s">
        <v>373</v>
      </c>
      <c r="J397" s="12" t="str">
        <f t="shared" si="89"/>
        <v>Ninguno</v>
      </c>
      <c r="K397" s="12" t="str">
        <f t="shared" si="89"/>
        <v>Sentencias Dictadas por Delitos Vinculados a la Mujer</v>
      </c>
      <c r="L397" s="75" t="str">
        <f t="shared" si="89"/>
        <v>Periodo 2013-2019</v>
      </c>
      <c r="M397" s="12" t="str">
        <f t="shared" si="89"/>
        <v>Número de sentencias</v>
      </c>
      <c r="N397" s="33" t="s">
        <v>5964</v>
      </c>
      <c r="O397" s="74" t="str">
        <f>"Sentencias Dictadas por Delitos Vinculados a la Mujer por Juzgado de Garantía en la "&amp;Ingresos_Historicos[[#This Row],[territorio]]&amp;" durante el Periodo 2013-2019"</f>
        <v>Sentencias Dictadas por Delitos Vinculados a la Mujer por Juzgado de Garantía en la Región de Maule durante el Periodo 2013-2019</v>
      </c>
      <c r="P397"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Maule durante el Periodo 2013-2019 de acuerdo a datos provenientes del Poder Judicial de Chile.</v>
      </c>
      <c r="Q397" s="14" t="str">
        <f t="shared" si="87"/>
        <v>Gráfico de Evolución</v>
      </c>
      <c r="R397" s="27" t="s">
        <v>6239</v>
      </c>
      <c r="S397" s="15" t="s">
        <v>6792</v>
      </c>
      <c r="T397" s="65" t="s">
        <v>5913</v>
      </c>
      <c r="U397" s="24" t="s">
        <v>397</v>
      </c>
      <c r="V397" s="19" t="str">
        <f>+Ingresos_Historicos[[#This Row],[idcoleccion]]&amp;"-"&amp;Ingresos_Historicos[[#This Row],[id]]</f>
        <v>300-0387</v>
      </c>
      <c r="W397" s="19">
        <f>+VLOOKUP(Ingresos_Historicos[[#This Row],[Filtro URL]],Estructura!$X$4:$Y$366,2,0)</f>
        <v>30200007</v>
      </c>
      <c r="X397" s="19" t="str">
        <f>+VLOOKUP(Ingresos_Historicos[[#This Row],[tema]],Estructura!$A$4:$C$18,3,0)</f>
        <v>T-310</v>
      </c>
      <c r="Y397" s="19" t="str">
        <f>+VLOOKUP(Ingresos_Historicos[[#This Row],[contenido]],Estructura!$E$4:$G$18,3,0)</f>
        <v>C-303</v>
      </c>
      <c r="Z397" s="19" t="str">
        <f>+VLOOKUP(Ingresos_Historicos[[#This Row],[Filtro Integrado]],Estructura!$M$4:$O$367,3,0)</f>
        <v>FI-303</v>
      </c>
      <c r="AA397" s="19" t="str">
        <f>+VLOOKUP(Ingresos_Historicos[[#This Row],[Muestra]],Estructura!$Q$4:$S$194,3,0)</f>
        <v>M-310</v>
      </c>
    </row>
    <row r="398" spans="1:27" ht="51" x14ac:dyDescent="0.3">
      <c r="A398" s="71" t="s">
        <v>784</v>
      </c>
      <c r="B398" s="12">
        <f t="shared" si="88"/>
        <v>300</v>
      </c>
      <c r="C398" s="13" t="str">
        <f t="shared" si="88"/>
        <v>Violencia contra la mujer</v>
      </c>
      <c r="D398" s="13" t="str">
        <f t="shared" si="88"/>
        <v>Mujeres</v>
      </c>
      <c r="E398" s="26">
        <v>8</v>
      </c>
      <c r="F398" s="13" t="s">
        <v>7581</v>
      </c>
      <c r="G398" s="13" t="s">
        <v>7576</v>
      </c>
      <c r="H398" s="29" t="s">
        <v>15</v>
      </c>
      <c r="I398" s="28" t="s">
        <v>374</v>
      </c>
      <c r="J398" s="12" t="str">
        <f t="shared" si="89"/>
        <v>Ninguno</v>
      </c>
      <c r="K398" s="12" t="str">
        <f t="shared" si="89"/>
        <v>Sentencias Dictadas por Delitos Vinculados a la Mujer</v>
      </c>
      <c r="L398" s="75" t="str">
        <f t="shared" si="89"/>
        <v>Periodo 2013-2019</v>
      </c>
      <c r="M398" s="12" t="str">
        <f t="shared" si="89"/>
        <v>Número de sentencias</v>
      </c>
      <c r="N398" s="33" t="s">
        <v>5964</v>
      </c>
      <c r="O398" s="74" t="str">
        <f>"Sentencias Dictadas por Delitos Vinculados a la Mujer por Juzgado de Garantía en la "&amp;Ingresos_Historicos[[#This Row],[territorio]]&amp;" durante el Periodo 2013-2019"</f>
        <v>Sentencias Dictadas por Delitos Vinculados a la Mujer por Juzgado de Garantía en la Región del Biobío durante el Periodo 2013-2019</v>
      </c>
      <c r="P398"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del Biobío durante el Periodo 2013-2019 de acuerdo a datos provenientes del Poder Judicial de Chile.</v>
      </c>
      <c r="Q398" s="14" t="str">
        <f t="shared" si="87"/>
        <v>Gráfico de Evolución</v>
      </c>
      <c r="R398" s="27" t="s">
        <v>6240</v>
      </c>
      <c r="S398" s="15" t="s">
        <v>6793</v>
      </c>
      <c r="T398" s="65" t="s">
        <v>5914</v>
      </c>
      <c r="U398" s="24" t="s">
        <v>397</v>
      </c>
      <c r="V398" s="19" t="str">
        <f>+Ingresos_Historicos[[#This Row],[idcoleccion]]&amp;"-"&amp;Ingresos_Historicos[[#This Row],[id]]</f>
        <v>300-0388</v>
      </c>
      <c r="W398" s="19">
        <f>+VLOOKUP(Ingresos_Historicos[[#This Row],[Filtro URL]],Estructura!$X$4:$Y$366,2,0)</f>
        <v>30200008</v>
      </c>
      <c r="X398" s="19" t="str">
        <f>+VLOOKUP(Ingresos_Historicos[[#This Row],[tema]],Estructura!$A$4:$C$18,3,0)</f>
        <v>T-310</v>
      </c>
      <c r="Y398" s="19" t="str">
        <f>+VLOOKUP(Ingresos_Historicos[[#This Row],[contenido]],Estructura!$E$4:$G$18,3,0)</f>
        <v>C-303</v>
      </c>
      <c r="Z398" s="19" t="str">
        <f>+VLOOKUP(Ingresos_Historicos[[#This Row],[Filtro Integrado]],Estructura!$M$4:$O$367,3,0)</f>
        <v>FI-303</v>
      </c>
      <c r="AA398" s="19" t="str">
        <f>+VLOOKUP(Ingresos_Historicos[[#This Row],[Muestra]],Estructura!$Q$4:$S$194,3,0)</f>
        <v>M-310</v>
      </c>
    </row>
    <row r="399" spans="1:27" ht="51" x14ac:dyDescent="0.3">
      <c r="A399" s="71" t="s">
        <v>785</v>
      </c>
      <c r="B399" s="12">
        <f t="shared" si="88"/>
        <v>300</v>
      </c>
      <c r="C399" s="13" t="str">
        <f t="shared" si="88"/>
        <v>Violencia contra la mujer</v>
      </c>
      <c r="D399" s="13" t="str">
        <f t="shared" si="88"/>
        <v>Mujeres</v>
      </c>
      <c r="E399" s="26">
        <v>9</v>
      </c>
      <c r="F399" s="13" t="s">
        <v>7581</v>
      </c>
      <c r="G399" s="13" t="s">
        <v>7576</v>
      </c>
      <c r="H399" s="29" t="s">
        <v>15</v>
      </c>
      <c r="I399" s="28" t="s">
        <v>375</v>
      </c>
      <c r="J399" s="12" t="str">
        <f t="shared" si="89"/>
        <v>Ninguno</v>
      </c>
      <c r="K399" s="12" t="str">
        <f t="shared" si="89"/>
        <v>Sentencias Dictadas por Delitos Vinculados a la Mujer</v>
      </c>
      <c r="L399" s="75" t="str">
        <f t="shared" si="89"/>
        <v>Periodo 2013-2019</v>
      </c>
      <c r="M399" s="12" t="str">
        <f t="shared" si="89"/>
        <v>Número de sentencias</v>
      </c>
      <c r="N399" s="33" t="s">
        <v>5964</v>
      </c>
      <c r="O399" s="74" t="str">
        <f>"Sentencias Dictadas por Delitos Vinculados a la Mujer por Juzgado de Garantía en la "&amp;Ingresos_Historicos[[#This Row],[territorio]]&amp;" durante el Periodo 2013-2019"</f>
        <v>Sentencias Dictadas por Delitos Vinculados a la Mujer por Juzgado de Garantía en la Región de La Araucanía durante el Periodo 2013-2019</v>
      </c>
      <c r="P399"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La Araucanía durante el Periodo 2013-2019 de acuerdo a datos provenientes del Poder Judicial de Chile.</v>
      </c>
      <c r="Q399" s="14" t="str">
        <f t="shared" si="87"/>
        <v>Gráfico de Evolución</v>
      </c>
      <c r="R399" s="27" t="s">
        <v>6241</v>
      </c>
      <c r="S399" s="15" t="s">
        <v>6794</v>
      </c>
      <c r="T399" s="65" t="s">
        <v>5915</v>
      </c>
      <c r="U399" s="24" t="s">
        <v>397</v>
      </c>
      <c r="V399" s="19" t="str">
        <f>+Ingresos_Historicos[[#This Row],[idcoleccion]]&amp;"-"&amp;Ingresos_Historicos[[#This Row],[id]]</f>
        <v>300-0389</v>
      </c>
      <c r="W399" s="19">
        <f>+VLOOKUP(Ingresos_Historicos[[#This Row],[Filtro URL]],Estructura!$X$4:$Y$366,2,0)</f>
        <v>30200009</v>
      </c>
      <c r="X399" s="19" t="str">
        <f>+VLOOKUP(Ingresos_Historicos[[#This Row],[tema]],Estructura!$A$4:$C$18,3,0)</f>
        <v>T-310</v>
      </c>
      <c r="Y399" s="19" t="str">
        <f>+VLOOKUP(Ingresos_Historicos[[#This Row],[contenido]],Estructura!$E$4:$G$18,3,0)</f>
        <v>C-303</v>
      </c>
      <c r="Z399" s="19" t="str">
        <f>+VLOOKUP(Ingresos_Historicos[[#This Row],[Filtro Integrado]],Estructura!$M$4:$O$367,3,0)</f>
        <v>FI-303</v>
      </c>
      <c r="AA399" s="19" t="str">
        <f>+VLOOKUP(Ingresos_Historicos[[#This Row],[Muestra]],Estructura!$Q$4:$S$194,3,0)</f>
        <v>M-310</v>
      </c>
    </row>
    <row r="400" spans="1:27" ht="51" x14ac:dyDescent="0.3">
      <c r="A400" s="71" t="s">
        <v>786</v>
      </c>
      <c r="B400" s="12">
        <f t="shared" si="88"/>
        <v>300</v>
      </c>
      <c r="C400" s="13" t="str">
        <f t="shared" si="88"/>
        <v>Violencia contra la mujer</v>
      </c>
      <c r="D400" s="13" t="str">
        <f t="shared" si="88"/>
        <v>Mujeres</v>
      </c>
      <c r="E400" s="26">
        <v>10</v>
      </c>
      <c r="F400" s="13" t="s">
        <v>7581</v>
      </c>
      <c r="G400" s="13" t="s">
        <v>7576</v>
      </c>
      <c r="H400" s="29" t="s">
        <v>15</v>
      </c>
      <c r="I400" s="28" t="s">
        <v>376</v>
      </c>
      <c r="J400" s="12" t="str">
        <f t="shared" si="89"/>
        <v>Ninguno</v>
      </c>
      <c r="K400" s="12" t="str">
        <f t="shared" si="89"/>
        <v>Sentencias Dictadas por Delitos Vinculados a la Mujer</v>
      </c>
      <c r="L400" s="75" t="str">
        <f t="shared" si="89"/>
        <v>Periodo 2013-2019</v>
      </c>
      <c r="M400" s="12" t="str">
        <f t="shared" si="89"/>
        <v>Número de sentencias</v>
      </c>
      <c r="N400" s="33" t="s">
        <v>5964</v>
      </c>
      <c r="O400" s="74" t="str">
        <f>"Sentencias Dictadas por Delitos Vinculados a la Mujer por Juzgado de Garantía en la "&amp;Ingresos_Historicos[[#This Row],[territorio]]&amp;" durante el Periodo 2013-2019"</f>
        <v>Sentencias Dictadas por Delitos Vinculados a la Mujer por Juzgado de Garantía en la Región de Los Lagos durante el Periodo 2013-2019</v>
      </c>
      <c r="P400"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Los Lagos durante el Periodo 2013-2019 de acuerdo a datos provenientes del Poder Judicial de Chile.</v>
      </c>
      <c r="Q400" s="14" t="str">
        <f t="shared" si="87"/>
        <v>Gráfico de Evolución</v>
      </c>
      <c r="R400" s="27" t="s">
        <v>6242</v>
      </c>
      <c r="S400" s="15" t="s">
        <v>6795</v>
      </c>
      <c r="T400" s="65" t="s">
        <v>5916</v>
      </c>
      <c r="U400" s="24" t="s">
        <v>397</v>
      </c>
      <c r="V400" s="19" t="str">
        <f>+Ingresos_Historicos[[#This Row],[idcoleccion]]&amp;"-"&amp;Ingresos_Historicos[[#This Row],[id]]</f>
        <v>300-0390</v>
      </c>
      <c r="W400" s="19">
        <f>+VLOOKUP(Ingresos_Historicos[[#This Row],[Filtro URL]],Estructura!$X$4:$Y$366,2,0)</f>
        <v>30200010</v>
      </c>
      <c r="X400" s="19" t="str">
        <f>+VLOOKUP(Ingresos_Historicos[[#This Row],[tema]],Estructura!$A$4:$C$18,3,0)</f>
        <v>T-310</v>
      </c>
      <c r="Y400" s="19" t="str">
        <f>+VLOOKUP(Ingresos_Historicos[[#This Row],[contenido]],Estructura!$E$4:$G$18,3,0)</f>
        <v>C-303</v>
      </c>
      <c r="Z400" s="19" t="str">
        <f>+VLOOKUP(Ingresos_Historicos[[#This Row],[Filtro Integrado]],Estructura!$M$4:$O$367,3,0)</f>
        <v>FI-303</v>
      </c>
      <c r="AA400" s="19" t="str">
        <f>+VLOOKUP(Ingresos_Historicos[[#This Row],[Muestra]],Estructura!$Q$4:$S$194,3,0)</f>
        <v>M-310</v>
      </c>
    </row>
    <row r="401" spans="1:27" ht="51" x14ac:dyDescent="0.3">
      <c r="A401" s="71" t="s">
        <v>787</v>
      </c>
      <c r="B401" s="12">
        <f t="shared" si="88"/>
        <v>300</v>
      </c>
      <c r="C401" s="13" t="str">
        <f t="shared" si="88"/>
        <v>Violencia contra la mujer</v>
      </c>
      <c r="D401" s="13" t="str">
        <f t="shared" si="88"/>
        <v>Mujeres</v>
      </c>
      <c r="E401" s="26">
        <v>11</v>
      </c>
      <c r="F401" s="13" t="s">
        <v>7581</v>
      </c>
      <c r="G401" s="13" t="s">
        <v>7576</v>
      </c>
      <c r="H401" s="29" t="s">
        <v>15</v>
      </c>
      <c r="I401" s="28" t="s">
        <v>377</v>
      </c>
      <c r="J401" s="12" t="str">
        <f t="shared" si="89"/>
        <v>Ninguno</v>
      </c>
      <c r="K401" s="12" t="str">
        <f t="shared" si="89"/>
        <v>Sentencias Dictadas por Delitos Vinculados a la Mujer</v>
      </c>
      <c r="L401" s="75" t="str">
        <f t="shared" si="89"/>
        <v>Periodo 2013-2019</v>
      </c>
      <c r="M401" s="12" t="str">
        <f t="shared" si="89"/>
        <v>Número de sentencias</v>
      </c>
      <c r="N401" s="33" t="s">
        <v>5964</v>
      </c>
      <c r="O401" s="74" t="str">
        <f>"Sentencias Dictadas por Delitos Vinculados a la Mujer por Juzgado de Garantía en la "&amp;Ingresos_Historicos[[#This Row],[territorio]]&amp;" durante el Periodo 2013-2019"</f>
        <v>Sentencias Dictadas por Delitos Vinculados a la Mujer por Juzgado de Garantía en la Región de Aysén durante el Periodo 2013-2019</v>
      </c>
      <c r="P401"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Aysén durante el Periodo 2013-2019 de acuerdo a datos provenientes del Poder Judicial de Chile.</v>
      </c>
      <c r="Q401" s="14" t="str">
        <f t="shared" si="87"/>
        <v>Gráfico de Evolución</v>
      </c>
      <c r="R401" s="27" t="s">
        <v>6243</v>
      </c>
      <c r="S401" s="15" t="s">
        <v>6796</v>
      </c>
      <c r="T401" s="65" t="s">
        <v>5917</v>
      </c>
      <c r="U401" s="24" t="s">
        <v>397</v>
      </c>
      <c r="V401" s="19" t="str">
        <f>+Ingresos_Historicos[[#This Row],[idcoleccion]]&amp;"-"&amp;Ingresos_Historicos[[#This Row],[id]]</f>
        <v>300-0391</v>
      </c>
      <c r="W401" s="19">
        <f>+VLOOKUP(Ingresos_Historicos[[#This Row],[Filtro URL]],Estructura!$X$4:$Y$366,2,0)</f>
        <v>30200011</v>
      </c>
      <c r="X401" s="19" t="str">
        <f>+VLOOKUP(Ingresos_Historicos[[#This Row],[tema]],Estructura!$A$4:$C$18,3,0)</f>
        <v>T-310</v>
      </c>
      <c r="Y401" s="19" t="str">
        <f>+VLOOKUP(Ingresos_Historicos[[#This Row],[contenido]],Estructura!$E$4:$G$18,3,0)</f>
        <v>C-303</v>
      </c>
      <c r="Z401" s="19" t="str">
        <f>+VLOOKUP(Ingresos_Historicos[[#This Row],[Filtro Integrado]],Estructura!$M$4:$O$367,3,0)</f>
        <v>FI-303</v>
      </c>
      <c r="AA401" s="19" t="str">
        <f>+VLOOKUP(Ingresos_Historicos[[#This Row],[Muestra]],Estructura!$Q$4:$S$194,3,0)</f>
        <v>M-310</v>
      </c>
    </row>
    <row r="402" spans="1:27" ht="51" x14ac:dyDescent="0.3">
      <c r="A402" s="71" t="s">
        <v>788</v>
      </c>
      <c r="B402" s="12">
        <f t="shared" si="88"/>
        <v>300</v>
      </c>
      <c r="C402" s="13" t="str">
        <f t="shared" si="88"/>
        <v>Violencia contra la mujer</v>
      </c>
      <c r="D402" s="13" t="str">
        <f t="shared" si="88"/>
        <v>Mujeres</v>
      </c>
      <c r="E402" s="26">
        <v>12</v>
      </c>
      <c r="F402" s="13" t="s">
        <v>7581</v>
      </c>
      <c r="G402" s="13" t="s">
        <v>7576</v>
      </c>
      <c r="H402" s="29" t="s">
        <v>15</v>
      </c>
      <c r="I402" s="28" t="s">
        <v>378</v>
      </c>
      <c r="J402" s="12" t="str">
        <f t="shared" si="89"/>
        <v>Ninguno</v>
      </c>
      <c r="K402" s="12" t="str">
        <f t="shared" si="89"/>
        <v>Sentencias Dictadas por Delitos Vinculados a la Mujer</v>
      </c>
      <c r="L402" s="75" t="str">
        <f t="shared" si="89"/>
        <v>Periodo 2013-2019</v>
      </c>
      <c r="M402" s="12" t="str">
        <f t="shared" si="89"/>
        <v>Número de sentencias</v>
      </c>
      <c r="N402" s="33" t="s">
        <v>5964</v>
      </c>
      <c r="O402" s="74" t="str">
        <f>"Sentencias Dictadas por Delitos Vinculados a la Mujer por Juzgado de Garantía en la "&amp;Ingresos_Historicos[[#This Row],[territorio]]&amp;" durante el Periodo 2013-2019"</f>
        <v>Sentencias Dictadas por Delitos Vinculados a la Mujer por Juzgado de Garantía en la Región de Magallanes durante el Periodo 2013-2019</v>
      </c>
      <c r="P402"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Magallanes durante el Periodo 2013-2019 de acuerdo a datos provenientes del Poder Judicial de Chile.</v>
      </c>
      <c r="Q402" s="14" t="str">
        <f t="shared" si="87"/>
        <v>Gráfico de Evolución</v>
      </c>
      <c r="R402" s="27" t="s">
        <v>6244</v>
      </c>
      <c r="S402" s="15" t="s">
        <v>6797</v>
      </c>
      <c r="T402" s="65" t="s">
        <v>5918</v>
      </c>
      <c r="U402" s="24" t="s">
        <v>397</v>
      </c>
      <c r="V402" s="19" t="str">
        <f>+Ingresos_Historicos[[#This Row],[idcoleccion]]&amp;"-"&amp;Ingresos_Historicos[[#This Row],[id]]</f>
        <v>300-0392</v>
      </c>
      <c r="W402" s="19">
        <f>+VLOOKUP(Ingresos_Historicos[[#This Row],[Filtro URL]],Estructura!$X$4:$Y$366,2,0)</f>
        <v>30200012</v>
      </c>
      <c r="X402" s="19" t="str">
        <f>+VLOOKUP(Ingresos_Historicos[[#This Row],[tema]],Estructura!$A$4:$C$18,3,0)</f>
        <v>T-310</v>
      </c>
      <c r="Y402" s="19" t="str">
        <f>+VLOOKUP(Ingresos_Historicos[[#This Row],[contenido]],Estructura!$E$4:$G$18,3,0)</f>
        <v>C-303</v>
      </c>
      <c r="Z402" s="19" t="str">
        <f>+VLOOKUP(Ingresos_Historicos[[#This Row],[Filtro Integrado]],Estructura!$M$4:$O$367,3,0)</f>
        <v>FI-303</v>
      </c>
      <c r="AA402" s="19" t="str">
        <f>+VLOOKUP(Ingresos_Historicos[[#This Row],[Muestra]],Estructura!$Q$4:$S$194,3,0)</f>
        <v>M-310</v>
      </c>
    </row>
    <row r="403" spans="1:27" ht="51" x14ac:dyDescent="0.3">
      <c r="A403" s="71" t="s">
        <v>789</v>
      </c>
      <c r="B403" s="12">
        <f t="shared" si="88"/>
        <v>300</v>
      </c>
      <c r="C403" s="13" t="str">
        <f t="shared" si="88"/>
        <v>Violencia contra la mujer</v>
      </c>
      <c r="D403" s="13" t="str">
        <f t="shared" si="88"/>
        <v>Mujeres</v>
      </c>
      <c r="E403" s="26">
        <v>13</v>
      </c>
      <c r="F403" s="13" t="s">
        <v>7581</v>
      </c>
      <c r="G403" s="13" t="s">
        <v>7576</v>
      </c>
      <c r="H403" s="29" t="s">
        <v>15</v>
      </c>
      <c r="I403" s="28" t="s">
        <v>379</v>
      </c>
      <c r="J403" s="12" t="str">
        <f t="shared" si="89"/>
        <v>Ninguno</v>
      </c>
      <c r="K403" s="12" t="str">
        <f t="shared" si="89"/>
        <v>Sentencias Dictadas por Delitos Vinculados a la Mujer</v>
      </c>
      <c r="L403" s="75" t="str">
        <f t="shared" si="89"/>
        <v>Periodo 2013-2019</v>
      </c>
      <c r="M403" s="12" t="str">
        <f t="shared" si="89"/>
        <v>Número de sentencias</v>
      </c>
      <c r="N403" s="33" t="s">
        <v>5964</v>
      </c>
      <c r="O403" s="74" t="str">
        <f>"Sentencias Dictadas por Delitos Vinculados a la Mujer por Juzgado de Garantía en la "&amp;Ingresos_Historicos[[#This Row],[territorio]]&amp;" durante el Periodo 2013-2019"</f>
        <v>Sentencias Dictadas por Delitos Vinculados a la Mujer por Juzgado de Garantía en la Región Metropolitana durante el Periodo 2013-2019</v>
      </c>
      <c r="P403"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Metropolitana durante el Periodo 2013-2019 de acuerdo a datos provenientes del Poder Judicial de Chile.</v>
      </c>
      <c r="Q403" s="14" t="str">
        <f t="shared" si="87"/>
        <v>Gráfico de Evolución</v>
      </c>
      <c r="R403" s="27" t="s">
        <v>6245</v>
      </c>
      <c r="S403" s="15" t="s">
        <v>6798</v>
      </c>
      <c r="T403" s="65" t="s">
        <v>5919</v>
      </c>
      <c r="U403" s="24" t="s">
        <v>397</v>
      </c>
      <c r="V403" s="19" t="str">
        <f>+Ingresos_Historicos[[#This Row],[idcoleccion]]&amp;"-"&amp;Ingresos_Historicos[[#This Row],[id]]</f>
        <v>300-0393</v>
      </c>
      <c r="W403" s="19">
        <f>+VLOOKUP(Ingresos_Historicos[[#This Row],[Filtro URL]],Estructura!$X$4:$Y$366,2,0)</f>
        <v>30200013</v>
      </c>
      <c r="X403" s="19" t="str">
        <f>+VLOOKUP(Ingresos_Historicos[[#This Row],[tema]],Estructura!$A$4:$C$18,3,0)</f>
        <v>T-310</v>
      </c>
      <c r="Y403" s="19" t="str">
        <f>+VLOOKUP(Ingresos_Historicos[[#This Row],[contenido]],Estructura!$E$4:$G$18,3,0)</f>
        <v>C-303</v>
      </c>
      <c r="Z403" s="19" t="str">
        <f>+VLOOKUP(Ingresos_Historicos[[#This Row],[Filtro Integrado]],Estructura!$M$4:$O$367,3,0)</f>
        <v>FI-303</v>
      </c>
      <c r="AA403" s="19" t="str">
        <f>+VLOOKUP(Ingresos_Historicos[[#This Row],[Muestra]],Estructura!$Q$4:$S$194,3,0)</f>
        <v>M-310</v>
      </c>
    </row>
    <row r="404" spans="1:27" ht="51" x14ac:dyDescent="0.3">
      <c r="A404" s="71" t="s">
        <v>790</v>
      </c>
      <c r="B404" s="12">
        <f t="shared" si="88"/>
        <v>300</v>
      </c>
      <c r="C404" s="13" t="str">
        <f t="shared" si="88"/>
        <v>Violencia contra la mujer</v>
      </c>
      <c r="D404" s="13" t="str">
        <f t="shared" si="88"/>
        <v>Mujeres</v>
      </c>
      <c r="E404" s="26">
        <v>14</v>
      </c>
      <c r="F404" s="13" t="s">
        <v>7581</v>
      </c>
      <c r="G404" s="13" t="s">
        <v>7576</v>
      </c>
      <c r="H404" s="29" t="s">
        <v>15</v>
      </c>
      <c r="I404" s="28" t="s">
        <v>380</v>
      </c>
      <c r="J404" s="12" t="str">
        <f t="shared" si="89"/>
        <v>Ninguno</v>
      </c>
      <c r="K404" s="12" t="str">
        <f t="shared" si="89"/>
        <v>Sentencias Dictadas por Delitos Vinculados a la Mujer</v>
      </c>
      <c r="L404" s="75" t="str">
        <f t="shared" si="89"/>
        <v>Periodo 2013-2019</v>
      </c>
      <c r="M404" s="12" t="str">
        <f t="shared" si="89"/>
        <v>Número de sentencias</v>
      </c>
      <c r="N404" s="33" t="s">
        <v>5964</v>
      </c>
      <c r="O404" s="74" t="str">
        <f>"Sentencias Dictadas por Delitos Vinculados a la Mujer por Juzgado de Garantía en la "&amp;Ingresos_Historicos[[#This Row],[territorio]]&amp;" durante el Periodo 2013-2019"</f>
        <v>Sentencias Dictadas por Delitos Vinculados a la Mujer por Juzgado de Garantía en la Región de Los Ríos durante el Periodo 2013-2019</v>
      </c>
      <c r="P404"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Los Ríos durante el Periodo 2013-2019 de acuerdo a datos provenientes del Poder Judicial de Chile.</v>
      </c>
      <c r="Q404" s="14" t="str">
        <f t="shared" si="87"/>
        <v>Gráfico de Evolución</v>
      </c>
      <c r="R404" s="27" t="s">
        <v>6246</v>
      </c>
      <c r="S404" s="15" t="s">
        <v>6799</v>
      </c>
      <c r="T404" s="65" t="s">
        <v>5920</v>
      </c>
      <c r="U404" s="24" t="s">
        <v>397</v>
      </c>
      <c r="V404" s="19" t="str">
        <f>+Ingresos_Historicos[[#This Row],[idcoleccion]]&amp;"-"&amp;Ingresos_Historicos[[#This Row],[id]]</f>
        <v>300-0394</v>
      </c>
      <c r="W404" s="19">
        <f>+VLOOKUP(Ingresos_Historicos[[#This Row],[Filtro URL]],Estructura!$X$4:$Y$366,2,0)</f>
        <v>30200014</v>
      </c>
      <c r="X404" s="19" t="str">
        <f>+VLOOKUP(Ingresos_Historicos[[#This Row],[tema]],Estructura!$A$4:$C$18,3,0)</f>
        <v>T-310</v>
      </c>
      <c r="Y404" s="19" t="str">
        <f>+VLOOKUP(Ingresos_Historicos[[#This Row],[contenido]],Estructura!$E$4:$G$18,3,0)</f>
        <v>C-303</v>
      </c>
      <c r="Z404" s="19" t="str">
        <f>+VLOOKUP(Ingresos_Historicos[[#This Row],[Filtro Integrado]],Estructura!$M$4:$O$367,3,0)</f>
        <v>FI-303</v>
      </c>
      <c r="AA404" s="19" t="str">
        <f>+VLOOKUP(Ingresos_Historicos[[#This Row],[Muestra]],Estructura!$Q$4:$S$194,3,0)</f>
        <v>M-310</v>
      </c>
    </row>
    <row r="405" spans="1:27" ht="51" x14ac:dyDescent="0.3">
      <c r="A405" s="71" t="s">
        <v>791</v>
      </c>
      <c r="B405" s="12">
        <f t="shared" si="88"/>
        <v>300</v>
      </c>
      <c r="C405" s="13" t="str">
        <f t="shared" si="88"/>
        <v>Violencia contra la mujer</v>
      </c>
      <c r="D405" s="13" t="str">
        <f t="shared" si="88"/>
        <v>Mujeres</v>
      </c>
      <c r="E405" s="26">
        <v>15</v>
      </c>
      <c r="F405" s="13" t="s">
        <v>7581</v>
      </c>
      <c r="G405" s="13" t="s">
        <v>7576</v>
      </c>
      <c r="H405" s="29" t="s">
        <v>15</v>
      </c>
      <c r="I405" s="28" t="s">
        <v>381</v>
      </c>
      <c r="J405" s="12" t="str">
        <f t="shared" si="89"/>
        <v>Ninguno</v>
      </c>
      <c r="K405" s="12" t="str">
        <f t="shared" si="89"/>
        <v>Sentencias Dictadas por Delitos Vinculados a la Mujer</v>
      </c>
      <c r="L405" s="75" t="str">
        <f t="shared" si="89"/>
        <v>Periodo 2013-2019</v>
      </c>
      <c r="M405" s="12" t="str">
        <f t="shared" si="89"/>
        <v>Número de sentencias</v>
      </c>
      <c r="N405" s="33" t="s">
        <v>5964</v>
      </c>
      <c r="O405" s="74" t="str">
        <f>"Sentencias Dictadas por Delitos Vinculados a la Mujer por Juzgado de Garantía en la "&amp;Ingresos_Historicos[[#This Row],[territorio]]&amp;" durante el Periodo 2013-2019"</f>
        <v>Sentencias Dictadas por Delitos Vinculados a la Mujer por Juzgado de Garantía en la Región de Arica y Parinacota durante el Periodo 2013-2019</v>
      </c>
      <c r="P405"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Arica y Parinacota durante el Periodo 2013-2019 de acuerdo a datos provenientes del Poder Judicial de Chile.</v>
      </c>
      <c r="Q405" s="14" t="str">
        <f t="shared" si="87"/>
        <v>Gráfico de Evolución</v>
      </c>
      <c r="R405" s="27" t="s">
        <v>6247</v>
      </c>
      <c r="S405" s="15" t="s">
        <v>6800</v>
      </c>
      <c r="T405" s="65" t="s">
        <v>5921</v>
      </c>
      <c r="U405" s="24" t="s">
        <v>397</v>
      </c>
      <c r="V405" s="19" t="str">
        <f>+Ingresos_Historicos[[#This Row],[idcoleccion]]&amp;"-"&amp;Ingresos_Historicos[[#This Row],[id]]</f>
        <v>300-0395</v>
      </c>
      <c r="W405" s="19">
        <f>+VLOOKUP(Ingresos_Historicos[[#This Row],[Filtro URL]],Estructura!$X$4:$Y$366,2,0)</f>
        <v>30200015</v>
      </c>
      <c r="X405" s="19" t="str">
        <f>+VLOOKUP(Ingresos_Historicos[[#This Row],[tema]],Estructura!$A$4:$C$18,3,0)</f>
        <v>T-310</v>
      </c>
      <c r="Y405" s="19" t="str">
        <f>+VLOOKUP(Ingresos_Historicos[[#This Row],[contenido]],Estructura!$E$4:$G$18,3,0)</f>
        <v>C-303</v>
      </c>
      <c r="Z405" s="19" t="str">
        <f>+VLOOKUP(Ingresos_Historicos[[#This Row],[Filtro Integrado]],Estructura!$M$4:$O$367,3,0)</f>
        <v>FI-303</v>
      </c>
      <c r="AA405" s="19" t="str">
        <f>+VLOOKUP(Ingresos_Historicos[[#This Row],[Muestra]],Estructura!$Q$4:$S$194,3,0)</f>
        <v>M-310</v>
      </c>
    </row>
    <row r="406" spans="1:27" ht="51" x14ac:dyDescent="0.3">
      <c r="A406" s="71" t="s">
        <v>792</v>
      </c>
      <c r="B406" s="12">
        <f t="shared" ref="B406:D421" si="90">+B405</f>
        <v>300</v>
      </c>
      <c r="C406" s="13" t="str">
        <f t="shared" si="90"/>
        <v>Violencia contra la mujer</v>
      </c>
      <c r="D406" s="13" t="str">
        <f t="shared" si="90"/>
        <v>Mujeres</v>
      </c>
      <c r="E406" s="26">
        <v>16</v>
      </c>
      <c r="F406" s="13" t="s">
        <v>7581</v>
      </c>
      <c r="G406" s="13" t="s">
        <v>7576</v>
      </c>
      <c r="H406" s="29" t="s">
        <v>15</v>
      </c>
      <c r="I406" s="28" t="s">
        <v>382</v>
      </c>
      <c r="J406" s="12" t="str">
        <f t="shared" si="89"/>
        <v>Ninguno</v>
      </c>
      <c r="K406" s="12" t="str">
        <f t="shared" si="89"/>
        <v>Sentencias Dictadas por Delitos Vinculados a la Mujer</v>
      </c>
      <c r="L406" s="75" t="str">
        <f t="shared" si="89"/>
        <v>Periodo 2013-2019</v>
      </c>
      <c r="M406" s="12" t="str">
        <f t="shared" si="89"/>
        <v>Número de sentencias</v>
      </c>
      <c r="N406" s="33" t="s">
        <v>5964</v>
      </c>
      <c r="O406" s="74" t="str">
        <f>"Sentencias Dictadas por Delitos Vinculados a la Mujer por Juzgado de Garantía en la "&amp;Ingresos_Historicos[[#This Row],[territorio]]&amp;" durante el Periodo 2013-2019"</f>
        <v>Sentencias Dictadas por Delitos Vinculados a la Mujer por Juzgado de Garantía en la Región de Ñuble durante el Periodo 2013-2019</v>
      </c>
      <c r="P406" s="41" t="str">
        <f>"El gráfico muestra la evolución anual de la frecuencia de Sentencias Dictadas por Delitos Vinculados a la Mujer por Juzgado de Garantía en la "&amp;Ingresos_Historicos[[#This Row],[territorio]]&amp;" durante el Periodo 2013-2019 de acuerdo a datos provenientes del Poder Judicial de Chile."</f>
        <v>El gráfico muestra la evolución anual de la frecuencia de Sentencias Dictadas por Delitos Vinculados a la Mujer por Juzgado de Garantía en la Región de Ñuble durante el Periodo 2013-2019 de acuerdo a datos provenientes del Poder Judicial de Chile.</v>
      </c>
      <c r="Q406" s="14" t="str">
        <f t="shared" si="87"/>
        <v>Gráfico de Evolución</v>
      </c>
      <c r="R406" s="27" t="s">
        <v>6248</v>
      </c>
      <c r="S406" s="15" t="s">
        <v>6801</v>
      </c>
      <c r="T406" s="65" t="s">
        <v>5958</v>
      </c>
      <c r="U406" s="24" t="s">
        <v>397</v>
      </c>
      <c r="V406" s="19" t="str">
        <f>+Ingresos_Historicos[[#This Row],[idcoleccion]]&amp;"-"&amp;Ingresos_Historicos[[#This Row],[id]]</f>
        <v>300-0396</v>
      </c>
      <c r="W406" s="19">
        <f>+VLOOKUP(Ingresos_Historicos[[#This Row],[Filtro URL]],Estructura!$X$4:$Y$366,2,0)</f>
        <v>30200016</v>
      </c>
      <c r="X406" s="19" t="str">
        <f>+VLOOKUP(Ingresos_Historicos[[#This Row],[tema]],Estructura!$A$4:$C$18,3,0)</f>
        <v>T-310</v>
      </c>
      <c r="Y406" s="19" t="str">
        <f>+VLOOKUP(Ingresos_Historicos[[#This Row],[contenido]],Estructura!$E$4:$G$18,3,0)</f>
        <v>C-303</v>
      </c>
      <c r="Z406" s="19" t="str">
        <f>+VLOOKUP(Ingresos_Historicos[[#This Row],[Filtro Integrado]],Estructura!$M$4:$O$367,3,0)</f>
        <v>FI-303</v>
      </c>
      <c r="AA406" s="19" t="str">
        <f>+VLOOKUP(Ingresos_Historicos[[#This Row],[Muestra]],Estructura!$Q$4:$S$194,3,0)</f>
        <v>M-310</v>
      </c>
    </row>
    <row r="407" spans="1:27" ht="51" x14ac:dyDescent="0.3">
      <c r="A407" s="32" t="s">
        <v>793</v>
      </c>
      <c r="B407" s="12">
        <f t="shared" si="90"/>
        <v>300</v>
      </c>
      <c r="C407" s="13" t="str">
        <f t="shared" si="90"/>
        <v>Violencia contra la mujer</v>
      </c>
      <c r="D407" s="13" t="str">
        <f t="shared" si="90"/>
        <v>Mujeres</v>
      </c>
      <c r="E407" s="26">
        <v>1</v>
      </c>
      <c r="F407" s="13" t="s">
        <v>7581</v>
      </c>
      <c r="G407" s="13" t="s">
        <v>7576</v>
      </c>
      <c r="H407" s="29" t="s">
        <v>15</v>
      </c>
      <c r="I407" s="28" t="s">
        <v>367</v>
      </c>
      <c r="J407" s="12" t="s">
        <v>398</v>
      </c>
      <c r="K407" s="12" t="str">
        <f t="shared" si="89"/>
        <v>Sentencias Dictadas por Delitos Vinculados a la Mujer</v>
      </c>
      <c r="L407" s="75" t="str">
        <f t="shared" si="89"/>
        <v>Periodo 2013-2019</v>
      </c>
      <c r="M407" s="12" t="str">
        <f t="shared" si="89"/>
        <v>Número de sentencias</v>
      </c>
      <c r="N407" s="33" t="s">
        <v>5964</v>
      </c>
      <c r="O407" s="72" t="str">
        <f>"Sentencias Dictadas por Delitos Vinculados a la Mujer por Delito en la "&amp;Ingresos_Historicos[[#This Row],[territorio]]&amp;" durante el Periodo 2013-2019"</f>
        <v>Sentencias Dictadas por Delitos Vinculados a la Mujer por Delito en la Región de Tarapacá durante el Periodo 2013-2019</v>
      </c>
      <c r="P407"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Tarapacá durante el Periodo 2013-2019 de acuerdo a datos provenientes del Poder Judicial de Chile.</v>
      </c>
      <c r="Q407" s="14" t="str">
        <f t="shared" si="87"/>
        <v>Gráfico de Evolución</v>
      </c>
      <c r="R407" s="27" t="s">
        <v>6249</v>
      </c>
      <c r="S407" s="15" t="s">
        <v>6802</v>
      </c>
      <c r="T407" s="65" t="s">
        <v>5922</v>
      </c>
      <c r="U407" s="24" t="s">
        <v>397</v>
      </c>
      <c r="V407" s="19" t="str">
        <f>+Ingresos_Historicos[[#This Row],[idcoleccion]]&amp;"-"&amp;Ingresos_Historicos[[#This Row],[id]]</f>
        <v>300-0397</v>
      </c>
      <c r="W407" s="19">
        <f>+VLOOKUP(Ingresos_Historicos[[#This Row],[Filtro URL]],Estructura!$X$4:$Y$366,2,0)</f>
        <v>30200001</v>
      </c>
      <c r="X407" s="19" t="str">
        <f>+VLOOKUP(Ingresos_Historicos[[#This Row],[tema]],Estructura!$A$4:$C$18,3,0)</f>
        <v>T-310</v>
      </c>
      <c r="Y407" s="19" t="str">
        <f>+VLOOKUP(Ingresos_Historicos[[#This Row],[contenido]],Estructura!$E$4:$G$18,3,0)</f>
        <v>C-303</v>
      </c>
      <c r="Z407" s="19" t="str">
        <f>+VLOOKUP(Ingresos_Historicos[[#This Row],[Filtro Integrado]],Estructura!$M$4:$O$367,3,0)</f>
        <v>FI-303</v>
      </c>
      <c r="AA407" s="19" t="str">
        <f>+VLOOKUP(Ingresos_Historicos[[#This Row],[Muestra]],Estructura!$Q$4:$S$194,3,0)</f>
        <v>M-310</v>
      </c>
    </row>
    <row r="408" spans="1:27" ht="51" x14ac:dyDescent="0.3">
      <c r="A408" s="71" t="s">
        <v>794</v>
      </c>
      <c r="B408" s="12">
        <f t="shared" si="90"/>
        <v>300</v>
      </c>
      <c r="C408" s="13" t="str">
        <f t="shared" si="90"/>
        <v>Violencia contra la mujer</v>
      </c>
      <c r="D408" s="13" t="str">
        <f t="shared" si="90"/>
        <v>Mujeres</v>
      </c>
      <c r="E408" s="26">
        <v>2</v>
      </c>
      <c r="F408" s="13" t="s">
        <v>7581</v>
      </c>
      <c r="G408" s="13" t="s">
        <v>7576</v>
      </c>
      <c r="H408" s="29" t="s">
        <v>15</v>
      </c>
      <c r="I408" s="28" t="s">
        <v>368</v>
      </c>
      <c r="J408" s="12" t="s">
        <v>398</v>
      </c>
      <c r="K408" s="12" t="str">
        <f t="shared" ref="K408:M423" si="91">+K407</f>
        <v>Sentencias Dictadas por Delitos Vinculados a la Mujer</v>
      </c>
      <c r="L408" s="75" t="str">
        <f t="shared" si="91"/>
        <v>Periodo 2013-2019</v>
      </c>
      <c r="M408" s="12" t="str">
        <f t="shared" si="91"/>
        <v>Número de sentencias</v>
      </c>
      <c r="N408" s="33" t="s">
        <v>5964</v>
      </c>
      <c r="O408" s="72" t="str">
        <f>"Sentencias Dictadas por Delitos Vinculados a la Mujer por Delito en la "&amp;Ingresos_Historicos[[#This Row],[territorio]]&amp;" durante el Periodo 2013-2019"</f>
        <v>Sentencias Dictadas por Delitos Vinculados a la Mujer por Delito en la Región de Antofagasta durante el Periodo 2013-2019</v>
      </c>
      <c r="P408"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Antofagasta durante el Periodo 2013-2019 de acuerdo a datos provenientes del Poder Judicial de Chile.</v>
      </c>
      <c r="Q408" s="14" t="str">
        <f t="shared" si="87"/>
        <v>Gráfico de Evolución</v>
      </c>
      <c r="R408" s="27" t="s">
        <v>6250</v>
      </c>
      <c r="S408" s="15" t="s">
        <v>6803</v>
      </c>
      <c r="T408" s="65" t="s">
        <v>5923</v>
      </c>
      <c r="U408" s="24" t="s">
        <v>397</v>
      </c>
      <c r="V408" s="19" t="str">
        <f>+Ingresos_Historicos[[#This Row],[idcoleccion]]&amp;"-"&amp;Ingresos_Historicos[[#This Row],[id]]</f>
        <v>300-0398</v>
      </c>
      <c r="W408" s="19">
        <f>+VLOOKUP(Ingresos_Historicos[[#This Row],[Filtro URL]],Estructura!$X$4:$Y$366,2,0)</f>
        <v>30200002</v>
      </c>
      <c r="X408" s="19" t="str">
        <f>+VLOOKUP(Ingresos_Historicos[[#This Row],[tema]],Estructura!$A$4:$C$18,3,0)</f>
        <v>T-310</v>
      </c>
      <c r="Y408" s="19" t="str">
        <f>+VLOOKUP(Ingresos_Historicos[[#This Row],[contenido]],Estructura!$E$4:$G$18,3,0)</f>
        <v>C-303</v>
      </c>
      <c r="Z408" s="19" t="str">
        <f>+VLOOKUP(Ingresos_Historicos[[#This Row],[Filtro Integrado]],Estructura!$M$4:$O$367,3,0)</f>
        <v>FI-303</v>
      </c>
      <c r="AA408" s="19" t="str">
        <f>+VLOOKUP(Ingresos_Historicos[[#This Row],[Muestra]],Estructura!$Q$4:$S$194,3,0)</f>
        <v>M-310</v>
      </c>
    </row>
    <row r="409" spans="1:27" ht="40.799999999999997" x14ac:dyDescent="0.3">
      <c r="A409" s="71" t="s">
        <v>795</v>
      </c>
      <c r="B409" s="12">
        <f t="shared" si="90"/>
        <v>300</v>
      </c>
      <c r="C409" s="13" t="str">
        <f t="shared" si="90"/>
        <v>Violencia contra la mujer</v>
      </c>
      <c r="D409" s="13" t="str">
        <f t="shared" si="90"/>
        <v>Mujeres</v>
      </c>
      <c r="E409" s="26">
        <v>3</v>
      </c>
      <c r="F409" s="13" t="s">
        <v>7581</v>
      </c>
      <c r="G409" s="13" t="s">
        <v>7576</v>
      </c>
      <c r="H409" s="29" t="s">
        <v>15</v>
      </c>
      <c r="I409" s="28" t="s">
        <v>369</v>
      </c>
      <c r="J409" s="12" t="s">
        <v>398</v>
      </c>
      <c r="K409" s="12" t="str">
        <f t="shared" si="91"/>
        <v>Sentencias Dictadas por Delitos Vinculados a la Mujer</v>
      </c>
      <c r="L409" s="75" t="str">
        <f t="shared" si="91"/>
        <v>Periodo 2013-2019</v>
      </c>
      <c r="M409" s="12" t="str">
        <f t="shared" si="91"/>
        <v>Número de sentencias</v>
      </c>
      <c r="N409" s="33" t="s">
        <v>5964</v>
      </c>
      <c r="O409" s="72" t="str">
        <f>"Sentencias Dictadas por Delitos Vinculados a la Mujer por Delito en la "&amp;Ingresos_Historicos[[#This Row],[territorio]]&amp;" durante el Periodo 2013-2019"</f>
        <v>Sentencias Dictadas por Delitos Vinculados a la Mujer por Delito en la Región de Atacama durante el Periodo 2013-2019</v>
      </c>
      <c r="P409"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Atacama durante el Periodo 2013-2019 de acuerdo a datos provenientes del Poder Judicial de Chile.</v>
      </c>
      <c r="Q409" s="14" t="str">
        <f t="shared" si="87"/>
        <v>Gráfico de Evolución</v>
      </c>
      <c r="R409" s="27" t="s">
        <v>6251</v>
      </c>
      <c r="S409" s="15" t="s">
        <v>6804</v>
      </c>
      <c r="T409" s="65" t="s">
        <v>5925</v>
      </c>
      <c r="U409" s="24" t="s">
        <v>397</v>
      </c>
      <c r="V409" s="19" t="str">
        <f>+Ingresos_Historicos[[#This Row],[idcoleccion]]&amp;"-"&amp;Ingresos_Historicos[[#This Row],[id]]</f>
        <v>300-0399</v>
      </c>
      <c r="W409" s="19">
        <f>+VLOOKUP(Ingresos_Historicos[[#This Row],[Filtro URL]],Estructura!$X$4:$Y$366,2,0)</f>
        <v>30200003</v>
      </c>
      <c r="X409" s="19" t="str">
        <f>+VLOOKUP(Ingresos_Historicos[[#This Row],[tema]],Estructura!$A$4:$C$18,3,0)</f>
        <v>T-310</v>
      </c>
      <c r="Y409" s="19" t="str">
        <f>+VLOOKUP(Ingresos_Historicos[[#This Row],[contenido]],Estructura!$E$4:$G$18,3,0)</f>
        <v>C-303</v>
      </c>
      <c r="Z409" s="19" t="str">
        <f>+VLOOKUP(Ingresos_Historicos[[#This Row],[Filtro Integrado]],Estructura!$M$4:$O$367,3,0)</f>
        <v>FI-303</v>
      </c>
      <c r="AA409" s="19" t="str">
        <f>+VLOOKUP(Ingresos_Historicos[[#This Row],[Muestra]],Estructura!$Q$4:$S$194,3,0)</f>
        <v>M-310</v>
      </c>
    </row>
    <row r="410" spans="1:27" ht="51" x14ac:dyDescent="0.3">
      <c r="A410" s="71" t="s">
        <v>796</v>
      </c>
      <c r="B410" s="12">
        <f t="shared" si="90"/>
        <v>300</v>
      </c>
      <c r="C410" s="13" t="str">
        <f t="shared" si="90"/>
        <v>Violencia contra la mujer</v>
      </c>
      <c r="D410" s="13" t="str">
        <f t="shared" si="90"/>
        <v>Mujeres</v>
      </c>
      <c r="E410" s="26">
        <v>4</v>
      </c>
      <c r="F410" s="13" t="s">
        <v>7581</v>
      </c>
      <c r="G410" s="13" t="s">
        <v>7576</v>
      </c>
      <c r="H410" s="29" t="s">
        <v>15</v>
      </c>
      <c r="I410" s="28" t="s">
        <v>370</v>
      </c>
      <c r="J410" s="12" t="s">
        <v>398</v>
      </c>
      <c r="K410" s="12" t="str">
        <f t="shared" si="91"/>
        <v>Sentencias Dictadas por Delitos Vinculados a la Mujer</v>
      </c>
      <c r="L410" s="75" t="str">
        <f t="shared" si="91"/>
        <v>Periodo 2013-2019</v>
      </c>
      <c r="M410" s="12" t="str">
        <f t="shared" si="91"/>
        <v>Número de sentencias</v>
      </c>
      <c r="N410" s="33" t="s">
        <v>5964</v>
      </c>
      <c r="O410" s="72" t="str">
        <f>"Sentencias Dictadas por Delitos Vinculados a la Mujer por Delito en la "&amp;Ingresos_Historicos[[#This Row],[territorio]]&amp;" durante el Periodo 2013-2019"</f>
        <v>Sentencias Dictadas por Delitos Vinculados a la Mujer por Delito en la Región de Coquimbo durante el Periodo 2013-2019</v>
      </c>
      <c r="P410"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Coquimbo durante el Periodo 2013-2019 de acuerdo a datos provenientes del Poder Judicial de Chile.</v>
      </c>
      <c r="Q410" s="14" t="str">
        <f t="shared" si="87"/>
        <v>Gráfico de Evolución</v>
      </c>
      <c r="R410" s="27" t="s">
        <v>6252</v>
      </c>
      <c r="S410" s="15" t="s">
        <v>6805</v>
      </c>
      <c r="T410" s="65" t="s">
        <v>5926</v>
      </c>
      <c r="U410" s="24" t="s">
        <v>397</v>
      </c>
      <c r="V410" s="19" t="str">
        <f>+Ingresos_Historicos[[#This Row],[idcoleccion]]&amp;"-"&amp;Ingresos_Historicos[[#This Row],[id]]</f>
        <v>300-0400</v>
      </c>
      <c r="W410" s="19">
        <f>+VLOOKUP(Ingresos_Historicos[[#This Row],[Filtro URL]],Estructura!$X$4:$Y$366,2,0)</f>
        <v>30200004</v>
      </c>
      <c r="X410" s="19" t="str">
        <f>+VLOOKUP(Ingresos_Historicos[[#This Row],[tema]],Estructura!$A$4:$C$18,3,0)</f>
        <v>T-310</v>
      </c>
      <c r="Y410" s="19" t="str">
        <f>+VLOOKUP(Ingresos_Historicos[[#This Row],[contenido]],Estructura!$E$4:$G$18,3,0)</f>
        <v>C-303</v>
      </c>
      <c r="Z410" s="19" t="str">
        <f>+VLOOKUP(Ingresos_Historicos[[#This Row],[Filtro Integrado]],Estructura!$M$4:$O$367,3,0)</f>
        <v>FI-303</v>
      </c>
      <c r="AA410" s="19" t="str">
        <f>+VLOOKUP(Ingresos_Historicos[[#This Row],[Muestra]],Estructura!$Q$4:$S$194,3,0)</f>
        <v>M-310</v>
      </c>
    </row>
    <row r="411" spans="1:27" ht="51" x14ac:dyDescent="0.3">
      <c r="A411" s="71" t="s">
        <v>797</v>
      </c>
      <c r="B411" s="12">
        <f t="shared" si="90"/>
        <v>300</v>
      </c>
      <c r="C411" s="13" t="str">
        <f t="shared" si="90"/>
        <v>Violencia contra la mujer</v>
      </c>
      <c r="D411" s="13" t="str">
        <f t="shared" si="90"/>
        <v>Mujeres</v>
      </c>
      <c r="E411" s="26">
        <v>5</v>
      </c>
      <c r="F411" s="13" t="s">
        <v>7581</v>
      </c>
      <c r="G411" s="13" t="s">
        <v>7576</v>
      </c>
      <c r="H411" s="29" t="s">
        <v>15</v>
      </c>
      <c r="I411" s="28" t="s">
        <v>371</v>
      </c>
      <c r="J411" s="12" t="s">
        <v>398</v>
      </c>
      <c r="K411" s="12" t="str">
        <f t="shared" si="91"/>
        <v>Sentencias Dictadas por Delitos Vinculados a la Mujer</v>
      </c>
      <c r="L411" s="75" t="str">
        <f t="shared" si="91"/>
        <v>Periodo 2013-2019</v>
      </c>
      <c r="M411" s="12" t="str">
        <f t="shared" si="91"/>
        <v>Número de sentencias</v>
      </c>
      <c r="N411" s="33" t="s">
        <v>5964</v>
      </c>
      <c r="O411" s="72" t="str">
        <f>"Sentencias Dictadas por Delitos Vinculados a la Mujer por Delito en la "&amp;Ingresos_Historicos[[#This Row],[territorio]]&amp;" durante el Periodo 2013-2019"</f>
        <v>Sentencias Dictadas por Delitos Vinculados a la Mujer por Delito en la Región de Valparaíso durante el Periodo 2013-2019</v>
      </c>
      <c r="P411"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Valparaíso durante el Periodo 2013-2019 de acuerdo a datos provenientes del Poder Judicial de Chile.</v>
      </c>
      <c r="Q411" s="14" t="str">
        <f t="shared" si="87"/>
        <v>Gráfico de Evolución</v>
      </c>
      <c r="R411" s="27" t="s">
        <v>6253</v>
      </c>
      <c r="S411" s="15" t="s">
        <v>6806</v>
      </c>
      <c r="T411" s="65" t="s">
        <v>5927</v>
      </c>
      <c r="U411" s="24" t="s">
        <v>397</v>
      </c>
      <c r="V411" s="19" t="str">
        <f>+Ingresos_Historicos[[#This Row],[idcoleccion]]&amp;"-"&amp;Ingresos_Historicos[[#This Row],[id]]</f>
        <v>300-0401</v>
      </c>
      <c r="W411" s="19">
        <f>+VLOOKUP(Ingresos_Historicos[[#This Row],[Filtro URL]],Estructura!$X$4:$Y$366,2,0)</f>
        <v>30200005</v>
      </c>
      <c r="X411" s="19" t="str">
        <f>+VLOOKUP(Ingresos_Historicos[[#This Row],[tema]],Estructura!$A$4:$C$18,3,0)</f>
        <v>T-310</v>
      </c>
      <c r="Y411" s="19" t="str">
        <f>+VLOOKUP(Ingresos_Historicos[[#This Row],[contenido]],Estructura!$E$4:$G$18,3,0)</f>
        <v>C-303</v>
      </c>
      <c r="Z411" s="19" t="str">
        <f>+VLOOKUP(Ingresos_Historicos[[#This Row],[Filtro Integrado]],Estructura!$M$4:$O$367,3,0)</f>
        <v>FI-303</v>
      </c>
      <c r="AA411" s="19" t="str">
        <f>+VLOOKUP(Ingresos_Historicos[[#This Row],[Muestra]],Estructura!$Q$4:$S$194,3,0)</f>
        <v>M-310</v>
      </c>
    </row>
    <row r="412" spans="1:27" ht="51" x14ac:dyDescent="0.3">
      <c r="A412" s="71" t="s">
        <v>798</v>
      </c>
      <c r="B412" s="12">
        <f t="shared" si="90"/>
        <v>300</v>
      </c>
      <c r="C412" s="13" t="str">
        <f t="shared" si="90"/>
        <v>Violencia contra la mujer</v>
      </c>
      <c r="D412" s="13" t="str">
        <f t="shared" si="90"/>
        <v>Mujeres</v>
      </c>
      <c r="E412" s="26">
        <v>6</v>
      </c>
      <c r="F412" s="13" t="s">
        <v>7581</v>
      </c>
      <c r="G412" s="13" t="s">
        <v>7576</v>
      </c>
      <c r="H412" s="29" t="s">
        <v>15</v>
      </c>
      <c r="I412" s="28" t="s">
        <v>372</v>
      </c>
      <c r="J412" s="12" t="s">
        <v>398</v>
      </c>
      <c r="K412" s="12" t="str">
        <f t="shared" si="91"/>
        <v>Sentencias Dictadas por Delitos Vinculados a la Mujer</v>
      </c>
      <c r="L412" s="75" t="str">
        <f t="shared" si="91"/>
        <v>Periodo 2013-2019</v>
      </c>
      <c r="M412" s="12" t="str">
        <f t="shared" si="91"/>
        <v>Número de sentencias</v>
      </c>
      <c r="N412" s="33" t="s">
        <v>5964</v>
      </c>
      <c r="O412" s="72" t="str">
        <f>"Sentencias Dictadas por Delitos Vinculados a la Mujer por Delito en la "&amp;Ingresos_Historicos[[#This Row],[territorio]]&amp;" durante el Periodo 2013-2019"</f>
        <v>Sentencias Dictadas por Delitos Vinculados a la Mujer por Delito en la Región de O'Higgins durante el Periodo 2013-2019</v>
      </c>
      <c r="P412"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O'Higgins durante el Periodo 2013-2019 de acuerdo a datos provenientes del Poder Judicial de Chile.</v>
      </c>
      <c r="Q412" s="14" t="str">
        <f t="shared" si="87"/>
        <v>Gráfico de Evolución</v>
      </c>
      <c r="R412" s="27" t="s">
        <v>6254</v>
      </c>
      <c r="S412" s="15" t="s">
        <v>6807</v>
      </c>
      <c r="T412" s="65" t="s">
        <v>5928</v>
      </c>
      <c r="U412" s="24" t="s">
        <v>397</v>
      </c>
      <c r="V412" s="19" t="str">
        <f>+Ingresos_Historicos[[#This Row],[idcoleccion]]&amp;"-"&amp;Ingresos_Historicos[[#This Row],[id]]</f>
        <v>300-0402</v>
      </c>
      <c r="W412" s="19">
        <f>+VLOOKUP(Ingresos_Historicos[[#This Row],[Filtro URL]],Estructura!$X$4:$Y$366,2,0)</f>
        <v>30200006</v>
      </c>
      <c r="X412" s="19" t="str">
        <f>+VLOOKUP(Ingresos_Historicos[[#This Row],[tema]],Estructura!$A$4:$C$18,3,0)</f>
        <v>T-310</v>
      </c>
      <c r="Y412" s="19" t="str">
        <f>+VLOOKUP(Ingresos_Historicos[[#This Row],[contenido]],Estructura!$E$4:$G$18,3,0)</f>
        <v>C-303</v>
      </c>
      <c r="Z412" s="19" t="str">
        <f>+VLOOKUP(Ingresos_Historicos[[#This Row],[Filtro Integrado]],Estructura!$M$4:$O$367,3,0)</f>
        <v>FI-303</v>
      </c>
      <c r="AA412" s="19" t="str">
        <f>+VLOOKUP(Ingresos_Historicos[[#This Row],[Muestra]],Estructura!$Q$4:$S$194,3,0)</f>
        <v>M-310</v>
      </c>
    </row>
    <row r="413" spans="1:27" ht="40.799999999999997" x14ac:dyDescent="0.3">
      <c r="A413" s="71" t="s">
        <v>799</v>
      </c>
      <c r="B413" s="12">
        <f t="shared" si="90"/>
        <v>300</v>
      </c>
      <c r="C413" s="13" t="str">
        <f t="shared" si="90"/>
        <v>Violencia contra la mujer</v>
      </c>
      <c r="D413" s="13" t="str">
        <f t="shared" si="90"/>
        <v>Mujeres</v>
      </c>
      <c r="E413" s="26">
        <v>7</v>
      </c>
      <c r="F413" s="13" t="s">
        <v>7581</v>
      </c>
      <c r="G413" s="13" t="s">
        <v>7576</v>
      </c>
      <c r="H413" s="29" t="s">
        <v>15</v>
      </c>
      <c r="I413" s="28" t="s">
        <v>373</v>
      </c>
      <c r="J413" s="12" t="s">
        <v>398</v>
      </c>
      <c r="K413" s="12" t="str">
        <f t="shared" si="91"/>
        <v>Sentencias Dictadas por Delitos Vinculados a la Mujer</v>
      </c>
      <c r="L413" s="75" t="str">
        <f t="shared" si="91"/>
        <v>Periodo 2013-2019</v>
      </c>
      <c r="M413" s="12" t="str">
        <f t="shared" si="91"/>
        <v>Número de sentencias</v>
      </c>
      <c r="N413" s="33" t="s">
        <v>5964</v>
      </c>
      <c r="O413" s="72" t="str">
        <f>"Sentencias Dictadas por Delitos Vinculados a la Mujer por Delito en la "&amp;Ingresos_Historicos[[#This Row],[territorio]]&amp;" durante el Periodo 2013-2019"</f>
        <v>Sentencias Dictadas por Delitos Vinculados a la Mujer por Delito en la Región de Maule durante el Periodo 2013-2019</v>
      </c>
      <c r="P413"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Maule durante el Periodo 2013-2019 de acuerdo a datos provenientes del Poder Judicial de Chile.</v>
      </c>
      <c r="Q413" s="14" t="str">
        <f t="shared" si="87"/>
        <v>Gráfico de Evolución</v>
      </c>
      <c r="R413" s="27" t="s">
        <v>6255</v>
      </c>
      <c r="S413" s="15" t="s">
        <v>6808</v>
      </c>
      <c r="T413" s="65" t="s">
        <v>5929</v>
      </c>
      <c r="U413" s="24" t="s">
        <v>397</v>
      </c>
      <c r="V413" s="19" t="str">
        <f>+Ingresos_Historicos[[#This Row],[idcoleccion]]&amp;"-"&amp;Ingresos_Historicos[[#This Row],[id]]</f>
        <v>300-0403</v>
      </c>
      <c r="W413" s="19">
        <f>+VLOOKUP(Ingresos_Historicos[[#This Row],[Filtro URL]],Estructura!$X$4:$Y$366,2,0)</f>
        <v>30200007</v>
      </c>
      <c r="X413" s="19" t="str">
        <f>+VLOOKUP(Ingresos_Historicos[[#This Row],[tema]],Estructura!$A$4:$C$18,3,0)</f>
        <v>T-310</v>
      </c>
      <c r="Y413" s="19" t="str">
        <f>+VLOOKUP(Ingresos_Historicos[[#This Row],[contenido]],Estructura!$E$4:$G$18,3,0)</f>
        <v>C-303</v>
      </c>
      <c r="Z413" s="19" t="str">
        <f>+VLOOKUP(Ingresos_Historicos[[#This Row],[Filtro Integrado]],Estructura!$M$4:$O$367,3,0)</f>
        <v>FI-303</v>
      </c>
      <c r="AA413" s="19" t="str">
        <f>+VLOOKUP(Ingresos_Historicos[[#This Row],[Muestra]],Estructura!$Q$4:$S$194,3,0)</f>
        <v>M-310</v>
      </c>
    </row>
    <row r="414" spans="1:27" ht="40.799999999999997" x14ac:dyDescent="0.3">
      <c r="A414" s="71" t="s">
        <v>800</v>
      </c>
      <c r="B414" s="12">
        <f t="shared" si="90"/>
        <v>300</v>
      </c>
      <c r="C414" s="13" t="str">
        <f t="shared" si="90"/>
        <v>Violencia contra la mujer</v>
      </c>
      <c r="D414" s="13" t="str">
        <f t="shared" si="90"/>
        <v>Mujeres</v>
      </c>
      <c r="E414" s="26">
        <v>8</v>
      </c>
      <c r="F414" s="13" t="s">
        <v>7581</v>
      </c>
      <c r="G414" s="13" t="s">
        <v>7576</v>
      </c>
      <c r="H414" s="29" t="s">
        <v>15</v>
      </c>
      <c r="I414" s="28" t="s">
        <v>374</v>
      </c>
      <c r="J414" s="12" t="s">
        <v>398</v>
      </c>
      <c r="K414" s="12" t="str">
        <f t="shared" si="91"/>
        <v>Sentencias Dictadas por Delitos Vinculados a la Mujer</v>
      </c>
      <c r="L414" s="75" t="str">
        <f t="shared" si="91"/>
        <v>Periodo 2013-2019</v>
      </c>
      <c r="M414" s="12" t="str">
        <f t="shared" si="91"/>
        <v>Número de sentencias</v>
      </c>
      <c r="N414" s="33" t="s">
        <v>5964</v>
      </c>
      <c r="O414" s="72" t="str">
        <f>"Sentencias Dictadas por Delitos Vinculados a la Mujer por Delito en la "&amp;Ingresos_Historicos[[#This Row],[territorio]]&amp;" durante el Periodo 2013-2019"</f>
        <v>Sentencias Dictadas por Delitos Vinculados a la Mujer por Delito en la Región del Biobío durante el Periodo 2013-2019</v>
      </c>
      <c r="P414"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del Biobío durante el Periodo 2013-2019 de acuerdo a datos provenientes del Poder Judicial de Chile.</v>
      </c>
      <c r="Q414" s="14" t="str">
        <f t="shared" si="87"/>
        <v>Gráfico de Evolución</v>
      </c>
      <c r="R414" s="27" t="s">
        <v>6256</v>
      </c>
      <c r="S414" s="15" t="s">
        <v>6809</v>
      </c>
      <c r="T414" s="65" t="s">
        <v>5930</v>
      </c>
      <c r="U414" s="24" t="s">
        <v>397</v>
      </c>
      <c r="V414" s="19" t="str">
        <f>+Ingresos_Historicos[[#This Row],[idcoleccion]]&amp;"-"&amp;Ingresos_Historicos[[#This Row],[id]]</f>
        <v>300-0404</v>
      </c>
      <c r="W414" s="19">
        <f>+VLOOKUP(Ingresos_Historicos[[#This Row],[Filtro URL]],Estructura!$X$4:$Y$366,2,0)</f>
        <v>30200008</v>
      </c>
      <c r="X414" s="19" t="str">
        <f>+VLOOKUP(Ingresos_Historicos[[#This Row],[tema]],Estructura!$A$4:$C$18,3,0)</f>
        <v>T-310</v>
      </c>
      <c r="Y414" s="19" t="str">
        <f>+VLOOKUP(Ingresos_Historicos[[#This Row],[contenido]],Estructura!$E$4:$G$18,3,0)</f>
        <v>C-303</v>
      </c>
      <c r="Z414" s="19" t="str">
        <f>+VLOOKUP(Ingresos_Historicos[[#This Row],[Filtro Integrado]],Estructura!$M$4:$O$367,3,0)</f>
        <v>FI-303</v>
      </c>
      <c r="AA414" s="19" t="str">
        <f>+VLOOKUP(Ingresos_Historicos[[#This Row],[Muestra]],Estructura!$Q$4:$S$194,3,0)</f>
        <v>M-310</v>
      </c>
    </row>
    <row r="415" spans="1:27" ht="51" x14ac:dyDescent="0.3">
      <c r="A415" s="71" t="s">
        <v>801</v>
      </c>
      <c r="B415" s="12">
        <f t="shared" si="90"/>
        <v>300</v>
      </c>
      <c r="C415" s="13" t="str">
        <f t="shared" si="90"/>
        <v>Violencia contra la mujer</v>
      </c>
      <c r="D415" s="13" t="str">
        <f t="shared" si="90"/>
        <v>Mujeres</v>
      </c>
      <c r="E415" s="26">
        <v>9</v>
      </c>
      <c r="F415" s="13" t="s">
        <v>7581</v>
      </c>
      <c r="G415" s="13" t="s">
        <v>7576</v>
      </c>
      <c r="H415" s="29" t="s">
        <v>15</v>
      </c>
      <c r="I415" s="28" t="s">
        <v>375</v>
      </c>
      <c r="J415" s="12" t="s">
        <v>398</v>
      </c>
      <c r="K415" s="12" t="str">
        <f t="shared" si="91"/>
        <v>Sentencias Dictadas por Delitos Vinculados a la Mujer</v>
      </c>
      <c r="L415" s="75" t="str">
        <f t="shared" si="91"/>
        <v>Periodo 2013-2019</v>
      </c>
      <c r="M415" s="12" t="str">
        <f t="shared" si="91"/>
        <v>Número de sentencias</v>
      </c>
      <c r="N415" s="33" t="s">
        <v>5964</v>
      </c>
      <c r="O415" s="72" t="str">
        <f>"Sentencias Dictadas por Delitos Vinculados a la Mujer por Delito en la "&amp;Ingresos_Historicos[[#This Row],[territorio]]&amp;" durante el Periodo 2013-2019"</f>
        <v>Sentencias Dictadas por Delitos Vinculados a la Mujer por Delito en la Región de La Araucanía durante el Periodo 2013-2019</v>
      </c>
      <c r="P415"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La Araucanía durante el Periodo 2013-2019 de acuerdo a datos provenientes del Poder Judicial de Chile.</v>
      </c>
      <c r="Q415" s="14" t="str">
        <f t="shared" si="87"/>
        <v>Gráfico de Evolución</v>
      </c>
      <c r="R415" s="27" t="s">
        <v>6257</v>
      </c>
      <c r="S415" s="15" t="s">
        <v>6810</v>
      </c>
      <c r="T415" s="65" t="s">
        <v>5931</v>
      </c>
      <c r="U415" s="24" t="s">
        <v>397</v>
      </c>
      <c r="V415" s="19" t="str">
        <f>+Ingresos_Historicos[[#This Row],[idcoleccion]]&amp;"-"&amp;Ingresos_Historicos[[#This Row],[id]]</f>
        <v>300-0405</v>
      </c>
      <c r="W415" s="19">
        <f>+VLOOKUP(Ingresos_Historicos[[#This Row],[Filtro URL]],Estructura!$X$4:$Y$366,2,0)</f>
        <v>30200009</v>
      </c>
      <c r="X415" s="19" t="str">
        <f>+VLOOKUP(Ingresos_Historicos[[#This Row],[tema]],Estructura!$A$4:$C$18,3,0)</f>
        <v>T-310</v>
      </c>
      <c r="Y415" s="19" t="str">
        <f>+VLOOKUP(Ingresos_Historicos[[#This Row],[contenido]],Estructura!$E$4:$G$18,3,0)</f>
        <v>C-303</v>
      </c>
      <c r="Z415" s="19" t="str">
        <f>+VLOOKUP(Ingresos_Historicos[[#This Row],[Filtro Integrado]],Estructura!$M$4:$O$367,3,0)</f>
        <v>FI-303</v>
      </c>
      <c r="AA415" s="19" t="str">
        <f>+VLOOKUP(Ingresos_Historicos[[#This Row],[Muestra]],Estructura!$Q$4:$S$194,3,0)</f>
        <v>M-310</v>
      </c>
    </row>
    <row r="416" spans="1:27" ht="51" x14ac:dyDescent="0.3">
      <c r="A416" s="71" t="s">
        <v>802</v>
      </c>
      <c r="B416" s="12">
        <f t="shared" si="90"/>
        <v>300</v>
      </c>
      <c r="C416" s="13" t="str">
        <f t="shared" si="90"/>
        <v>Violencia contra la mujer</v>
      </c>
      <c r="D416" s="13" t="str">
        <f t="shared" si="90"/>
        <v>Mujeres</v>
      </c>
      <c r="E416" s="26">
        <v>10</v>
      </c>
      <c r="F416" s="13" t="s">
        <v>7581</v>
      </c>
      <c r="G416" s="13" t="s">
        <v>7576</v>
      </c>
      <c r="H416" s="29" t="s">
        <v>15</v>
      </c>
      <c r="I416" s="28" t="s">
        <v>376</v>
      </c>
      <c r="J416" s="12" t="s">
        <v>398</v>
      </c>
      <c r="K416" s="12" t="str">
        <f t="shared" si="91"/>
        <v>Sentencias Dictadas por Delitos Vinculados a la Mujer</v>
      </c>
      <c r="L416" s="75" t="str">
        <f t="shared" si="91"/>
        <v>Periodo 2013-2019</v>
      </c>
      <c r="M416" s="12" t="str">
        <f t="shared" si="91"/>
        <v>Número de sentencias</v>
      </c>
      <c r="N416" s="33" t="s">
        <v>5964</v>
      </c>
      <c r="O416" s="72" t="str">
        <f>"Sentencias Dictadas por Delitos Vinculados a la Mujer por Delito en la "&amp;Ingresos_Historicos[[#This Row],[territorio]]&amp;" durante el Periodo 2013-2019"</f>
        <v>Sentencias Dictadas por Delitos Vinculados a la Mujer por Delito en la Región de Los Lagos durante el Periodo 2013-2019</v>
      </c>
      <c r="P416"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Los Lagos durante el Periodo 2013-2019 de acuerdo a datos provenientes del Poder Judicial de Chile.</v>
      </c>
      <c r="Q416" s="14" t="str">
        <f t="shared" si="87"/>
        <v>Gráfico de Evolución</v>
      </c>
      <c r="R416" s="27" t="s">
        <v>6258</v>
      </c>
      <c r="S416" s="15" t="s">
        <v>6811</v>
      </c>
      <c r="T416" s="65" t="s">
        <v>5932</v>
      </c>
      <c r="U416" s="24" t="s">
        <v>397</v>
      </c>
      <c r="V416" s="19" t="str">
        <f>+Ingresos_Historicos[[#This Row],[idcoleccion]]&amp;"-"&amp;Ingresos_Historicos[[#This Row],[id]]</f>
        <v>300-0406</v>
      </c>
      <c r="W416" s="19">
        <f>+VLOOKUP(Ingresos_Historicos[[#This Row],[Filtro URL]],Estructura!$X$4:$Y$366,2,0)</f>
        <v>30200010</v>
      </c>
      <c r="X416" s="19" t="str">
        <f>+VLOOKUP(Ingresos_Historicos[[#This Row],[tema]],Estructura!$A$4:$C$18,3,0)</f>
        <v>T-310</v>
      </c>
      <c r="Y416" s="19" t="str">
        <f>+VLOOKUP(Ingresos_Historicos[[#This Row],[contenido]],Estructura!$E$4:$G$18,3,0)</f>
        <v>C-303</v>
      </c>
      <c r="Z416" s="19" t="str">
        <f>+VLOOKUP(Ingresos_Historicos[[#This Row],[Filtro Integrado]],Estructura!$M$4:$O$367,3,0)</f>
        <v>FI-303</v>
      </c>
      <c r="AA416" s="19" t="str">
        <f>+VLOOKUP(Ingresos_Historicos[[#This Row],[Muestra]],Estructura!$Q$4:$S$194,3,0)</f>
        <v>M-310</v>
      </c>
    </row>
    <row r="417" spans="1:27" ht="40.799999999999997" x14ac:dyDescent="0.3">
      <c r="A417" s="71" t="s">
        <v>803</v>
      </c>
      <c r="B417" s="12">
        <f t="shared" si="90"/>
        <v>300</v>
      </c>
      <c r="C417" s="13" t="str">
        <f t="shared" si="90"/>
        <v>Violencia contra la mujer</v>
      </c>
      <c r="D417" s="13" t="str">
        <f t="shared" si="90"/>
        <v>Mujeres</v>
      </c>
      <c r="E417" s="26">
        <v>11</v>
      </c>
      <c r="F417" s="13" t="s">
        <v>7581</v>
      </c>
      <c r="G417" s="13" t="s">
        <v>7576</v>
      </c>
      <c r="H417" s="29" t="s">
        <v>15</v>
      </c>
      <c r="I417" s="28" t="s">
        <v>377</v>
      </c>
      <c r="J417" s="12" t="s">
        <v>398</v>
      </c>
      <c r="K417" s="12" t="str">
        <f t="shared" si="91"/>
        <v>Sentencias Dictadas por Delitos Vinculados a la Mujer</v>
      </c>
      <c r="L417" s="75" t="str">
        <f t="shared" si="91"/>
        <v>Periodo 2013-2019</v>
      </c>
      <c r="M417" s="12" t="str">
        <f t="shared" si="91"/>
        <v>Número de sentencias</v>
      </c>
      <c r="N417" s="33" t="s">
        <v>5964</v>
      </c>
      <c r="O417" s="72" t="str">
        <f>"Sentencias Dictadas por Delitos Vinculados a la Mujer por Delito en la "&amp;Ingresos_Historicos[[#This Row],[territorio]]&amp;" durante el Periodo 2013-2019"</f>
        <v>Sentencias Dictadas por Delitos Vinculados a la Mujer por Delito en la Región de Aysén durante el Periodo 2013-2019</v>
      </c>
      <c r="P417"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Aysén durante el Periodo 2013-2019 de acuerdo a datos provenientes del Poder Judicial de Chile.</v>
      </c>
      <c r="Q417" s="14" t="str">
        <f t="shared" si="87"/>
        <v>Gráfico de Evolución</v>
      </c>
      <c r="R417" s="27" t="s">
        <v>6259</v>
      </c>
      <c r="S417" s="15" t="s">
        <v>6812</v>
      </c>
      <c r="T417" s="65" t="s">
        <v>5933</v>
      </c>
      <c r="U417" s="24" t="s">
        <v>397</v>
      </c>
      <c r="V417" s="19" t="str">
        <f>+Ingresos_Historicos[[#This Row],[idcoleccion]]&amp;"-"&amp;Ingresos_Historicos[[#This Row],[id]]</f>
        <v>300-0407</v>
      </c>
      <c r="W417" s="19">
        <f>+VLOOKUP(Ingresos_Historicos[[#This Row],[Filtro URL]],Estructura!$X$4:$Y$366,2,0)</f>
        <v>30200011</v>
      </c>
      <c r="X417" s="19" t="str">
        <f>+VLOOKUP(Ingresos_Historicos[[#This Row],[tema]],Estructura!$A$4:$C$18,3,0)</f>
        <v>T-310</v>
      </c>
      <c r="Y417" s="19" t="str">
        <f>+VLOOKUP(Ingresos_Historicos[[#This Row],[contenido]],Estructura!$E$4:$G$18,3,0)</f>
        <v>C-303</v>
      </c>
      <c r="Z417" s="19" t="str">
        <f>+VLOOKUP(Ingresos_Historicos[[#This Row],[Filtro Integrado]],Estructura!$M$4:$O$367,3,0)</f>
        <v>FI-303</v>
      </c>
      <c r="AA417" s="19" t="str">
        <f>+VLOOKUP(Ingresos_Historicos[[#This Row],[Muestra]],Estructura!$Q$4:$S$194,3,0)</f>
        <v>M-310</v>
      </c>
    </row>
    <row r="418" spans="1:27" ht="51" x14ac:dyDescent="0.3">
      <c r="A418" s="71" t="s">
        <v>804</v>
      </c>
      <c r="B418" s="12">
        <f t="shared" si="90"/>
        <v>300</v>
      </c>
      <c r="C418" s="13" t="str">
        <f t="shared" si="90"/>
        <v>Violencia contra la mujer</v>
      </c>
      <c r="D418" s="13" t="str">
        <f t="shared" si="90"/>
        <v>Mujeres</v>
      </c>
      <c r="E418" s="26">
        <v>12</v>
      </c>
      <c r="F418" s="13" t="s">
        <v>7581</v>
      </c>
      <c r="G418" s="13" t="s">
        <v>7576</v>
      </c>
      <c r="H418" s="29" t="s">
        <v>15</v>
      </c>
      <c r="I418" s="28" t="s">
        <v>378</v>
      </c>
      <c r="J418" s="12" t="s">
        <v>398</v>
      </c>
      <c r="K418" s="12" t="str">
        <f t="shared" si="91"/>
        <v>Sentencias Dictadas por Delitos Vinculados a la Mujer</v>
      </c>
      <c r="L418" s="75" t="str">
        <f t="shared" si="91"/>
        <v>Periodo 2013-2019</v>
      </c>
      <c r="M418" s="12" t="str">
        <f t="shared" si="91"/>
        <v>Número de sentencias</v>
      </c>
      <c r="N418" s="33" t="s">
        <v>5964</v>
      </c>
      <c r="O418" s="72" t="str">
        <f>"Sentencias Dictadas por Delitos Vinculados a la Mujer por Delito en la "&amp;Ingresos_Historicos[[#This Row],[territorio]]&amp;" durante el Periodo 2013-2019"</f>
        <v>Sentencias Dictadas por Delitos Vinculados a la Mujer por Delito en la Región de Magallanes durante el Periodo 2013-2019</v>
      </c>
      <c r="P418"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Magallanes durante el Periodo 2013-2019 de acuerdo a datos provenientes del Poder Judicial de Chile.</v>
      </c>
      <c r="Q418" s="14" t="str">
        <f t="shared" si="87"/>
        <v>Gráfico de Evolución</v>
      </c>
      <c r="R418" s="27" t="s">
        <v>6260</v>
      </c>
      <c r="S418" s="15" t="s">
        <v>6813</v>
      </c>
      <c r="T418" s="65" t="s">
        <v>5934</v>
      </c>
      <c r="U418" s="24" t="s">
        <v>397</v>
      </c>
      <c r="V418" s="19" t="str">
        <f>+Ingresos_Historicos[[#This Row],[idcoleccion]]&amp;"-"&amp;Ingresos_Historicos[[#This Row],[id]]</f>
        <v>300-0408</v>
      </c>
      <c r="W418" s="19">
        <f>+VLOOKUP(Ingresos_Historicos[[#This Row],[Filtro URL]],Estructura!$X$4:$Y$366,2,0)</f>
        <v>30200012</v>
      </c>
      <c r="X418" s="19" t="str">
        <f>+VLOOKUP(Ingresos_Historicos[[#This Row],[tema]],Estructura!$A$4:$C$18,3,0)</f>
        <v>T-310</v>
      </c>
      <c r="Y418" s="19" t="str">
        <f>+VLOOKUP(Ingresos_Historicos[[#This Row],[contenido]],Estructura!$E$4:$G$18,3,0)</f>
        <v>C-303</v>
      </c>
      <c r="Z418" s="19" t="str">
        <f>+VLOOKUP(Ingresos_Historicos[[#This Row],[Filtro Integrado]],Estructura!$M$4:$O$367,3,0)</f>
        <v>FI-303</v>
      </c>
      <c r="AA418" s="19" t="str">
        <f>+VLOOKUP(Ingresos_Historicos[[#This Row],[Muestra]],Estructura!$Q$4:$S$194,3,0)</f>
        <v>M-310</v>
      </c>
    </row>
    <row r="419" spans="1:27" ht="51" x14ac:dyDescent="0.3">
      <c r="A419" s="71" t="s">
        <v>805</v>
      </c>
      <c r="B419" s="12">
        <f t="shared" si="90"/>
        <v>300</v>
      </c>
      <c r="C419" s="13" t="str">
        <f t="shared" si="90"/>
        <v>Violencia contra la mujer</v>
      </c>
      <c r="D419" s="13" t="str">
        <f t="shared" si="90"/>
        <v>Mujeres</v>
      </c>
      <c r="E419" s="26">
        <v>13</v>
      </c>
      <c r="F419" s="13" t="s">
        <v>7581</v>
      </c>
      <c r="G419" s="13" t="s">
        <v>7576</v>
      </c>
      <c r="H419" s="29" t="s">
        <v>15</v>
      </c>
      <c r="I419" s="28" t="s">
        <v>379</v>
      </c>
      <c r="J419" s="12" t="s">
        <v>398</v>
      </c>
      <c r="K419" s="12" t="str">
        <f t="shared" si="91"/>
        <v>Sentencias Dictadas por Delitos Vinculados a la Mujer</v>
      </c>
      <c r="L419" s="75" t="str">
        <f t="shared" si="91"/>
        <v>Periodo 2013-2019</v>
      </c>
      <c r="M419" s="12" t="str">
        <f t="shared" si="91"/>
        <v>Número de sentencias</v>
      </c>
      <c r="N419" s="33" t="s">
        <v>5964</v>
      </c>
      <c r="O419" s="72" t="str">
        <f>"Sentencias Dictadas por Delitos Vinculados a la Mujer por Delito en la "&amp;Ingresos_Historicos[[#This Row],[territorio]]&amp;" durante el Periodo 2013-2019"</f>
        <v>Sentencias Dictadas por Delitos Vinculados a la Mujer por Delito en la Región Metropolitana durante el Periodo 2013-2019</v>
      </c>
      <c r="P419"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Metropolitana durante el Periodo 2013-2019 de acuerdo a datos provenientes del Poder Judicial de Chile.</v>
      </c>
      <c r="Q419" s="14" t="str">
        <f t="shared" si="87"/>
        <v>Gráfico de Evolución</v>
      </c>
      <c r="R419" s="27" t="s">
        <v>6261</v>
      </c>
      <c r="S419" s="15" t="s">
        <v>6814</v>
      </c>
      <c r="T419" s="65" t="s">
        <v>5935</v>
      </c>
      <c r="U419" s="24" t="s">
        <v>397</v>
      </c>
      <c r="V419" s="19" t="str">
        <f>+Ingresos_Historicos[[#This Row],[idcoleccion]]&amp;"-"&amp;Ingresos_Historicos[[#This Row],[id]]</f>
        <v>300-0409</v>
      </c>
      <c r="W419" s="19">
        <f>+VLOOKUP(Ingresos_Historicos[[#This Row],[Filtro URL]],Estructura!$X$4:$Y$366,2,0)</f>
        <v>30200013</v>
      </c>
      <c r="X419" s="19" t="str">
        <f>+VLOOKUP(Ingresos_Historicos[[#This Row],[tema]],Estructura!$A$4:$C$18,3,0)</f>
        <v>T-310</v>
      </c>
      <c r="Y419" s="19" t="str">
        <f>+VLOOKUP(Ingresos_Historicos[[#This Row],[contenido]],Estructura!$E$4:$G$18,3,0)</f>
        <v>C-303</v>
      </c>
      <c r="Z419" s="19" t="str">
        <f>+VLOOKUP(Ingresos_Historicos[[#This Row],[Filtro Integrado]],Estructura!$M$4:$O$367,3,0)</f>
        <v>FI-303</v>
      </c>
      <c r="AA419" s="19" t="str">
        <f>+VLOOKUP(Ingresos_Historicos[[#This Row],[Muestra]],Estructura!$Q$4:$S$194,3,0)</f>
        <v>M-310</v>
      </c>
    </row>
    <row r="420" spans="1:27" ht="40.799999999999997" x14ac:dyDescent="0.3">
      <c r="A420" s="71" t="s">
        <v>806</v>
      </c>
      <c r="B420" s="12">
        <f t="shared" si="90"/>
        <v>300</v>
      </c>
      <c r="C420" s="13" t="str">
        <f t="shared" si="90"/>
        <v>Violencia contra la mujer</v>
      </c>
      <c r="D420" s="13" t="str">
        <f t="shared" si="90"/>
        <v>Mujeres</v>
      </c>
      <c r="E420" s="26">
        <v>14</v>
      </c>
      <c r="F420" s="13" t="s">
        <v>7581</v>
      </c>
      <c r="G420" s="13" t="s">
        <v>7576</v>
      </c>
      <c r="H420" s="29" t="s">
        <v>15</v>
      </c>
      <c r="I420" s="28" t="s">
        <v>380</v>
      </c>
      <c r="J420" s="12" t="s">
        <v>398</v>
      </c>
      <c r="K420" s="12" t="str">
        <f t="shared" si="91"/>
        <v>Sentencias Dictadas por Delitos Vinculados a la Mujer</v>
      </c>
      <c r="L420" s="75" t="str">
        <f t="shared" si="91"/>
        <v>Periodo 2013-2019</v>
      </c>
      <c r="M420" s="12" t="str">
        <f t="shared" si="91"/>
        <v>Número de sentencias</v>
      </c>
      <c r="N420" s="33" t="s">
        <v>5964</v>
      </c>
      <c r="O420" s="72" t="str">
        <f>"Sentencias Dictadas por Delitos Vinculados a la Mujer por Delito en la "&amp;Ingresos_Historicos[[#This Row],[territorio]]&amp;" durante el Periodo 2013-2019"</f>
        <v>Sentencias Dictadas por Delitos Vinculados a la Mujer por Delito en la Región de Los Ríos durante el Periodo 2013-2019</v>
      </c>
      <c r="P420"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Los Ríos durante el Periodo 2013-2019 de acuerdo a datos provenientes del Poder Judicial de Chile.</v>
      </c>
      <c r="Q420" s="14" t="str">
        <f>+Q419</f>
        <v>Gráfico de Evolución</v>
      </c>
      <c r="R420" s="27" t="s">
        <v>6262</v>
      </c>
      <c r="S420" s="15" t="s">
        <v>6815</v>
      </c>
      <c r="T420" s="65" t="s">
        <v>5936</v>
      </c>
      <c r="U420" s="24" t="s">
        <v>397</v>
      </c>
      <c r="V420" s="19" t="str">
        <f>+Ingresos_Historicos[[#This Row],[idcoleccion]]&amp;"-"&amp;Ingresos_Historicos[[#This Row],[id]]</f>
        <v>300-0410</v>
      </c>
      <c r="W420" s="19">
        <f>+VLOOKUP(Ingresos_Historicos[[#This Row],[Filtro URL]],Estructura!$X$4:$Y$366,2,0)</f>
        <v>30200014</v>
      </c>
      <c r="X420" s="19" t="str">
        <f>+VLOOKUP(Ingresos_Historicos[[#This Row],[tema]],Estructura!$A$4:$C$18,3,0)</f>
        <v>T-310</v>
      </c>
      <c r="Y420" s="19" t="str">
        <f>+VLOOKUP(Ingresos_Historicos[[#This Row],[contenido]],Estructura!$E$4:$G$18,3,0)</f>
        <v>C-303</v>
      </c>
      <c r="Z420" s="19" t="str">
        <f>+VLOOKUP(Ingresos_Historicos[[#This Row],[Filtro Integrado]],Estructura!$M$4:$O$367,3,0)</f>
        <v>FI-303</v>
      </c>
      <c r="AA420" s="19" t="str">
        <f>+VLOOKUP(Ingresos_Historicos[[#This Row],[Muestra]],Estructura!$Q$4:$S$194,3,0)</f>
        <v>M-310</v>
      </c>
    </row>
    <row r="421" spans="1:27" ht="51" x14ac:dyDescent="0.3">
      <c r="A421" s="71" t="s">
        <v>807</v>
      </c>
      <c r="B421" s="12">
        <f t="shared" si="90"/>
        <v>300</v>
      </c>
      <c r="C421" s="13" t="str">
        <f t="shared" si="90"/>
        <v>Violencia contra la mujer</v>
      </c>
      <c r="D421" s="13" t="str">
        <f t="shared" si="90"/>
        <v>Mujeres</v>
      </c>
      <c r="E421" s="26">
        <v>15</v>
      </c>
      <c r="F421" s="13" t="s">
        <v>7581</v>
      </c>
      <c r="G421" s="13" t="s">
        <v>7576</v>
      </c>
      <c r="H421" s="29" t="s">
        <v>15</v>
      </c>
      <c r="I421" s="28" t="s">
        <v>381</v>
      </c>
      <c r="J421" s="12" t="s">
        <v>398</v>
      </c>
      <c r="K421" s="12" t="str">
        <f t="shared" si="91"/>
        <v>Sentencias Dictadas por Delitos Vinculados a la Mujer</v>
      </c>
      <c r="L421" s="75" t="str">
        <f t="shared" si="91"/>
        <v>Periodo 2013-2019</v>
      </c>
      <c r="M421" s="12" t="str">
        <f t="shared" si="91"/>
        <v>Número de sentencias</v>
      </c>
      <c r="N421" s="33" t="s">
        <v>5964</v>
      </c>
      <c r="O421" s="72" t="str">
        <f>"Sentencias Dictadas por Delitos Vinculados a la Mujer por Delito en la "&amp;Ingresos_Historicos[[#This Row],[territorio]]&amp;" durante el Periodo 2013-2019"</f>
        <v>Sentencias Dictadas por Delitos Vinculados a la Mujer por Delito en la Región de Arica y Parinacota durante el Periodo 2013-2019</v>
      </c>
      <c r="P421"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Arica y Parinacota durante el Periodo 2013-2019 de acuerdo a datos provenientes del Poder Judicial de Chile.</v>
      </c>
      <c r="Q421" s="14" t="str">
        <f>+Q420</f>
        <v>Gráfico de Evolución</v>
      </c>
      <c r="R421" s="27" t="s">
        <v>6263</v>
      </c>
      <c r="S421" s="15" t="s">
        <v>6816</v>
      </c>
      <c r="T421" s="65" t="s">
        <v>5937</v>
      </c>
      <c r="U421" s="24" t="s">
        <v>397</v>
      </c>
      <c r="V421" s="19" t="str">
        <f>+Ingresos_Historicos[[#This Row],[idcoleccion]]&amp;"-"&amp;Ingresos_Historicos[[#This Row],[id]]</f>
        <v>300-0411</v>
      </c>
      <c r="W421" s="19">
        <f>+VLOOKUP(Ingresos_Historicos[[#This Row],[Filtro URL]],Estructura!$X$4:$Y$366,2,0)</f>
        <v>30200015</v>
      </c>
      <c r="X421" s="19" t="str">
        <f>+VLOOKUP(Ingresos_Historicos[[#This Row],[tema]],Estructura!$A$4:$C$18,3,0)</f>
        <v>T-310</v>
      </c>
      <c r="Y421" s="19" t="str">
        <f>+VLOOKUP(Ingresos_Historicos[[#This Row],[contenido]],Estructura!$E$4:$G$18,3,0)</f>
        <v>C-303</v>
      </c>
      <c r="Z421" s="19" t="str">
        <f>+VLOOKUP(Ingresos_Historicos[[#This Row],[Filtro Integrado]],Estructura!$M$4:$O$367,3,0)</f>
        <v>FI-303</v>
      </c>
      <c r="AA421" s="19" t="str">
        <f>+VLOOKUP(Ingresos_Historicos[[#This Row],[Muestra]],Estructura!$Q$4:$S$194,3,0)</f>
        <v>M-310</v>
      </c>
    </row>
    <row r="422" spans="1:27" ht="40.799999999999997" x14ac:dyDescent="0.3">
      <c r="A422" s="71" t="s">
        <v>808</v>
      </c>
      <c r="B422" s="12">
        <f t="shared" ref="B422:D437" si="92">+B421</f>
        <v>300</v>
      </c>
      <c r="C422" s="13" t="str">
        <f t="shared" si="92"/>
        <v>Violencia contra la mujer</v>
      </c>
      <c r="D422" s="13" t="str">
        <f t="shared" si="92"/>
        <v>Mujeres</v>
      </c>
      <c r="E422" s="26">
        <v>16</v>
      </c>
      <c r="F422" s="13" t="s">
        <v>7581</v>
      </c>
      <c r="G422" s="13" t="s">
        <v>7576</v>
      </c>
      <c r="H422" s="29" t="s">
        <v>15</v>
      </c>
      <c r="I422" s="28" t="s">
        <v>382</v>
      </c>
      <c r="J422" s="12" t="s">
        <v>398</v>
      </c>
      <c r="K422" s="12" t="str">
        <f t="shared" si="91"/>
        <v>Sentencias Dictadas por Delitos Vinculados a la Mujer</v>
      </c>
      <c r="L422" s="75" t="str">
        <f t="shared" si="91"/>
        <v>Periodo 2013-2019</v>
      </c>
      <c r="M422" s="12" t="str">
        <f t="shared" si="91"/>
        <v>Número de sentencias</v>
      </c>
      <c r="N422" s="33" t="s">
        <v>5964</v>
      </c>
      <c r="O422" s="72" t="str">
        <f>"Sentencias Dictadas por Delitos Vinculados a la Mujer por Delito en la "&amp;Ingresos_Historicos[[#This Row],[territorio]]&amp;" durante el Periodo 2013-2019"</f>
        <v>Sentencias Dictadas por Delitos Vinculados a la Mujer por Delito en la Región de Ñuble durante el Periodo 2013-2019</v>
      </c>
      <c r="P422" s="42" t="str">
        <f>"El gráfico muestra la evolución anual de la frecuencia de Sentencias Dictadas por Delitos Vinculados a la Mujer por Delito en la "&amp;Ingresos_Historicos[[#This Row],[territorio]]&amp;" durante el Periodo 2013-2019 de acuerdo a datos provenientes del Poder Judicial de Chile."</f>
        <v>El gráfico muestra la evolución anual de la frecuencia de Sentencias Dictadas por Delitos Vinculados a la Mujer por Delito en la Región de Ñuble durante el Periodo 2013-2019 de acuerdo a datos provenientes del Poder Judicial de Chile.</v>
      </c>
      <c r="Q422" s="14" t="str">
        <f>+Q421</f>
        <v>Gráfico de Evolución</v>
      </c>
      <c r="R422" s="27" t="s">
        <v>6264</v>
      </c>
      <c r="S422" s="15" t="s">
        <v>6817</v>
      </c>
      <c r="T422" s="65" t="s">
        <v>5924</v>
      </c>
      <c r="U422" s="24" t="s">
        <v>397</v>
      </c>
      <c r="V422" s="19" t="str">
        <f>+Ingresos_Historicos[[#This Row],[idcoleccion]]&amp;"-"&amp;Ingresos_Historicos[[#This Row],[id]]</f>
        <v>300-0412</v>
      </c>
      <c r="W422" s="19">
        <f>+VLOOKUP(Ingresos_Historicos[[#This Row],[Filtro URL]],Estructura!$X$4:$Y$366,2,0)</f>
        <v>30200016</v>
      </c>
      <c r="X422" s="19" t="str">
        <f>+VLOOKUP(Ingresos_Historicos[[#This Row],[tema]],Estructura!$A$4:$C$18,3,0)</f>
        <v>T-310</v>
      </c>
      <c r="Y422" s="19" t="str">
        <f>+VLOOKUP(Ingresos_Historicos[[#This Row],[contenido]],Estructura!$E$4:$G$18,3,0)</f>
        <v>C-303</v>
      </c>
      <c r="Z422" s="19" t="str">
        <f>+VLOOKUP(Ingresos_Historicos[[#This Row],[Filtro Integrado]],Estructura!$M$4:$O$367,3,0)</f>
        <v>FI-303</v>
      </c>
      <c r="AA422" s="19" t="str">
        <f>+VLOOKUP(Ingresos_Historicos[[#This Row],[Muestra]],Estructura!$Q$4:$S$194,3,0)</f>
        <v>M-310</v>
      </c>
    </row>
    <row r="423" spans="1:27" ht="91.8" x14ac:dyDescent="0.3">
      <c r="A423" s="32" t="s">
        <v>809</v>
      </c>
      <c r="B423" s="12">
        <f t="shared" si="92"/>
        <v>300</v>
      </c>
      <c r="C423" s="13" t="str">
        <f t="shared" si="92"/>
        <v>Violencia contra la mujer</v>
      </c>
      <c r="D423" s="13" t="str">
        <f t="shared" si="92"/>
        <v>Mujeres</v>
      </c>
      <c r="E423" s="39">
        <v>1</v>
      </c>
      <c r="F423" s="13" t="s">
        <v>7581</v>
      </c>
      <c r="G423" s="13" t="s">
        <v>7576</v>
      </c>
      <c r="H423" s="38" t="s">
        <v>17</v>
      </c>
      <c r="I423" s="37" t="s">
        <v>29</v>
      </c>
      <c r="J423" s="12" t="s">
        <v>398</v>
      </c>
      <c r="K423" s="12" t="str">
        <f t="shared" si="91"/>
        <v>Sentencias Dictadas por Delitos Vinculados a la Mujer</v>
      </c>
      <c r="L423" s="75" t="str">
        <f t="shared" si="91"/>
        <v>Periodo 2013-2019</v>
      </c>
      <c r="M423" s="12" t="str">
        <f t="shared" si="91"/>
        <v>Número de sentencias</v>
      </c>
      <c r="N423" s="33" t="s">
        <v>5964</v>
      </c>
      <c r="O42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Iquique para el Periodo 2013-2019</v>
      </c>
      <c r="P423" s="42" t="s">
        <v>6265</v>
      </c>
      <c r="Q423" s="14" t="str">
        <f t="shared" ref="Q423:Q486" si="93">+Q422</f>
        <v>Gráfico de Evolución</v>
      </c>
      <c r="R423" s="27" t="s">
        <v>6266</v>
      </c>
      <c r="S423" s="15" t="s">
        <v>6818</v>
      </c>
      <c r="T423" s="65" t="s">
        <v>5907</v>
      </c>
      <c r="U423" s="24" t="s">
        <v>397</v>
      </c>
      <c r="V423" s="19" t="str">
        <f>+Ingresos_Historicos[[#This Row],[idcoleccion]]&amp;"-"&amp;Ingresos_Historicos[[#This Row],[id]]</f>
        <v>300-0413</v>
      </c>
      <c r="W423" s="19">
        <f>+VLOOKUP(Ingresos_Historicos[[#This Row],[Filtro URL]],Estructura!$X$4:$Y$366,2,0)</f>
        <v>30200001</v>
      </c>
      <c r="X423" s="19" t="str">
        <f>+VLOOKUP(Ingresos_Historicos[[#This Row],[tema]],Estructura!$A$4:$C$18,3,0)</f>
        <v>T-310</v>
      </c>
      <c r="Y423" s="19" t="str">
        <f>+VLOOKUP(Ingresos_Historicos[[#This Row],[contenido]],Estructura!$E$4:$G$18,3,0)</f>
        <v>C-303</v>
      </c>
      <c r="Z423" s="19" t="str">
        <f>+VLOOKUP(Ingresos_Historicos[[#This Row],[Filtro Integrado]],Estructura!$M$4:$O$367,3,0)</f>
        <v>FI-303</v>
      </c>
      <c r="AA423" s="19" t="str">
        <f>+VLOOKUP(Ingresos_Historicos[[#This Row],[Muestra]],Estructura!$Q$4:$S$194,3,0)</f>
        <v>M-310</v>
      </c>
    </row>
    <row r="424" spans="1:27" ht="91.8" x14ac:dyDescent="0.3">
      <c r="A424" s="71" t="s">
        <v>810</v>
      </c>
      <c r="B424" s="12">
        <f t="shared" si="92"/>
        <v>300</v>
      </c>
      <c r="C424" s="13" t="str">
        <f t="shared" si="92"/>
        <v>Violencia contra la mujer</v>
      </c>
      <c r="D424" s="13" t="str">
        <f t="shared" si="92"/>
        <v>Mujeres</v>
      </c>
      <c r="E424" s="39">
        <v>2</v>
      </c>
      <c r="F424" s="13" t="s">
        <v>7581</v>
      </c>
      <c r="G424" s="13" t="s">
        <v>7576</v>
      </c>
      <c r="H424" s="38" t="s">
        <v>17</v>
      </c>
      <c r="I424" s="37" t="s">
        <v>16</v>
      </c>
      <c r="J424" s="12" t="s">
        <v>398</v>
      </c>
      <c r="K424" s="12" t="str">
        <f t="shared" ref="K424:M439" si="94">+K423</f>
        <v>Sentencias Dictadas por Delitos Vinculados a la Mujer</v>
      </c>
      <c r="L424" s="75" t="str">
        <f t="shared" si="94"/>
        <v>Periodo 2013-2019</v>
      </c>
      <c r="M424" s="12" t="str">
        <f t="shared" si="94"/>
        <v>Número de sentencias</v>
      </c>
      <c r="N424" s="33" t="s">
        <v>5964</v>
      </c>
      <c r="O42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Antofagasta para el Periodo 2013-2019</v>
      </c>
      <c r="P424" s="42" t="s">
        <v>6267</v>
      </c>
      <c r="Q424" s="14" t="str">
        <f t="shared" si="93"/>
        <v>Gráfico de Evolución</v>
      </c>
      <c r="R424" s="27" t="s">
        <v>6266</v>
      </c>
      <c r="S424" s="15" t="s">
        <v>6819</v>
      </c>
      <c r="T424" s="65" t="s">
        <v>5908</v>
      </c>
      <c r="U424" s="24" t="s">
        <v>397</v>
      </c>
      <c r="V424" s="19" t="str">
        <f>+Ingresos_Historicos[[#This Row],[idcoleccion]]&amp;"-"&amp;Ingresos_Historicos[[#This Row],[id]]</f>
        <v>300-0414</v>
      </c>
      <c r="W424" s="19">
        <f>+VLOOKUP(Ingresos_Historicos[[#This Row],[Filtro URL]],Estructura!$X$4:$Y$366,2,0)</f>
        <v>30200002</v>
      </c>
      <c r="X424" s="19" t="str">
        <f>+VLOOKUP(Ingresos_Historicos[[#This Row],[tema]],Estructura!$A$4:$C$18,3,0)</f>
        <v>T-310</v>
      </c>
      <c r="Y424" s="19" t="str">
        <f>+VLOOKUP(Ingresos_Historicos[[#This Row],[contenido]],Estructura!$E$4:$G$18,3,0)</f>
        <v>C-303</v>
      </c>
      <c r="Z424" s="19" t="str">
        <f>+VLOOKUP(Ingresos_Historicos[[#This Row],[Filtro Integrado]],Estructura!$M$4:$O$367,3,0)</f>
        <v>FI-303</v>
      </c>
      <c r="AA424" s="19" t="str">
        <f>+VLOOKUP(Ingresos_Historicos[[#This Row],[Muestra]],Estructura!$Q$4:$S$194,3,0)</f>
        <v>M-310</v>
      </c>
    </row>
    <row r="425" spans="1:27" ht="91.8" x14ac:dyDescent="0.3">
      <c r="A425" s="71" t="s">
        <v>811</v>
      </c>
      <c r="B425" s="12">
        <f t="shared" si="92"/>
        <v>300</v>
      </c>
      <c r="C425" s="13" t="str">
        <f t="shared" si="92"/>
        <v>Violencia contra la mujer</v>
      </c>
      <c r="D425" s="13" t="str">
        <f t="shared" si="92"/>
        <v>Mujeres</v>
      </c>
      <c r="E425" s="39">
        <v>3</v>
      </c>
      <c r="F425" s="13" t="s">
        <v>7581</v>
      </c>
      <c r="G425" s="13" t="s">
        <v>7576</v>
      </c>
      <c r="H425" s="38" t="s">
        <v>17</v>
      </c>
      <c r="I425" s="37" t="s">
        <v>39</v>
      </c>
      <c r="J425" s="12" t="s">
        <v>398</v>
      </c>
      <c r="K425" s="12" t="str">
        <f t="shared" si="94"/>
        <v>Sentencias Dictadas por Delitos Vinculados a la Mujer</v>
      </c>
      <c r="L425" s="75" t="str">
        <f t="shared" si="94"/>
        <v>Periodo 2013-2019</v>
      </c>
      <c r="M425" s="12" t="str">
        <f t="shared" si="94"/>
        <v>Número de sentencias</v>
      </c>
      <c r="N425" s="33" t="s">
        <v>5964</v>
      </c>
      <c r="O42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Calama para el Periodo 2013-2019</v>
      </c>
      <c r="P425" s="42" t="s">
        <v>6268</v>
      </c>
      <c r="Q425" s="14" t="str">
        <f t="shared" si="93"/>
        <v>Gráfico de Evolución</v>
      </c>
      <c r="R425" s="27" t="s">
        <v>6266</v>
      </c>
      <c r="S425" s="15" t="s">
        <v>6820</v>
      </c>
      <c r="T425" s="65" t="s">
        <v>5908</v>
      </c>
      <c r="U425" s="24" t="s">
        <v>397</v>
      </c>
      <c r="V425" s="19" t="str">
        <f>+Ingresos_Historicos[[#This Row],[idcoleccion]]&amp;"-"&amp;Ingresos_Historicos[[#This Row],[id]]</f>
        <v>300-0415</v>
      </c>
      <c r="W425" s="19">
        <f>+VLOOKUP(Ingresos_Historicos[[#This Row],[Filtro URL]],Estructura!$X$4:$Y$366,2,0)</f>
        <v>30200003</v>
      </c>
      <c r="X425" s="19" t="str">
        <f>+VLOOKUP(Ingresos_Historicos[[#This Row],[tema]],Estructura!$A$4:$C$18,3,0)</f>
        <v>T-310</v>
      </c>
      <c r="Y425" s="19" t="str">
        <f>+VLOOKUP(Ingresos_Historicos[[#This Row],[contenido]],Estructura!$E$4:$G$18,3,0)</f>
        <v>C-303</v>
      </c>
      <c r="Z425" s="19" t="str">
        <f>+VLOOKUP(Ingresos_Historicos[[#This Row],[Filtro Integrado]],Estructura!$M$4:$O$367,3,0)</f>
        <v>FI-303</v>
      </c>
      <c r="AA425" s="19" t="str">
        <f>+VLOOKUP(Ingresos_Historicos[[#This Row],[Muestra]],Estructura!$Q$4:$S$194,3,0)</f>
        <v>M-310</v>
      </c>
    </row>
    <row r="426" spans="1:27" ht="91.8" x14ac:dyDescent="0.3">
      <c r="A426" s="71" t="s">
        <v>812</v>
      </c>
      <c r="B426" s="12">
        <f t="shared" si="92"/>
        <v>300</v>
      </c>
      <c r="C426" s="13" t="str">
        <f t="shared" si="92"/>
        <v>Violencia contra la mujer</v>
      </c>
      <c r="D426" s="13" t="str">
        <f t="shared" si="92"/>
        <v>Mujeres</v>
      </c>
      <c r="E426" s="39">
        <v>4</v>
      </c>
      <c r="F426" s="13" t="s">
        <v>7581</v>
      </c>
      <c r="G426" s="13" t="s">
        <v>7576</v>
      </c>
      <c r="H426" s="38" t="s">
        <v>17</v>
      </c>
      <c r="I426" s="37" t="s">
        <v>42</v>
      </c>
      <c r="J426" s="12" t="s">
        <v>398</v>
      </c>
      <c r="K426" s="12" t="str">
        <f t="shared" si="94"/>
        <v>Sentencias Dictadas por Delitos Vinculados a la Mujer</v>
      </c>
      <c r="L426" s="75" t="str">
        <f t="shared" si="94"/>
        <v>Periodo 2013-2019</v>
      </c>
      <c r="M426" s="12" t="str">
        <f t="shared" si="94"/>
        <v>Número de sentencias</v>
      </c>
      <c r="N426" s="33" t="s">
        <v>5964</v>
      </c>
      <c r="O42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Tocopilla para el Periodo 2013-2019</v>
      </c>
      <c r="P426" s="42" t="s">
        <v>6269</v>
      </c>
      <c r="Q426" s="14" t="str">
        <f t="shared" si="93"/>
        <v>Gráfico de Evolución</v>
      </c>
      <c r="R426" s="27" t="s">
        <v>6266</v>
      </c>
      <c r="S426" s="15" t="s">
        <v>6821</v>
      </c>
      <c r="T426" s="65" t="s">
        <v>5908</v>
      </c>
      <c r="U426" s="24" t="s">
        <v>397</v>
      </c>
      <c r="V426" s="19" t="str">
        <f>+Ingresos_Historicos[[#This Row],[idcoleccion]]&amp;"-"&amp;Ingresos_Historicos[[#This Row],[id]]</f>
        <v>300-0416</v>
      </c>
      <c r="W426" s="19">
        <f>+VLOOKUP(Ingresos_Historicos[[#This Row],[Filtro URL]],Estructura!$X$4:$Y$366,2,0)</f>
        <v>30200004</v>
      </c>
      <c r="X426" s="19" t="str">
        <f>+VLOOKUP(Ingresos_Historicos[[#This Row],[tema]],Estructura!$A$4:$C$18,3,0)</f>
        <v>T-310</v>
      </c>
      <c r="Y426" s="19" t="str">
        <f>+VLOOKUP(Ingresos_Historicos[[#This Row],[contenido]],Estructura!$E$4:$G$18,3,0)</f>
        <v>C-303</v>
      </c>
      <c r="Z426" s="19" t="str">
        <f>+VLOOKUP(Ingresos_Historicos[[#This Row],[Filtro Integrado]],Estructura!$M$4:$O$367,3,0)</f>
        <v>FI-303</v>
      </c>
      <c r="AA426" s="19" t="str">
        <f>+VLOOKUP(Ingresos_Historicos[[#This Row],[Muestra]],Estructura!$Q$4:$S$194,3,0)</f>
        <v>M-310</v>
      </c>
    </row>
    <row r="427" spans="1:27" ht="91.8" x14ac:dyDescent="0.3">
      <c r="A427" s="71" t="s">
        <v>813</v>
      </c>
      <c r="B427" s="12">
        <f t="shared" si="92"/>
        <v>300</v>
      </c>
      <c r="C427" s="13" t="str">
        <f t="shared" si="92"/>
        <v>Violencia contra la mujer</v>
      </c>
      <c r="D427" s="13" t="str">
        <f t="shared" si="92"/>
        <v>Mujeres</v>
      </c>
      <c r="E427" s="39">
        <v>5</v>
      </c>
      <c r="F427" s="13" t="s">
        <v>7581</v>
      </c>
      <c r="G427" s="13" t="s">
        <v>7576</v>
      </c>
      <c r="H427" s="38" t="s">
        <v>17</v>
      </c>
      <c r="I427" s="37" t="s">
        <v>6010</v>
      </c>
      <c r="J427" s="12" t="s">
        <v>398</v>
      </c>
      <c r="K427" s="12" t="str">
        <f t="shared" si="94"/>
        <v>Sentencias Dictadas por Delitos Vinculados a la Mujer</v>
      </c>
      <c r="L427" s="75" t="str">
        <f t="shared" si="94"/>
        <v>Periodo 2013-2019</v>
      </c>
      <c r="M427" s="12" t="str">
        <f t="shared" si="94"/>
        <v>Número de sentencias</v>
      </c>
      <c r="N427" s="33" t="s">
        <v>5964</v>
      </c>
      <c r="O42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Copiapo para el Periodo 2013-2019</v>
      </c>
      <c r="P427" s="42" t="s">
        <v>6270</v>
      </c>
      <c r="Q427" s="14" t="str">
        <f t="shared" si="93"/>
        <v>Gráfico de Evolución</v>
      </c>
      <c r="R427" s="27" t="s">
        <v>6266</v>
      </c>
      <c r="S427" s="15" t="s">
        <v>6822</v>
      </c>
      <c r="T427" s="65" t="s">
        <v>5909</v>
      </c>
      <c r="U427" s="24" t="s">
        <v>397</v>
      </c>
      <c r="V427" s="19" t="str">
        <f>+Ingresos_Historicos[[#This Row],[idcoleccion]]&amp;"-"&amp;Ingresos_Historicos[[#This Row],[id]]</f>
        <v>300-0417</v>
      </c>
      <c r="W427" s="19">
        <f>+VLOOKUP(Ingresos_Historicos[[#This Row],[Filtro URL]],Estructura!$X$4:$Y$366,2,0)</f>
        <v>30200005</v>
      </c>
      <c r="X427" s="19" t="str">
        <f>+VLOOKUP(Ingresos_Historicos[[#This Row],[tema]],Estructura!$A$4:$C$18,3,0)</f>
        <v>T-310</v>
      </c>
      <c r="Y427" s="19" t="str">
        <f>+VLOOKUP(Ingresos_Historicos[[#This Row],[contenido]],Estructura!$E$4:$G$18,3,0)</f>
        <v>C-303</v>
      </c>
      <c r="Z427" s="19" t="str">
        <f>+VLOOKUP(Ingresos_Historicos[[#This Row],[Filtro Integrado]],Estructura!$M$4:$O$367,3,0)</f>
        <v>FI-303</v>
      </c>
      <c r="AA427" s="19" t="str">
        <f>+VLOOKUP(Ingresos_Historicos[[#This Row],[Muestra]],Estructura!$Q$4:$S$194,3,0)</f>
        <v>M-310</v>
      </c>
    </row>
    <row r="428" spans="1:27" ht="91.8" x14ac:dyDescent="0.3">
      <c r="A428" s="71" t="s">
        <v>814</v>
      </c>
      <c r="B428" s="12">
        <f t="shared" si="92"/>
        <v>300</v>
      </c>
      <c r="C428" s="13" t="str">
        <f t="shared" si="92"/>
        <v>Violencia contra la mujer</v>
      </c>
      <c r="D428" s="13" t="str">
        <f t="shared" si="92"/>
        <v>Mujeres</v>
      </c>
      <c r="E428" s="39">
        <v>6</v>
      </c>
      <c r="F428" s="13" t="s">
        <v>7581</v>
      </c>
      <c r="G428" s="13" t="s">
        <v>7576</v>
      </c>
      <c r="H428" s="38" t="s">
        <v>17</v>
      </c>
      <c r="I428" s="37" t="s">
        <v>48</v>
      </c>
      <c r="J428" s="12" t="s">
        <v>398</v>
      </c>
      <c r="K428" s="12" t="str">
        <f t="shared" si="94"/>
        <v>Sentencias Dictadas por Delitos Vinculados a la Mujer</v>
      </c>
      <c r="L428" s="75" t="str">
        <f t="shared" si="94"/>
        <v>Periodo 2013-2019</v>
      </c>
      <c r="M428" s="12" t="str">
        <f t="shared" si="94"/>
        <v>Número de sentencias</v>
      </c>
      <c r="N428" s="33" t="s">
        <v>5964</v>
      </c>
      <c r="O42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Diego de Almagro para el Periodo 2013-2019</v>
      </c>
      <c r="P428" s="42" t="s">
        <v>6271</v>
      </c>
      <c r="Q428" s="14" t="str">
        <f t="shared" si="93"/>
        <v>Gráfico de Evolución</v>
      </c>
      <c r="R428" s="27" t="s">
        <v>6266</v>
      </c>
      <c r="S428" s="15" t="s">
        <v>6823</v>
      </c>
      <c r="T428" s="65" t="s">
        <v>5909</v>
      </c>
      <c r="U428" s="24" t="s">
        <v>397</v>
      </c>
      <c r="V428" s="19" t="str">
        <f>+Ingresos_Historicos[[#This Row],[idcoleccion]]&amp;"-"&amp;Ingresos_Historicos[[#This Row],[id]]</f>
        <v>300-0418</v>
      </c>
      <c r="W428" s="19">
        <f>+VLOOKUP(Ingresos_Historicos[[#This Row],[Filtro URL]],Estructura!$X$4:$Y$366,2,0)</f>
        <v>30200006</v>
      </c>
      <c r="X428" s="19" t="str">
        <f>+VLOOKUP(Ingresos_Historicos[[#This Row],[tema]],Estructura!$A$4:$C$18,3,0)</f>
        <v>T-310</v>
      </c>
      <c r="Y428" s="19" t="str">
        <f>+VLOOKUP(Ingresos_Historicos[[#This Row],[contenido]],Estructura!$E$4:$G$18,3,0)</f>
        <v>C-303</v>
      </c>
      <c r="Z428" s="19" t="str">
        <f>+VLOOKUP(Ingresos_Historicos[[#This Row],[Filtro Integrado]],Estructura!$M$4:$O$367,3,0)</f>
        <v>FI-303</v>
      </c>
      <c r="AA428" s="19" t="str">
        <f>+VLOOKUP(Ingresos_Historicos[[#This Row],[Muestra]],Estructura!$Q$4:$S$194,3,0)</f>
        <v>M-310</v>
      </c>
    </row>
    <row r="429" spans="1:27" ht="91.8" x14ac:dyDescent="0.3">
      <c r="A429" s="71" t="s">
        <v>815</v>
      </c>
      <c r="B429" s="12">
        <f t="shared" si="92"/>
        <v>300</v>
      </c>
      <c r="C429" s="13" t="str">
        <f t="shared" si="92"/>
        <v>Violencia contra la mujer</v>
      </c>
      <c r="D429" s="13" t="str">
        <f t="shared" si="92"/>
        <v>Mujeres</v>
      </c>
      <c r="E429" s="39">
        <v>7</v>
      </c>
      <c r="F429" s="13" t="s">
        <v>7581</v>
      </c>
      <c r="G429" s="13" t="s">
        <v>7576</v>
      </c>
      <c r="H429" s="38" t="s">
        <v>17</v>
      </c>
      <c r="I429" s="37" t="s">
        <v>49</v>
      </c>
      <c r="J429" s="12" t="s">
        <v>398</v>
      </c>
      <c r="K429" s="12" t="str">
        <f t="shared" si="94"/>
        <v>Sentencias Dictadas por Delitos Vinculados a la Mujer</v>
      </c>
      <c r="L429" s="75" t="str">
        <f t="shared" si="94"/>
        <v>Periodo 2013-2019</v>
      </c>
      <c r="M429" s="12" t="str">
        <f t="shared" si="94"/>
        <v>Número de sentencias</v>
      </c>
      <c r="N429" s="33" t="s">
        <v>5964</v>
      </c>
      <c r="O42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Vallenar para el Periodo 2013-2019</v>
      </c>
      <c r="P429" s="42" t="s">
        <v>6272</v>
      </c>
      <c r="Q429" s="14" t="str">
        <f t="shared" si="93"/>
        <v>Gráfico de Evolución</v>
      </c>
      <c r="R429" s="27" t="s">
        <v>6266</v>
      </c>
      <c r="S429" s="15" t="s">
        <v>6824</v>
      </c>
      <c r="T429" s="65" t="s">
        <v>5909</v>
      </c>
      <c r="U429" s="24" t="s">
        <v>397</v>
      </c>
      <c r="V429" s="19" t="str">
        <f>+Ingresos_Historicos[[#This Row],[idcoleccion]]&amp;"-"&amp;Ingresos_Historicos[[#This Row],[id]]</f>
        <v>300-0419</v>
      </c>
      <c r="W429" s="19">
        <f>+VLOOKUP(Ingresos_Historicos[[#This Row],[Filtro URL]],Estructura!$X$4:$Y$366,2,0)</f>
        <v>30200007</v>
      </c>
      <c r="X429" s="19" t="str">
        <f>+VLOOKUP(Ingresos_Historicos[[#This Row],[tema]],Estructura!$A$4:$C$18,3,0)</f>
        <v>T-310</v>
      </c>
      <c r="Y429" s="19" t="str">
        <f>+VLOOKUP(Ingresos_Historicos[[#This Row],[contenido]],Estructura!$E$4:$G$18,3,0)</f>
        <v>C-303</v>
      </c>
      <c r="Z429" s="19" t="str">
        <f>+VLOOKUP(Ingresos_Historicos[[#This Row],[Filtro Integrado]],Estructura!$M$4:$O$367,3,0)</f>
        <v>FI-303</v>
      </c>
      <c r="AA429" s="19" t="str">
        <f>+VLOOKUP(Ingresos_Historicos[[#This Row],[Muestra]],Estructura!$Q$4:$S$194,3,0)</f>
        <v>M-310</v>
      </c>
    </row>
    <row r="430" spans="1:27" ht="91.8" x14ac:dyDescent="0.3">
      <c r="A430" s="71" t="s">
        <v>816</v>
      </c>
      <c r="B430" s="12">
        <f t="shared" si="92"/>
        <v>300</v>
      </c>
      <c r="C430" s="13" t="str">
        <f t="shared" si="92"/>
        <v>Violencia contra la mujer</v>
      </c>
      <c r="D430" s="13" t="str">
        <f t="shared" si="92"/>
        <v>Mujeres</v>
      </c>
      <c r="E430" s="39">
        <v>8</v>
      </c>
      <c r="F430" s="13" t="s">
        <v>7581</v>
      </c>
      <c r="G430" s="13" t="s">
        <v>7576</v>
      </c>
      <c r="H430" s="38" t="s">
        <v>17</v>
      </c>
      <c r="I430" s="37" t="s">
        <v>25</v>
      </c>
      <c r="J430" s="12" t="s">
        <v>398</v>
      </c>
      <c r="K430" s="12" t="str">
        <f t="shared" si="94"/>
        <v>Sentencias Dictadas por Delitos Vinculados a la Mujer</v>
      </c>
      <c r="L430" s="75" t="str">
        <f t="shared" si="94"/>
        <v>Periodo 2013-2019</v>
      </c>
      <c r="M430" s="12" t="str">
        <f t="shared" si="94"/>
        <v>Número de sentencias</v>
      </c>
      <c r="N430" s="33" t="s">
        <v>5964</v>
      </c>
      <c r="O43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Coquimbo para el Periodo 2013-2019</v>
      </c>
      <c r="P430" s="42" t="s">
        <v>6273</v>
      </c>
      <c r="Q430" s="14" t="str">
        <f t="shared" si="93"/>
        <v>Gráfico de Evolución</v>
      </c>
      <c r="R430" s="27" t="s">
        <v>6266</v>
      </c>
      <c r="S430" s="15" t="s">
        <v>6825</v>
      </c>
      <c r="T430" s="65" t="s">
        <v>5910</v>
      </c>
      <c r="U430" s="24" t="s">
        <v>397</v>
      </c>
      <c r="V430" s="19" t="str">
        <f>+Ingresos_Historicos[[#This Row],[idcoleccion]]&amp;"-"&amp;Ingresos_Historicos[[#This Row],[id]]</f>
        <v>300-0420</v>
      </c>
      <c r="W430" s="19">
        <f>+VLOOKUP(Ingresos_Historicos[[#This Row],[Filtro URL]],Estructura!$X$4:$Y$366,2,0)</f>
        <v>30200008</v>
      </c>
      <c r="X430" s="19" t="str">
        <f>+VLOOKUP(Ingresos_Historicos[[#This Row],[tema]],Estructura!$A$4:$C$18,3,0)</f>
        <v>T-310</v>
      </c>
      <c r="Y430" s="19" t="str">
        <f>+VLOOKUP(Ingresos_Historicos[[#This Row],[contenido]],Estructura!$E$4:$G$18,3,0)</f>
        <v>C-303</v>
      </c>
      <c r="Z430" s="19" t="str">
        <f>+VLOOKUP(Ingresos_Historicos[[#This Row],[Filtro Integrado]],Estructura!$M$4:$O$367,3,0)</f>
        <v>FI-303</v>
      </c>
      <c r="AA430" s="19" t="str">
        <f>+VLOOKUP(Ingresos_Historicos[[#This Row],[Muestra]],Estructura!$Q$4:$S$194,3,0)</f>
        <v>M-310</v>
      </c>
    </row>
    <row r="431" spans="1:27" ht="91.8" x14ac:dyDescent="0.3">
      <c r="A431" s="71" t="s">
        <v>817</v>
      </c>
      <c r="B431" s="12">
        <f t="shared" si="92"/>
        <v>300</v>
      </c>
      <c r="C431" s="13" t="str">
        <f t="shared" si="92"/>
        <v>Violencia contra la mujer</v>
      </c>
      <c r="D431" s="13" t="str">
        <f t="shared" si="92"/>
        <v>Mujeres</v>
      </c>
      <c r="E431" s="39">
        <v>9</v>
      </c>
      <c r="F431" s="13" t="s">
        <v>7581</v>
      </c>
      <c r="G431" s="13" t="s">
        <v>7576</v>
      </c>
      <c r="H431" s="38" t="s">
        <v>17</v>
      </c>
      <c r="I431" s="37" t="s">
        <v>58</v>
      </c>
      <c r="J431" s="12" t="s">
        <v>398</v>
      </c>
      <c r="K431" s="12" t="str">
        <f t="shared" si="94"/>
        <v>Sentencias Dictadas por Delitos Vinculados a la Mujer</v>
      </c>
      <c r="L431" s="75" t="str">
        <f t="shared" si="94"/>
        <v>Periodo 2013-2019</v>
      </c>
      <c r="M431" s="12" t="str">
        <f t="shared" si="94"/>
        <v>Número de sentencias</v>
      </c>
      <c r="N431" s="33" t="s">
        <v>5964</v>
      </c>
      <c r="O43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Illapel para el Periodo 2013-2019</v>
      </c>
      <c r="P431" s="42" t="s">
        <v>6274</v>
      </c>
      <c r="Q431" s="14" t="str">
        <f t="shared" si="93"/>
        <v>Gráfico de Evolución</v>
      </c>
      <c r="R431" s="27" t="s">
        <v>6266</v>
      </c>
      <c r="S431" s="15" t="s">
        <v>6826</v>
      </c>
      <c r="T431" s="65" t="s">
        <v>5910</v>
      </c>
      <c r="U431" s="24" t="s">
        <v>397</v>
      </c>
      <c r="V431" s="19" t="str">
        <f>+Ingresos_Historicos[[#This Row],[idcoleccion]]&amp;"-"&amp;Ingresos_Historicos[[#This Row],[id]]</f>
        <v>300-0421</v>
      </c>
      <c r="W431" s="19">
        <f>+VLOOKUP(Ingresos_Historicos[[#This Row],[Filtro URL]],Estructura!$X$4:$Y$366,2,0)</f>
        <v>30200009</v>
      </c>
      <c r="X431" s="19" t="str">
        <f>+VLOOKUP(Ingresos_Historicos[[#This Row],[tema]],Estructura!$A$4:$C$18,3,0)</f>
        <v>T-310</v>
      </c>
      <c r="Y431" s="19" t="str">
        <f>+VLOOKUP(Ingresos_Historicos[[#This Row],[contenido]],Estructura!$E$4:$G$18,3,0)</f>
        <v>C-303</v>
      </c>
      <c r="Z431" s="19" t="str">
        <f>+VLOOKUP(Ingresos_Historicos[[#This Row],[Filtro Integrado]],Estructura!$M$4:$O$367,3,0)</f>
        <v>FI-303</v>
      </c>
      <c r="AA431" s="19" t="str">
        <f>+VLOOKUP(Ingresos_Historicos[[#This Row],[Muestra]],Estructura!$Q$4:$S$194,3,0)</f>
        <v>M-310</v>
      </c>
    </row>
    <row r="432" spans="1:27" ht="91.8" x14ac:dyDescent="0.3">
      <c r="A432" s="71" t="s">
        <v>818</v>
      </c>
      <c r="B432" s="12">
        <f t="shared" si="92"/>
        <v>300</v>
      </c>
      <c r="C432" s="13" t="str">
        <f t="shared" si="92"/>
        <v>Violencia contra la mujer</v>
      </c>
      <c r="D432" s="13" t="str">
        <f t="shared" si="92"/>
        <v>Mujeres</v>
      </c>
      <c r="E432" s="39">
        <v>10</v>
      </c>
      <c r="F432" s="13" t="s">
        <v>7581</v>
      </c>
      <c r="G432" s="13" t="s">
        <v>7576</v>
      </c>
      <c r="H432" s="38" t="s">
        <v>17</v>
      </c>
      <c r="I432" s="37" t="s">
        <v>53</v>
      </c>
      <c r="J432" s="12" t="s">
        <v>398</v>
      </c>
      <c r="K432" s="12" t="str">
        <f t="shared" si="94"/>
        <v>Sentencias Dictadas por Delitos Vinculados a la Mujer</v>
      </c>
      <c r="L432" s="75" t="str">
        <f t="shared" si="94"/>
        <v>Periodo 2013-2019</v>
      </c>
      <c r="M432" s="12" t="str">
        <f t="shared" si="94"/>
        <v>Número de sentencias</v>
      </c>
      <c r="N432" s="33" t="s">
        <v>5964</v>
      </c>
      <c r="O43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La Serena para el Periodo 2013-2019</v>
      </c>
      <c r="P432" s="42" t="s">
        <v>6275</v>
      </c>
      <c r="Q432" s="14" t="str">
        <f t="shared" si="93"/>
        <v>Gráfico de Evolución</v>
      </c>
      <c r="R432" s="27" t="s">
        <v>6266</v>
      </c>
      <c r="S432" s="15" t="s">
        <v>6827</v>
      </c>
      <c r="T432" s="65" t="s">
        <v>5910</v>
      </c>
      <c r="U432" s="24" t="s">
        <v>397</v>
      </c>
      <c r="V432" s="19" t="str">
        <f>+Ingresos_Historicos[[#This Row],[idcoleccion]]&amp;"-"&amp;Ingresos_Historicos[[#This Row],[id]]</f>
        <v>300-0422</v>
      </c>
      <c r="W432" s="19">
        <f>+VLOOKUP(Ingresos_Historicos[[#This Row],[Filtro URL]],Estructura!$X$4:$Y$366,2,0)</f>
        <v>30200010</v>
      </c>
      <c r="X432" s="19" t="str">
        <f>+VLOOKUP(Ingresos_Historicos[[#This Row],[tema]],Estructura!$A$4:$C$18,3,0)</f>
        <v>T-310</v>
      </c>
      <c r="Y432" s="19" t="str">
        <f>+VLOOKUP(Ingresos_Historicos[[#This Row],[contenido]],Estructura!$E$4:$G$18,3,0)</f>
        <v>C-303</v>
      </c>
      <c r="Z432" s="19" t="str">
        <f>+VLOOKUP(Ingresos_Historicos[[#This Row],[Filtro Integrado]],Estructura!$M$4:$O$367,3,0)</f>
        <v>FI-303</v>
      </c>
      <c r="AA432" s="19" t="str">
        <f>+VLOOKUP(Ingresos_Historicos[[#This Row],[Muestra]],Estructura!$Q$4:$S$194,3,0)</f>
        <v>M-310</v>
      </c>
    </row>
    <row r="433" spans="1:27" ht="91.8" x14ac:dyDescent="0.3">
      <c r="A433" s="71" t="s">
        <v>819</v>
      </c>
      <c r="B433" s="12">
        <f t="shared" si="92"/>
        <v>300</v>
      </c>
      <c r="C433" s="13" t="str">
        <f t="shared" si="92"/>
        <v>Violencia contra la mujer</v>
      </c>
      <c r="D433" s="13" t="str">
        <f t="shared" si="92"/>
        <v>Mujeres</v>
      </c>
      <c r="E433" s="39">
        <v>11</v>
      </c>
      <c r="F433" s="13" t="s">
        <v>7581</v>
      </c>
      <c r="G433" s="13" t="s">
        <v>7576</v>
      </c>
      <c r="H433" s="38" t="s">
        <v>17</v>
      </c>
      <c r="I433" s="37" t="s">
        <v>21</v>
      </c>
      <c r="J433" s="12" t="s">
        <v>398</v>
      </c>
      <c r="K433" s="12" t="str">
        <f t="shared" si="94"/>
        <v>Sentencias Dictadas por Delitos Vinculados a la Mujer</v>
      </c>
      <c r="L433" s="75" t="str">
        <f t="shared" si="94"/>
        <v>Periodo 2013-2019</v>
      </c>
      <c r="M433" s="12" t="str">
        <f t="shared" si="94"/>
        <v>Número de sentencias</v>
      </c>
      <c r="N433" s="33" t="s">
        <v>5964</v>
      </c>
      <c r="O43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Ovalle para el Periodo 2013-2019</v>
      </c>
      <c r="P433" s="42" t="s">
        <v>6276</v>
      </c>
      <c r="Q433" s="14" t="str">
        <f t="shared" si="93"/>
        <v>Gráfico de Evolución</v>
      </c>
      <c r="R433" s="27" t="s">
        <v>6266</v>
      </c>
      <c r="S433" s="15" t="s">
        <v>6828</v>
      </c>
      <c r="T433" s="65" t="s">
        <v>5910</v>
      </c>
      <c r="U433" s="24" t="s">
        <v>397</v>
      </c>
      <c r="V433" s="19" t="str">
        <f>+Ingresos_Historicos[[#This Row],[idcoleccion]]&amp;"-"&amp;Ingresos_Historicos[[#This Row],[id]]</f>
        <v>300-0423</v>
      </c>
      <c r="W433" s="19">
        <f>+VLOOKUP(Ingresos_Historicos[[#This Row],[Filtro URL]],Estructura!$X$4:$Y$366,2,0)</f>
        <v>30200011</v>
      </c>
      <c r="X433" s="19" t="str">
        <f>+VLOOKUP(Ingresos_Historicos[[#This Row],[tema]],Estructura!$A$4:$C$18,3,0)</f>
        <v>T-310</v>
      </c>
      <c r="Y433" s="19" t="str">
        <f>+VLOOKUP(Ingresos_Historicos[[#This Row],[contenido]],Estructura!$E$4:$G$18,3,0)</f>
        <v>C-303</v>
      </c>
      <c r="Z433" s="19" t="str">
        <f>+VLOOKUP(Ingresos_Historicos[[#This Row],[Filtro Integrado]],Estructura!$M$4:$O$367,3,0)</f>
        <v>FI-303</v>
      </c>
      <c r="AA433" s="19" t="str">
        <f>+VLOOKUP(Ingresos_Historicos[[#This Row],[Muestra]],Estructura!$Q$4:$S$194,3,0)</f>
        <v>M-310</v>
      </c>
    </row>
    <row r="434" spans="1:27" ht="91.8" x14ac:dyDescent="0.3">
      <c r="A434" s="71" t="s">
        <v>820</v>
      </c>
      <c r="B434" s="12">
        <f t="shared" si="92"/>
        <v>300</v>
      </c>
      <c r="C434" s="13" t="str">
        <f t="shared" si="92"/>
        <v>Violencia contra la mujer</v>
      </c>
      <c r="D434" s="13" t="str">
        <f t="shared" si="92"/>
        <v>Mujeres</v>
      </c>
      <c r="E434" s="39">
        <v>12</v>
      </c>
      <c r="F434" s="13" t="s">
        <v>7581</v>
      </c>
      <c r="G434" s="13" t="s">
        <v>7576</v>
      </c>
      <c r="H434" s="38" t="s">
        <v>17</v>
      </c>
      <c r="I434" s="37" t="s">
        <v>57</v>
      </c>
      <c r="J434" s="12" t="s">
        <v>398</v>
      </c>
      <c r="K434" s="12" t="str">
        <f t="shared" si="94"/>
        <v>Sentencias Dictadas por Delitos Vinculados a la Mujer</v>
      </c>
      <c r="L434" s="75" t="str">
        <f t="shared" si="94"/>
        <v>Periodo 2013-2019</v>
      </c>
      <c r="M434" s="12" t="str">
        <f t="shared" si="94"/>
        <v>Número de sentencias</v>
      </c>
      <c r="N434" s="33" t="s">
        <v>5964</v>
      </c>
      <c r="O43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Vicuña para el Periodo 2013-2019</v>
      </c>
      <c r="P434" s="42" t="s">
        <v>6277</v>
      </c>
      <c r="Q434" s="14" t="str">
        <f t="shared" si="93"/>
        <v>Gráfico de Evolución</v>
      </c>
      <c r="R434" s="27" t="s">
        <v>6266</v>
      </c>
      <c r="S434" s="15" t="s">
        <v>6829</v>
      </c>
      <c r="T434" s="65" t="s">
        <v>5910</v>
      </c>
      <c r="U434" s="24" t="s">
        <v>397</v>
      </c>
      <c r="V434" s="19" t="str">
        <f>+Ingresos_Historicos[[#This Row],[idcoleccion]]&amp;"-"&amp;Ingresos_Historicos[[#This Row],[id]]</f>
        <v>300-0424</v>
      </c>
      <c r="W434" s="19">
        <f>+VLOOKUP(Ingresos_Historicos[[#This Row],[Filtro URL]],Estructura!$X$4:$Y$366,2,0)</f>
        <v>30200012</v>
      </c>
      <c r="X434" s="19" t="str">
        <f>+VLOOKUP(Ingresos_Historicos[[#This Row],[tema]],Estructura!$A$4:$C$18,3,0)</f>
        <v>T-310</v>
      </c>
      <c r="Y434" s="19" t="str">
        <f>+VLOOKUP(Ingresos_Historicos[[#This Row],[contenido]],Estructura!$E$4:$G$18,3,0)</f>
        <v>C-303</v>
      </c>
      <c r="Z434" s="19" t="str">
        <f>+VLOOKUP(Ingresos_Historicos[[#This Row],[Filtro Integrado]],Estructura!$M$4:$O$367,3,0)</f>
        <v>FI-303</v>
      </c>
      <c r="AA434" s="19" t="str">
        <f>+VLOOKUP(Ingresos_Historicos[[#This Row],[Muestra]],Estructura!$Q$4:$S$194,3,0)</f>
        <v>M-310</v>
      </c>
    </row>
    <row r="435" spans="1:27" ht="91.8" x14ac:dyDescent="0.3">
      <c r="A435" s="71" t="s">
        <v>821</v>
      </c>
      <c r="B435" s="12">
        <f t="shared" si="92"/>
        <v>300</v>
      </c>
      <c r="C435" s="13" t="str">
        <f t="shared" si="92"/>
        <v>Violencia contra la mujer</v>
      </c>
      <c r="D435" s="13" t="str">
        <f t="shared" si="92"/>
        <v>Mujeres</v>
      </c>
      <c r="E435" s="39">
        <v>13</v>
      </c>
      <c r="F435" s="13" t="s">
        <v>7581</v>
      </c>
      <c r="G435" s="13" t="s">
        <v>7576</v>
      </c>
      <c r="H435" s="38" t="s">
        <v>17</v>
      </c>
      <c r="I435" s="37" t="s">
        <v>83</v>
      </c>
      <c r="J435" s="12" t="s">
        <v>398</v>
      </c>
      <c r="K435" s="12" t="str">
        <f t="shared" si="94"/>
        <v>Sentencias Dictadas por Delitos Vinculados a la Mujer</v>
      </c>
      <c r="L435" s="75" t="str">
        <f t="shared" si="94"/>
        <v>Periodo 2013-2019</v>
      </c>
      <c r="M435" s="12" t="str">
        <f t="shared" si="94"/>
        <v>Número de sentencias</v>
      </c>
      <c r="N435" s="33" t="s">
        <v>5964</v>
      </c>
      <c r="O43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Calera para el Periodo 2013-2019</v>
      </c>
      <c r="P435" s="42" t="s">
        <v>6278</v>
      </c>
      <c r="Q435" s="14" t="str">
        <f t="shared" si="93"/>
        <v>Gráfico de Evolución</v>
      </c>
      <c r="R435" s="27" t="s">
        <v>6266</v>
      </c>
      <c r="S435" s="15" t="s">
        <v>6830</v>
      </c>
      <c r="T435" s="65" t="s">
        <v>5911</v>
      </c>
      <c r="U435" s="24" t="s">
        <v>397</v>
      </c>
      <c r="V435" s="19" t="str">
        <f>+Ingresos_Historicos[[#This Row],[idcoleccion]]&amp;"-"&amp;Ingresos_Historicos[[#This Row],[id]]</f>
        <v>300-0425</v>
      </c>
      <c r="W435" s="19">
        <f>+VLOOKUP(Ingresos_Historicos[[#This Row],[Filtro URL]],Estructura!$X$4:$Y$366,2,0)</f>
        <v>30200013</v>
      </c>
      <c r="X435" s="19" t="str">
        <f>+VLOOKUP(Ingresos_Historicos[[#This Row],[tema]],Estructura!$A$4:$C$18,3,0)</f>
        <v>T-310</v>
      </c>
      <c r="Y435" s="19" t="str">
        <f>+VLOOKUP(Ingresos_Historicos[[#This Row],[contenido]],Estructura!$E$4:$G$18,3,0)</f>
        <v>C-303</v>
      </c>
      <c r="Z435" s="19" t="str">
        <f>+VLOOKUP(Ingresos_Historicos[[#This Row],[Filtro Integrado]],Estructura!$M$4:$O$367,3,0)</f>
        <v>FI-303</v>
      </c>
      <c r="AA435" s="19" t="str">
        <f>+VLOOKUP(Ingresos_Historicos[[#This Row],[Muestra]],Estructura!$Q$4:$S$194,3,0)</f>
        <v>M-310</v>
      </c>
    </row>
    <row r="436" spans="1:27" ht="91.8" x14ac:dyDescent="0.3">
      <c r="A436" s="71" t="s">
        <v>822</v>
      </c>
      <c r="B436" s="12">
        <f t="shared" si="92"/>
        <v>300</v>
      </c>
      <c r="C436" s="13" t="str">
        <f t="shared" si="92"/>
        <v>Violencia contra la mujer</v>
      </c>
      <c r="D436" s="13" t="str">
        <f t="shared" si="92"/>
        <v>Mujeres</v>
      </c>
      <c r="E436" s="39">
        <v>14</v>
      </c>
      <c r="F436" s="13" t="s">
        <v>7581</v>
      </c>
      <c r="G436" s="13" t="s">
        <v>7576</v>
      </c>
      <c r="H436" s="38" t="s">
        <v>17</v>
      </c>
      <c r="I436" s="37" t="s">
        <v>77</v>
      </c>
      <c r="J436" s="12" t="s">
        <v>398</v>
      </c>
      <c r="K436" s="12" t="str">
        <f t="shared" si="94"/>
        <v>Sentencias Dictadas por Delitos Vinculados a la Mujer</v>
      </c>
      <c r="L436" s="75" t="str">
        <f t="shared" si="94"/>
        <v>Periodo 2013-2019</v>
      </c>
      <c r="M436" s="12" t="str">
        <f t="shared" si="94"/>
        <v>Número de sentencias</v>
      </c>
      <c r="N436" s="33" t="s">
        <v>5964</v>
      </c>
      <c r="O43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La Ligua para el Periodo 2013-2019</v>
      </c>
      <c r="P436" s="42" t="s">
        <v>6279</v>
      </c>
      <c r="Q436" s="14" t="str">
        <f t="shared" si="93"/>
        <v>Gráfico de Evolución</v>
      </c>
      <c r="R436" s="27" t="s">
        <v>6266</v>
      </c>
      <c r="S436" s="15" t="s">
        <v>6831</v>
      </c>
      <c r="T436" s="65" t="s">
        <v>5911</v>
      </c>
      <c r="U436" s="24" t="s">
        <v>397</v>
      </c>
      <c r="V436" s="19" t="str">
        <f>+Ingresos_Historicos[[#This Row],[idcoleccion]]&amp;"-"&amp;Ingresos_Historicos[[#This Row],[id]]</f>
        <v>300-0426</v>
      </c>
      <c r="W436" s="19">
        <f>+VLOOKUP(Ingresos_Historicos[[#This Row],[Filtro URL]],Estructura!$X$4:$Y$366,2,0)</f>
        <v>30200014</v>
      </c>
      <c r="X436" s="19" t="str">
        <f>+VLOOKUP(Ingresos_Historicos[[#This Row],[tema]],Estructura!$A$4:$C$18,3,0)</f>
        <v>T-310</v>
      </c>
      <c r="Y436" s="19" t="str">
        <f>+VLOOKUP(Ingresos_Historicos[[#This Row],[contenido]],Estructura!$E$4:$G$18,3,0)</f>
        <v>C-303</v>
      </c>
      <c r="Z436" s="19" t="str">
        <f>+VLOOKUP(Ingresos_Historicos[[#This Row],[Filtro Integrado]],Estructura!$M$4:$O$367,3,0)</f>
        <v>FI-303</v>
      </c>
      <c r="AA436" s="19" t="str">
        <f>+VLOOKUP(Ingresos_Historicos[[#This Row],[Muestra]],Estructura!$Q$4:$S$194,3,0)</f>
        <v>M-310</v>
      </c>
    </row>
    <row r="437" spans="1:27" ht="91.8" x14ac:dyDescent="0.3">
      <c r="A437" s="71" t="s">
        <v>823</v>
      </c>
      <c r="B437" s="12">
        <f t="shared" si="92"/>
        <v>300</v>
      </c>
      <c r="C437" s="13" t="str">
        <f t="shared" si="92"/>
        <v>Violencia contra la mujer</v>
      </c>
      <c r="D437" s="13" t="str">
        <f t="shared" si="92"/>
        <v>Mujeres</v>
      </c>
      <c r="E437" s="39">
        <v>15</v>
      </c>
      <c r="F437" s="13" t="s">
        <v>7581</v>
      </c>
      <c r="G437" s="13" t="s">
        <v>7576</v>
      </c>
      <c r="H437" s="38" t="s">
        <v>17</v>
      </c>
      <c r="I437" s="37" t="s">
        <v>100</v>
      </c>
      <c r="J437" s="12" t="s">
        <v>398</v>
      </c>
      <c r="K437" s="12" t="str">
        <f t="shared" si="94"/>
        <v>Sentencias Dictadas por Delitos Vinculados a la Mujer</v>
      </c>
      <c r="L437" s="75" t="str">
        <f t="shared" si="94"/>
        <v>Periodo 2013-2019</v>
      </c>
      <c r="M437" s="12" t="str">
        <f t="shared" si="94"/>
        <v>Número de sentencias</v>
      </c>
      <c r="N437" s="33" t="s">
        <v>5964</v>
      </c>
      <c r="O43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Limache para el Periodo 2013-2019</v>
      </c>
      <c r="P437" s="42" t="s">
        <v>6280</v>
      </c>
      <c r="Q437" s="14" t="str">
        <f t="shared" si="93"/>
        <v>Gráfico de Evolución</v>
      </c>
      <c r="R437" s="27" t="s">
        <v>6266</v>
      </c>
      <c r="S437" s="15" t="s">
        <v>6832</v>
      </c>
      <c r="T437" s="65" t="s">
        <v>5911</v>
      </c>
      <c r="U437" s="24" t="s">
        <v>397</v>
      </c>
      <c r="V437" s="19" t="str">
        <f>+Ingresos_Historicos[[#This Row],[idcoleccion]]&amp;"-"&amp;Ingresos_Historicos[[#This Row],[id]]</f>
        <v>300-0427</v>
      </c>
      <c r="W437" s="19">
        <f>+VLOOKUP(Ingresos_Historicos[[#This Row],[Filtro URL]],Estructura!$X$4:$Y$366,2,0)</f>
        <v>30200015</v>
      </c>
      <c r="X437" s="19" t="str">
        <f>+VLOOKUP(Ingresos_Historicos[[#This Row],[tema]],Estructura!$A$4:$C$18,3,0)</f>
        <v>T-310</v>
      </c>
      <c r="Y437" s="19" t="str">
        <f>+VLOOKUP(Ingresos_Historicos[[#This Row],[contenido]],Estructura!$E$4:$G$18,3,0)</f>
        <v>C-303</v>
      </c>
      <c r="Z437" s="19" t="str">
        <f>+VLOOKUP(Ingresos_Historicos[[#This Row],[Filtro Integrado]],Estructura!$M$4:$O$367,3,0)</f>
        <v>FI-303</v>
      </c>
      <c r="AA437" s="19" t="str">
        <f>+VLOOKUP(Ingresos_Historicos[[#This Row],[Muestra]],Estructura!$Q$4:$S$194,3,0)</f>
        <v>M-310</v>
      </c>
    </row>
    <row r="438" spans="1:27" ht="91.8" x14ac:dyDescent="0.3">
      <c r="A438" s="71" t="s">
        <v>824</v>
      </c>
      <c r="B438" s="12">
        <f t="shared" ref="B438:D453" si="95">+B437</f>
        <v>300</v>
      </c>
      <c r="C438" s="13" t="str">
        <f t="shared" si="95"/>
        <v>Violencia contra la mujer</v>
      </c>
      <c r="D438" s="13" t="str">
        <f t="shared" si="95"/>
        <v>Mujeres</v>
      </c>
      <c r="E438" s="39">
        <v>16</v>
      </c>
      <c r="F438" s="13" t="s">
        <v>7581</v>
      </c>
      <c r="G438" s="13" t="s">
        <v>7576</v>
      </c>
      <c r="H438" s="38" t="s">
        <v>17</v>
      </c>
      <c r="I438" s="37" t="s">
        <v>73</v>
      </c>
      <c r="J438" s="12" t="s">
        <v>398</v>
      </c>
      <c r="K438" s="12" t="str">
        <f t="shared" si="94"/>
        <v>Sentencias Dictadas por Delitos Vinculados a la Mujer</v>
      </c>
      <c r="L438" s="75" t="str">
        <f>+L437</f>
        <v>Periodo 2013-2019</v>
      </c>
      <c r="M438" s="12" t="str">
        <f>+M437</f>
        <v>Número de sentencias</v>
      </c>
      <c r="N438" s="33" t="s">
        <v>5964</v>
      </c>
      <c r="O43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Los Andes para el Periodo 2013-2019</v>
      </c>
      <c r="P438" s="42" t="s">
        <v>6281</v>
      </c>
      <c r="Q438" s="14" t="str">
        <f t="shared" si="93"/>
        <v>Gráfico de Evolución</v>
      </c>
      <c r="R438" s="27" t="s">
        <v>6266</v>
      </c>
      <c r="S438" s="15" t="s">
        <v>6833</v>
      </c>
      <c r="T438" s="65" t="s">
        <v>5911</v>
      </c>
      <c r="U438" s="24" t="s">
        <v>397</v>
      </c>
      <c r="V438" s="19" t="str">
        <f>+Ingresos_Historicos[[#This Row],[idcoleccion]]&amp;"-"&amp;Ingresos_Historicos[[#This Row],[id]]</f>
        <v>300-0428</v>
      </c>
      <c r="W438" s="19">
        <f>+VLOOKUP(Ingresos_Historicos[[#This Row],[Filtro URL]],Estructura!$X$4:$Y$366,2,0)</f>
        <v>30200016</v>
      </c>
      <c r="X438" s="19" t="str">
        <f>+VLOOKUP(Ingresos_Historicos[[#This Row],[tema]],Estructura!$A$4:$C$18,3,0)</f>
        <v>T-310</v>
      </c>
      <c r="Y438" s="19" t="str">
        <f>+VLOOKUP(Ingresos_Historicos[[#This Row],[contenido]],Estructura!$E$4:$G$18,3,0)</f>
        <v>C-303</v>
      </c>
      <c r="Z438" s="19" t="str">
        <f>+VLOOKUP(Ingresos_Historicos[[#This Row],[Filtro Integrado]],Estructura!$M$4:$O$367,3,0)</f>
        <v>FI-303</v>
      </c>
      <c r="AA438" s="19" t="str">
        <f>+VLOOKUP(Ingresos_Historicos[[#This Row],[Muestra]],Estructura!$Q$4:$S$194,3,0)</f>
        <v>M-310</v>
      </c>
    </row>
    <row r="439" spans="1:27" ht="91.8" x14ac:dyDescent="0.3">
      <c r="A439" s="71" t="s">
        <v>825</v>
      </c>
      <c r="B439" s="12">
        <f t="shared" si="95"/>
        <v>300</v>
      </c>
      <c r="C439" s="13" t="str">
        <f t="shared" si="95"/>
        <v>Violencia contra la mujer</v>
      </c>
      <c r="D439" s="13" t="str">
        <f t="shared" si="95"/>
        <v>Mujeres</v>
      </c>
      <c r="E439" s="39">
        <v>17</v>
      </c>
      <c r="F439" s="13" t="s">
        <v>7581</v>
      </c>
      <c r="G439" s="13" t="s">
        <v>7576</v>
      </c>
      <c r="H439" s="38" t="s">
        <v>17</v>
      </c>
      <c r="I439" s="37" t="s">
        <v>82</v>
      </c>
      <c r="J439" s="12" t="s">
        <v>398</v>
      </c>
      <c r="K439" s="12" t="str">
        <f t="shared" si="94"/>
        <v>Sentencias Dictadas por Delitos Vinculados a la Mujer</v>
      </c>
      <c r="L439" s="75" t="str">
        <f t="shared" si="94"/>
        <v>Periodo 2013-2019</v>
      </c>
      <c r="M439" s="12" t="str">
        <f t="shared" si="94"/>
        <v>Número de sentencias</v>
      </c>
      <c r="N439" s="33" t="s">
        <v>5964</v>
      </c>
      <c r="O43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Quillota para el Periodo 2013-2019</v>
      </c>
      <c r="P439" s="42" t="s">
        <v>6282</v>
      </c>
      <c r="Q439" s="14" t="str">
        <f t="shared" si="93"/>
        <v>Gráfico de Evolución</v>
      </c>
      <c r="R439" s="27" t="s">
        <v>6266</v>
      </c>
      <c r="S439" s="15" t="s">
        <v>6834</v>
      </c>
      <c r="T439" s="65" t="s">
        <v>5911</v>
      </c>
      <c r="U439" s="24" t="s">
        <v>397</v>
      </c>
      <c r="V439" s="19" t="str">
        <f>+Ingresos_Historicos[[#This Row],[idcoleccion]]&amp;"-"&amp;Ingresos_Historicos[[#This Row],[id]]</f>
        <v>300-0429</v>
      </c>
      <c r="W439" s="19" t="e">
        <f>+VLOOKUP(Ingresos_Historicos[[#This Row],[Filtro URL]],Estructura!$X$4:$Y$366,2,0)</f>
        <v>#N/A</v>
      </c>
      <c r="X439" s="19" t="str">
        <f>+VLOOKUP(Ingresos_Historicos[[#This Row],[tema]],Estructura!$A$4:$C$18,3,0)</f>
        <v>T-310</v>
      </c>
      <c r="Y439" s="19" t="str">
        <f>+VLOOKUP(Ingresos_Historicos[[#This Row],[contenido]],Estructura!$E$4:$G$18,3,0)</f>
        <v>C-303</v>
      </c>
      <c r="Z439" s="19" t="str">
        <f>+VLOOKUP(Ingresos_Historicos[[#This Row],[Filtro Integrado]],Estructura!$M$4:$O$367,3,0)</f>
        <v>FI-303</v>
      </c>
      <c r="AA439" s="19" t="str">
        <f>+VLOOKUP(Ingresos_Historicos[[#This Row],[Muestra]],Estructura!$Q$4:$S$194,3,0)</f>
        <v>M-310</v>
      </c>
    </row>
    <row r="440" spans="1:27" ht="91.8" x14ac:dyDescent="0.3">
      <c r="A440" s="71" t="s">
        <v>826</v>
      </c>
      <c r="B440" s="12">
        <f t="shared" si="95"/>
        <v>300</v>
      </c>
      <c r="C440" s="13" t="str">
        <f t="shared" si="95"/>
        <v>Violencia contra la mujer</v>
      </c>
      <c r="D440" s="13" t="str">
        <f t="shared" si="95"/>
        <v>Mujeres</v>
      </c>
      <c r="E440" s="39">
        <v>18</v>
      </c>
      <c r="F440" s="13" t="s">
        <v>7581</v>
      </c>
      <c r="G440" s="13" t="s">
        <v>7576</v>
      </c>
      <c r="H440" s="38" t="s">
        <v>17</v>
      </c>
      <c r="I440" s="37" t="s">
        <v>6024</v>
      </c>
      <c r="J440" s="12" t="s">
        <v>398</v>
      </c>
      <c r="K440" s="12" t="str">
        <f t="shared" ref="K440:M455" si="96">+K439</f>
        <v>Sentencias Dictadas por Delitos Vinculados a la Mujer</v>
      </c>
      <c r="L440" s="75" t="str">
        <f t="shared" si="96"/>
        <v>Periodo 2013-2019</v>
      </c>
      <c r="M440" s="12" t="str">
        <f t="shared" si="96"/>
        <v>Número de sentencias</v>
      </c>
      <c r="N440" s="33" t="s">
        <v>5964</v>
      </c>
      <c r="O44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Quilpue para el Periodo 2013-2019</v>
      </c>
      <c r="P440" s="42" t="s">
        <v>6283</v>
      </c>
      <c r="Q440" s="14" t="str">
        <f t="shared" si="93"/>
        <v>Gráfico de Evolución</v>
      </c>
      <c r="R440" s="27" t="s">
        <v>6266</v>
      </c>
      <c r="S440" s="15" t="s">
        <v>6835</v>
      </c>
      <c r="T440" s="65" t="s">
        <v>5911</v>
      </c>
      <c r="U440" s="24" t="s">
        <v>397</v>
      </c>
      <c r="V440" s="19" t="str">
        <f>+Ingresos_Historicos[[#This Row],[idcoleccion]]&amp;"-"&amp;Ingresos_Historicos[[#This Row],[id]]</f>
        <v>300-0430</v>
      </c>
      <c r="W440" s="19" t="e">
        <f>+VLOOKUP(Ingresos_Historicos[[#This Row],[Filtro URL]],Estructura!$X$4:$Y$366,2,0)</f>
        <v>#N/A</v>
      </c>
      <c r="X440" s="19" t="str">
        <f>+VLOOKUP(Ingresos_Historicos[[#This Row],[tema]],Estructura!$A$4:$C$18,3,0)</f>
        <v>T-310</v>
      </c>
      <c r="Y440" s="19" t="str">
        <f>+VLOOKUP(Ingresos_Historicos[[#This Row],[contenido]],Estructura!$E$4:$G$18,3,0)</f>
        <v>C-303</v>
      </c>
      <c r="Z440" s="19" t="str">
        <f>+VLOOKUP(Ingresos_Historicos[[#This Row],[Filtro Integrado]],Estructura!$M$4:$O$367,3,0)</f>
        <v>FI-303</v>
      </c>
      <c r="AA440" s="19" t="str">
        <f>+VLOOKUP(Ingresos_Historicos[[#This Row],[Muestra]],Estructura!$Q$4:$S$194,3,0)</f>
        <v>M-310</v>
      </c>
    </row>
    <row r="441" spans="1:27" ht="91.8" x14ac:dyDescent="0.3">
      <c r="A441" s="71" t="s">
        <v>827</v>
      </c>
      <c r="B441" s="12">
        <f t="shared" si="95"/>
        <v>300</v>
      </c>
      <c r="C441" s="13" t="str">
        <f t="shared" si="95"/>
        <v>Violencia contra la mujer</v>
      </c>
      <c r="D441" s="13" t="str">
        <f t="shared" si="95"/>
        <v>Mujeres</v>
      </c>
      <c r="E441" s="39">
        <v>19</v>
      </c>
      <c r="F441" s="13" t="s">
        <v>7581</v>
      </c>
      <c r="G441" s="13" t="s">
        <v>7576</v>
      </c>
      <c r="H441" s="38" t="s">
        <v>17</v>
      </c>
      <c r="I441" s="37" t="s">
        <v>93</v>
      </c>
      <c r="J441" s="12" t="s">
        <v>398</v>
      </c>
      <c r="K441" s="12" t="str">
        <f t="shared" si="96"/>
        <v>Sentencias Dictadas por Delitos Vinculados a la Mujer</v>
      </c>
      <c r="L441" s="75" t="str">
        <f t="shared" si="96"/>
        <v>Periodo 2013-2019</v>
      </c>
      <c r="M441" s="12" t="str">
        <f t="shared" si="96"/>
        <v>Número de sentencias</v>
      </c>
      <c r="N441" s="33" t="s">
        <v>5964</v>
      </c>
      <c r="O44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 Felipe para el Periodo 2013-2019</v>
      </c>
      <c r="P441" s="42" t="s">
        <v>6284</v>
      </c>
      <c r="Q441" s="14" t="str">
        <f t="shared" si="93"/>
        <v>Gráfico de Evolución</v>
      </c>
      <c r="R441" s="27" t="s">
        <v>6266</v>
      </c>
      <c r="S441" s="15" t="s">
        <v>6836</v>
      </c>
      <c r="T441" s="65" t="s">
        <v>5911</v>
      </c>
      <c r="U441" s="24" t="s">
        <v>397</v>
      </c>
      <c r="V441" s="19" t="str">
        <f>+Ingresos_Historicos[[#This Row],[idcoleccion]]&amp;"-"&amp;Ingresos_Historicos[[#This Row],[id]]</f>
        <v>300-0431</v>
      </c>
      <c r="W441" s="19" t="e">
        <f>+VLOOKUP(Ingresos_Historicos[[#This Row],[Filtro URL]],Estructura!$X$4:$Y$366,2,0)</f>
        <v>#N/A</v>
      </c>
      <c r="X441" s="19" t="str">
        <f>+VLOOKUP(Ingresos_Historicos[[#This Row],[tema]],Estructura!$A$4:$C$18,3,0)</f>
        <v>T-310</v>
      </c>
      <c r="Y441" s="19" t="str">
        <f>+VLOOKUP(Ingresos_Historicos[[#This Row],[contenido]],Estructura!$E$4:$G$18,3,0)</f>
        <v>C-303</v>
      </c>
      <c r="Z441" s="19" t="str">
        <f>+VLOOKUP(Ingresos_Historicos[[#This Row],[Filtro Integrado]],Estructura!$M$4:$O$367,3,0)</f>
        <v>FI-303</v>
      </c>
      <c r="AA441" s="19" t="str">
        <f>+VLOOKUP(Ingresos_Historicos[[#This Row],[Muestra]],Estructura!$Q$4:$S$194,3,0)</f>
        <v>M-310</v>
      </c>
    </row>
    <row r="442" spans="1:27" ht="91.8" x14ac:dyDescent="0.3">
      <c r="A442" s="71" t="s">
        <v>828</v>
      </c>
      <c r="B442" s="12">
        <f t="shared" si="95"/>
        <v>300</v>
      </c>
      <c r="C442" s="13" t="str">
        <f t="shared" si="95"/>
        <v>Violencia contra la mujer</v>
      </c>
      <c r="D442" s="13" t="str">
        <f t="shared" si="95"/>
        <v>Mujeres</v>
      </c>
      <c r="E442" s="39">
        <v>20</v>
      </c>
      <c r="F442" s="13" t="s">
        <v>7581</v>
      </c>
      <c r="G442" s="13" t="s">
        <v>7576</v>
      </c>
      <c r="H442" s="38" t="s">
        <v>17</v>
      </c>
      <c r="I442" s="37" t="s">
        <v>6027</v>
      </c>
      <c r="J442" s="12" t="s">
        <v>398</v>
      </c>
      <c r="K442" s="12" t="str">
        <f t="shared" si="96"/>
        <v>Sentencias Dictadas por Delitos Vinculados a la Mujer</v>
      </c>
      <c r="L442" s="75" t="str">
        <f t="shared" si="96"/>
        <v>Periodo 2013-2019</v>
      </c>
      <c r="M442" s="12" t="str">
        <f t="shared" si="96"/>
        <v>Número de sentencias</v>
      </c>
      <c r="N442" s="33" t="s">
        <v>5964</v>
      </c>
      <c r="O44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Valparaiso para el Periodo 2013-2019</v>
      </c>
      <c r="P442" s="42" t="s">
        <v>6285</v>
      </c>
      <c r="Q442" s="14" t="str">
        <f t="shared" si="93"/>
        <v>Gráfico de Evolución</v>
      </c>
      <c r="R442" s="27" t="s">
        <v>6266</v>
      </c>
      <c r="S442" s="15" t="s">
        <v>6837</v>
      </c>
      <c r="T442" s="65" t="s">
        <v>5911</v>
      </c>
      <c r="U442" s="24" t="s">
        <v>397</v>
      </c>
      <c r="V442" s="19" t="str">
        <f>+Ingresos_Historicos[[#This Row],[idcoleccion]]&amp;"-"&amp;Ingresos_Historicos[[#This Row],[id]]</f>
        <v>300-0432</v>
      </c>
      <c r="W442" s="19" t="e">
        <f>+VLOOKUP(Ingresos_Historicos[[#This Row],[Filtro URL]],Estructura!$X$4:$Y$366,2,0)</f>
        <v>#N/A</v>
      </c>
      <c r="X442" s="19" t="str">
        <f>+VLOOKUP(Ingresos_Historicos[[#This Row],[tema]],Estructura!$A$4:$C$18,3,0)</f>
        <v>T-310</v>
      </c>
      <c r="Y442" s="19" t="str">
        <f>+VLOOKUP(Ingresos_Historicos[[#This Row],[contenido]],Estructura!$E$4:$G$18,3,0)</f>
        <v>C-303</v>
      </c>
      <c r="Z442" s="19" t="str">
        <f>+VLOOKUP(Ingresos_Historicos[[#This Row],[Filtro Integrado]],Estructura!$M$4:$O$367,3,0)</f>
        <v>FI-303</v>
      </c>
      <c r="AA442" s="19" t="str">
        <f>+VLOOKUP(Ingresos_Historicos[[#This Row],[Muestra]],Estructura!$Q$4:$S$194,3,0)</f>
        <v>M-310</v>
      </c>
    </row>
    <row r="443" spans="1:27" ht="91.8" x14ac:dyDescent="0.3">
      <c r="A443" s="71" t="s">
        <v>829</v>
      </c>
      <c r="B443" s="12">
        <f t="shared" si="95"/>
        <v>300</v>
      </c>
      <c r="C443" s="13" t="str">
        <f t="shared" si="95"/>
        <v>Violencia contra la mujer</v>
      </c>
      <c r="D443" s="13" t="str">
        <f t="shared" si="95"/>
        <v>Mujeres</v>
      </c>
      <c r="E443" s="39">
        <v>21</v>
      </c>
      <c r="F443" s="13" t="s">
        <v>7581</v>
      </c>
      <c r="G443" s="13" t="s">
        <v>7576</v>
      </c>
      <c r="H443" s="38" t="s">
        <v>17</v>
      </c>
      <c r="I443" s="37" t="s">
        <v>102</v>
      </c>
      <c r="J443" s="12" t="s">
        <v>398</v>
      </c>
      <c r="K443" s="12" t="str">
        <f t="shared" si="96"/>
        <v>Sentencias Dictadas por Delitos Vinculados a la Mujer</v>
      </c>
      <c r="L443" s="75" t="str">
        <f t="shared" si="96"/>
        <v>Periodo 2013-2019</v>
      </c>
      <c r="M443" s="12" t="str">
        <f t="shared" si="96"/>
        <v>Número de sentencias</v>
      </c>
      <c r="N443" s="33" t="s">
        <v>5964</v>
      </c>
      <c r="O44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Villa Alemana para el Periodo 2013-2019</v>
      </c>
      <c r="P443" s="42" t="s">
        <v>6286</v>
      </c>
      <c r="Q443" s="14" t="str">
        <f t="shared" si="93"/>
        <v>Gráfico de Evolución</v>
      </c>
      <c r="R443" s="27" t="s">
        <v>6266</v>
      </c>
      <c r="S443" s="15" t="s">
        <v>6838</v>
      </c>
      <c r="T443" s="65" t="s">
        <v>5911</v>
      </c>
      <c r="U443" s="24" t="s">
        <v>397</v>
      </c>
      <c r="V443" s="19" t="str">
        <f>+Ingresos_Historicos[[#This Row],[idcoleccion]]&amp;"-"&amp;Ingresos_Historicos[[#This Row],[id]]</f>
        <v>300-0433</v>
      </c>
      <c r="W443" s="19" t="e">
        <f>+VLOOKUP(Ingresos_Historicos[[#This Row],[Filtro URL]],Estructura!$X$4:$Y$366,2,0)</f>
        <v>#N/A</v>
      </c>
      <c r="X443" s="19" t="str">
        <f>+VLOOKUP(Ingresos_Historicos[[#This Row],[tema]],Estructura!$A$4:$C$18,3,0)</f>
        <v>T-310</v>
      </c>
      <c r="Y443" s="19" t="str">
        <f>+VLOOKUP(Ingresos_Historicos[[#This Row],[contenido]],Estructura!$E$4:$G$18,3,0)</f>
        <v>C-303</v>
      </c>
      <c r="Z443" s="19" t="str">
        <f>+VLOOKUP(Ingresos_Historicos[[#This Row],[Filtro Integrado]],Estructura!$M$4:$O$367,3,0)</f>
        <v>FI-303</v>
      </c>
      <c r="AA443" s="19" t="str">
        <f>+VLOOKUP(Ingresos_Historicos[[#This Row],[Muestra]],Estructura!$Q$4:$S$194,3,0)</f>
        <v>M-310</v>
      </c>
    </row>
    <row r="444" spans="1:27" ht="91.8" x14ac:dyDescent="0.3">
      <c r="A444" s="71" t="s">
        <v>830</v>
      </c>
      <c r="B444" s="12">
        <f t="shared" si="95"/>
        <v>300</v>
      </c>
      <c r="C444" s="13" t="str">
        <f t="shared" si="95"/>
        <v>Violencia contra la mujer</v>
      </c>
      <c r="D444" s="13" t="str">
        <f t="shared" si="95"/>
        <v>Mujeres</v>
      </c>
      <c r="E444" s="39">
        <v>22</v>
      </c>
      <c r="F444" s="13" t="s">
        <v>7581</v>
      </c>
      <c r="G444" s="13" t="s">
        <v>7576</v>
      </c>
      <c r="H444" s="38" t="s">
        <v>17</v>
      </c>
      <c r="I444" s="37" t="s">
        <v>6030</v>
      </c>
      <c r="J444" s="12" t="s">
        <v>398</v>
      </c>
      <c r="K444" s="12" t="str">
        <f t="shared" si="96"/>
        <v>Sentencias Dictadas por Delitos Vinculados a la Mujer</v>
      </c>
      <c r="L444" s="75" t="str">
        <f t="shared" si="96"/>
        <v>Periodo 2013-2019</v>
      </c>
      <c r="M444" s="12" t="str">
        <f t="shared" si="96"/>
        <v>Número de sentencias</v>
      </c>
      <c r="N444" s="33" t="s">
        <v>5964</v>
      </c>
      <c r="O44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Viña Del Mar para el Periodo 2013-2019</v>
      </c>
      <c r="P444" s="42" t="s">
        <v>6287</v>
      </c>
      <c r="Q444" s="14" t="str">
        <f t="shared" si="93"/>
        <v>Gráfico de Evolución</v>
      </c>
      <c r="R444" s="27" t="s">
        <v>6266</v>
      </c>
      <c r="S444" s="15" t="s">
        <v>6839</v>
      </c>
      <c r="T444" s="65" t="s">
        <v>5911</v>
      </c>
      <c r="U444" s="24" t="s">
        <v>397</v>
      </c>
      <c r="V444" s="19" t="str">
        <f>+Ingresos_Historicos[[#This Row],[idcoleccion]]&amp;"-"&amp;Ingresos_Historicos[[#This Row],[id]]</f>
        <v>300-0434</v>
      </c>
      <c r="W444" s="19" t="e">
        <f>+VLOOKUP(Ingresos_Historicos[[#This Row],[Filtro URL]],Estructura!$X$4:$Y$366,2,0)</f>
        <v>#N/A</v>
      </c>
      <c r="X444" s="19" t="str">
        <f>+VLOOKUP(Ingresos_Historicos[[#This Row],[tema]],Estructura!$A$4:$C$18,3,0)</f>
        <v>T-310</v>
      </c>
      <c r="Y444" s="19" t="str">
        <f>+VLOOKUP(Ingresos_Historicos[[#This Row],[contenido]],Estructura!$E$4:$G$18,3,0)</f>
        <v>C-303</v>
      </c>
      <c r="Z444" s="19" t="str">
        <f>+VLOOKUP(Ingresos_Historicos[[#This Row],[Filtro Integrado]],Estructura!$M$4:$O$367,3,0)</f>
        <v>FI-303</v>
      </c>
      <c r="AA444" s="19" t="str">
        <f>+VLOOKUP(Ingresos_Historicos[[#This Row],[Muestra]],Estructura!$Q$4:$S$194,3,0)</f>
        <v>M-310</v>
      </c>
    </row>
    <row r="445" spans="1:27" ht="91.8" x14ac:dyDescent="0.3">
      <c r="A445" s="71" t="s">
        <v>831</v>
      </c>
      <c r="B445" s="12">
        <f t="shared" si="95"/>
        <v>300</v>
      </c>
      <c r="C445" s="13" t="str">
        <f t="shared" si="95"/>
        <v>Violencia contra la mujer</v>
      </c>
      <c r="D445" s="13" t="str">
        <f t="shared" si="95"/>
        <v>Mujeres</v>
      </c>
      <c r="E445" s="39">
        <v>23</v>
      </c>
      <c r="F445" s="13" t="s">
        <v>7581</v>
      </c>
      <c r="G445" s="13" t="s">
        <v>7576</v>
      </c>
      <c r="H445" s="38" t="s">
        <v>17</v>
      </c>
      <c r="I445" s="37" t="s">
        <v>108</v>
      </c>
      <c r="J445" s="12" t="s">
        <v>398</v>
      </c>
      <c r="K445" s="12" t="str">
        <f t="shared" si="96"/>
        <v>Sentencias Dictadas por Delitos Vinculados a la Mujer</v>
      </c>
      <c r="L445" s="75" t="str">
        <f t="shared" si="96"/>
        <v>Periodo 2013-2019</v>
      </c>
      <c r="M445" s="12" t="str">
        <f t="shared" si="96"/>
        <v>Número de sentencias</v>
      </c>
      <c r="N445" s="33" t="s">
        <v>5964</v>
      </c>
      <c r="O44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Graneros para el Periodo 2013-2019</v>
      </c>
      <c r="P445" s="42" t="s">
        <v>6288</v>
      </c>
      <c r="Q445" s="14" t="str">
        <f t="shared" si="93"/>
        <v>Gráfico de Evolución</v>
      </c>
      <c r="R445" s="27" t="s">
        <v>6266</v>
      </c>
      <c r="S445" s="15" t="s">
        <v>6840</v>
      </c>
      <c r="T445" s="65" t="s">
        <v>5912</v>
      </c>
      <c r="U445" s="24" t="s">
        <v>397</v>
      </c>
      <c r="V445" s="19" t="str">
        <f>+Ingresos_Historicos[[#This Row],[idcoleccion]]&amp;"-"&amp;Ingresos_Historicos[[#This Row],[id]]</f>
        <v>300-0435</v>
      </c>
      <c r="W445" s="19" t="e">
        <f>+VLOOKUP(Ingresos_Historicos[[#This Row],[Filtro URL]],Estructura!$X$4:$Y$366,2,0)</f>
        <v>#N/A</v>
      </c>
      <c r="X445" s="19" t="str">
        <f>+VLOOKUP(Ingresos_Historicos[[#This Row],[tema]],Estructura!$A$4:$C$18,3,0)</f>
        <v>T-310</v>
      </c>
      <c r="Y445" s="19" t="str">
        <f>+VLOOKUP(Ingresos_Historicos[[#This Row],[contenido]],Estructura!$E$4:$G$18,3,0)</f>
        <v>C-303</v>
      </c>
      <c r="Z445" s="19" t="str">
        <f>+VLOOKUP(Ingresos_Historicos[[#This Row],[Filtro Integrado]],Estructura!$M$4:$O$367,3,0)</f>
        <v>FI-303</v>
      </c>
      <c r="AA445" s="19" t="str">
        <f>+VLOOKUP(Ingresos_Historicos[[#This Row],[Muestra]],Estructura!$Q$4:$S$194,3,0)</f>
        <v>M-310</v>
      </c>
    </row>
    <row r="446" spans="1:27" ht="91.8" x14ac:dyDescent="0.3">
      <c r="A446" s="71" t="s">
        <v>832</v>
      </c>
      <c r="B446" s="12">
        <f t="shared" si="95"/>
        <v>300</v>
      </c>
      <c r="C446" s="13" t="str">
        <f t="shared" si="95"/>
        <v>Violencia contra la mujer</v>
      </c>
      <c r="D446" s="13" t="str">
        <f t="shared" si="95"/>
        <v>Mujeres</v>
      </c>
      <c r="E446" s="39">
        <v>24</v>
      </c>
      <c r="F446" s="13" t="s">
        <v>7581</v>
      </c>
      <c r="G446" s="13" t="s">
        <v>7576</v>
      </c>
      <c r="H446" s="38" t="s">
        <v>17</v>
      </c>
      <c r="I446" s="37" t="s">
        <v>103</v>
      </c>
      <c r="J446" s="12" t="s">
        <v>398</v>
      </c>
      <c r="K446" s="12" t="str">
        <f t="shared" si="96"/>
        <v>Sentencias Dictadas por Delitos Vinculados a la Mujer</v>
      </c>
      <c r="L446" s="75" t="str">
        <f t="shared" si="96"/>
        <v>Periodo 2013-2019</v>
      </c>
      <c r="M446" s="12" t="str">
        <f t="shared" si="96"/>
        <v>Número de sentencias</v>
      </c>
      <c r="N446" s="33" t="s">
        <v>5964</v>
      </c>
      <c r="O44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Rancagua para el Periodo 2013-2019</v>
      </c>
      <c r="P446" s="42" t="s">
        <v>6289</v>
      </c>
      <c r="Q446" s="14" t="str">
        <f t="shared" si="93"/>
        <v>Gráfico de Evolución</v>
      </c>
      <c r="R446" s="27" t="s">
        <v>6266</v>
      </c>
      <c r="S446" s="15" t="s">
        <v>6841</v>
      </c>
      <c r="T446" s="65" t="s">
        <v>5912</v>
      </c>
      <c r="U446" s="24" t="s">
        <v>397</v>
      </c>
      <c r="V446" s="19" t="str">
        <f>+Ingresos_Historicos[[#This Row],[idcoleccion]]&amp;"-"&amp;Ingresos_Historicos[[#This Row],[id]]</f>
        <v>300-0436</v>
      </c>
      <c r="W446" s="19" t="e">
        <f>+VLOOKUP(Ingresos_Historicos[[#This Row],[Filtro URL]],Estructura!$X$4:$Y$366,2,0)</f>
        <v>#N/A</v>
      </c>
      <c r="X446" s="19" t="str">
        <f>+VLOOKUP(Ingresos_Historicos[[#This Row],[tema]],Estructura!$A$4:$C$18,3,0)</f>
        <v>T-310</v>
      </c>
      <c r="Y446" s="19" t="str">
        <f>+VLOOKUP(Ingresos_Historicos[[#This Row],[contenido]],Estructura!$E$4:$G$18,3,0)</f>
        <v>C-303</v>
      </c>
      <c r="Z446" s="19" t="str">
        <f>+VLOOKUP(Ingresos_Historicos[[#This Row],[Filtro Integrado]],Estructura!$M$4:$O$367,3,0)</f>
        <v>FI-303</v>
      </c>
      <c r="AA446" s="19" t="str">
        <f>+VLOOKUP(Ingresos_Historicos[[#This Row],[Muestra]],Estructura!$Q$4:$S$194,3,0)</f>
        <v>M-310</v>
      </c>
    </row>
    <row r="447" spans="1:27" ht="91.8" x14ac:dyDescent="0.3">
      <c r="A447" s="71" t="s">
        <v>833</v>
      </c>
      <c r="B447" s="12">
        <f t="shared" si="95"/>
        <v>300</v>
      </c>
      <c r="C447" s="13" t="str">
        <f t="shared" si="95"/>
        <v>Violencia contra la mujer</v>
      </c>
      <c r="D447" s="13" t="str">
        <f t="shared" si="95"/>
        <v>Mujeres</v>
      </c>
      <c r="E447" s="39">
        <v>25</v>
      </c>
      <c r="F447" s="13" t="s">
        <v>7581</v>
      </c>
      <c r="G447" s="13" t="s">
        <v>7576</v>
      </c>
      <c r="H447" s="38" t="s">
        <v>17</v>
      </c>
      <c r="I447" s="37" t="s">
        <v>117</v>
      </c>
      <c r="J447" s="12" t="s">
        <v>398</v>
      </c>
      <c r="K447" s="12" t="str">
        <f t="shared" si="96"/>
        <v>Sentencias Dictadas por Delitos Vinculados a la Mujer</v>
      </c>
      <c r="L447" s="75" t="str">
        <f t="shared" si="96"/>
        <v>Periodo 2013-2019</v>
      </c>
      <c r="M447" s="12" t="str">
        <f t="shared" si="96"/>
        <v>Número de sentencias</v>
      </c>
      <c r="N447" s="33" t="s">
        <v>5964</v>
      </c>
      <c r="O44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Rengo para el Periodo 2013-2019</v>
      </c>
      <c r="P447" s="42" t="s">
        <v>6290</v>
      </c>
      <c r="Q447" s="14" t="str">
        <f t="shared" si="93"/>
        <v>Gráfico de Evolución</v>
      </c>
      <c r="R447" s="27" t="s">
        <v>6266</v>
      </c>
      <c r="S447" s="15" t="s">
        <v>6842</v>
      </c>
      <c r="T447" s="65" t="s">
        <v>5912</v>
      </c>
      <c r="U447" s="24" t="s">
        <v>397</v>
      </c>
      <c r="V447" s="19" t="str">
        <f>+Ingresos_Historicos[[#This Row],[idcoleccion]]&amp;"-"&amp;Ingresos_Historicos[[#This Row],[id]]</f>
        <v>300-0437</v>
      </c>
      <c r="W447" s="19" t="e">
        <f>+VLOOKUP(Ingresos_Historicos[[#This Row],[Filtro URL]],Estructura!$X$4:$Y$366,2,0)</f>
        <v>#N/A</v>
      </c>
      <c r="X447" s="19" t="str">
        <f>+VLOOKUP(Ingresos_Historicos[[#This Row],[tema]],Estructura!$A$4:$C$18,3,0)</f>
        <v>T-310</v>
      </c>
      <c r="Y447" s="19" t="str">
        <f>+VLOOKUP(Ingresos_Historicos[[#This Row],[contenido]],Estructura!$E$4:$G$18,3,0)</f>
        <v>C-303</v>
      </c>
      <c r="Z447" s="19" t="str">
        <f>+VLOOKUP(Ingresos_Historicos[[#This Row],[Filtro Integrado]],Estructura!$M$4:$O$367,3,0)</f>
        <v>FI-303</v>
      </c>
      <c r="AA447" s="19" t="str">
        <f>+VLOOKUP(Ingresos_Historicos[[#This Row],[Muestra]],Estructura!$Q$4:$S$194,3,0)</f>
        <v>M-310</v>
      </c>
    </row>
    <row r="448" spans="1:27" ht="91.8" x14ac:dyDescent="0.3">
      <c r="A448" s="71" t="s">
        <v>834</v>
      </c>
      <c r="B448" s="12">
        <f t="shared" si="95"/>
        <v>300</v>
      </c>
      <c r="C448" s="13" t="str">
        <f t="shared" si="95"/>
        <v>Violencia contra la mujer</v>
      </c>
      <c r="D448" s="13" t="str">
        <f t="shared" si="95"/>
        <v>Mujeres</v>
      </c>
      <c r="E448" s="39">
        <v>26</v>
      </c>
      <c r="F448" s="13" t="s">
        <v>7581</v>
      </c>
      <c r="G448" s="13" t="s">
        <v>7576</v>
      </c>
      <c r="H448" s="38" t="s">
        <v>17</v>
      </c>
      <c r="I448" s="37" t="s">
        <v>126</v>
      </c>
      <c r="J448" s="12" t="s">
        <v>398</v>
      </c>
      <c r="K448" s="12" t="str">
        <f t="shared" si="96"/>
        <v>Sentencias Dictadas por Delitos Vinculados a la Mujer</v>
      </c>
      <c r="L448" s="75" t="str">
        <f t="shared" si="96"/>
        <v>Periodo 2013-2019</v>
      </c>
      <c r="M448" s="12" t="str">
        <f t="shared" si="96"/>
        <v>Número de sentencias</v>
      </c>
      <c r="N448" s="33" t="s">
        <v>5964</v>
      </c>
      <c r="O44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 Fernando para el Periodo 2013-2019</v>
      </c>
      <c r="P448" s="42" t="s">
        <v>6291</v>
      </c>
      <c r="Q448" s="14" t="str">
        <f t="shared" si="93"/>
        <v>Gráfico de Evolución</v>
      </c>
      <c r="R448" s="27" t="s">
        <v>6266</v>
      </c>
      <c r="S448" s="15" t="s">
        <v>6843</v>
      </c>
      <c r="T448" s="65" t="s">
        <v>5912</v>
      </c>
      <c r="U448" s="24" t="s">
        <v>397</v>
      </c>
      <c r="V448" s="19" t="str">
        <f>+Ingresos_Historicos[[#This Row],[idcoleccion]]&amp;"-"&amp;Ingresos_Historicos[[#This Row],[id]]</f>
        <v>300-0438</v>
      </c>
      <c r="W448" s="19" t="e">
        <f>+VLOOKUP(Ingresos_Historicos[[#This Row],[Filtro URL]],Estructura!$X$4:$Y$366,2,0)</f>
        <v>#N/A</v>
      </c>
      <c r="X448" s="19" t="str">
        <f>+VLOOKUP(Ingresos_Historicos[[#This Row],[tema]],Estructura!$A$4:$C$18,3,0)</f>
        <v>T-310</v>
      </c>
      <c r="Y448" s="19" t="str">
        <f>+VLOOKUP(Ingresos_Historicos[[#This Row],[contenido]],Estructura!$E$4:$G$18,3,0)</f>
        <v>C-303</v>
      </c>
      <c r="Z448" s="19" t="str">
        <f>+VLOOKUP(Ingresos_Historicos[[#This Row],[Filtro Integrado]],Estructura!$M$4:$O$367,3,0)</f>
        <v>FI-303</v>
      </c>
      <c r="AA448" s="19" t="str">
        <f>+VLOOKUP(Ingresos_Historicos[[#This Row],[Muestra]],Estructura!$Q$4:$S$194,3,0)</f>
        <v>M-310</v>
      </c>
    </row>
    <row r="449" spans="1:27" ht="91.8" x14ac:dyDescent="0.3">
      <c r="A449" s="71" t="s">
        <v>835</v>
      </c>
      <c r="B449" s="12">
        <f t="shared" si="95"/>
        <v>300</v>
      </c>
      <c r="C449" s="13" t="str">
        <f t="shared" si="95"/>
        <v>Violencia contra la mujer</v>
      </c>
      <c r="D449" s="13" t="str">
        <f t="shared" si="95"/>
        <v>Mujeres</v>
      </c>
      <c r="E449" s="39">
        <v>27</v>
      </c>
      <c r="F449" s="13" t="s">
        <v>7581</v>
      </c>
      <c r="G449" s="13" t="s">
        <v>7576</v>
      </c>
      <c r="H449" s="38" t="s">
        <v>17</v>
      </c>
      <c r="I449" s="37" t="s">
        <v>119</v>
      </c>
      <c r="J449" s="12" t="s">
        <v>398</v>
      </c>
      <c r="K449" s="12" t="str">
        <f t="shared" si="96"/>
        <v>Sentencias Dictadas por Delitos Vinculados a la Mujer</v>
      </c>
      <c r="L449" s="75" t="str">
        <f t="shared" si="96"/>
        <v>Periodo 2013-2019</v>
      </c>
      <c r="M449" s="12" t="str">
        <f t="shared" si="96"/>
        <v>Número de sentencias</v>
      </c>
      <c r="N449" s="33" t="s">
        <v>5964</v>
      </c>
      <c r="O44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 Vicente para el Periodo 2013-2019</v>
      </c>
      <c r="P449" s="42" t="s">
        <v>6292</v>
      </c>
      <c r="Q449" s="14" t="str">
        <f t="shared" si="93"/>
        <v>Gráfico de Evolución</v>
      </c>
      <c r="R449" s="27" t="s">
        <v>6266</v>
      </c>
      <c r="S449" s="15" t="s">
        <v>6844</v>
      </c>
      <c r="T449" s="65" t="s">
        <v>5912</v>
      </c>
      <c r="U449" s="24" t="s">
        <v>397</v>
      </c>
      <c r="V449" s="19" t="str">
        <f>+Ingresos_Historicos[[#This Row],[idcoleccion]]&amp;"-"&amp;Ingresos_Historicos[[#This Row],[id]]</f>
        <v>300-0439</v>
      </c>
      <c r="W449" s="19" t="e">
        <f>+VLOOKUP(Ingresos_Historicos[[#This Row],[Filtro URL]],Estructura!$X$4:$Y$366,2,0)</f>
        <v>#N/A</v>
      </c>
      <c r="X449" s="19" t="str">
        <f>+VLOOKUP(Ingresos_Historicos[[#This Row],[tema]],Estructura!$A$4:$C$18,3,0)</f>
        <v>T-310</v>
      </c>
      <c r="Y449" s="19" t="str">
        <f>+VLOOKUP(Ingresos_Historicos[[#This Row],[contenido]],Estructura!$E$4:$G$18,3,0)</f>
        <v>C-303</v>
      </c>
      <c r="Z449" s="19" t="str">
        <f>+VLOOKUP(Ingresos_Historicos[[#This Row],[Filtro Integrado]],Estructura!$M$4:$O$367,3,0)</f>
        <v>FI-303</v>
      </c>
      <c r="AA449" s="19" t="str">
        <f>+VLOOKUP(Ingresos_Historicos[[#This Row],[Muestra]],Estructura!$Q$4:$S$194,3,0)</f>
        <v>M-310</v>
      </c>
    </row>
    <row r="450" spans="1:27" ht="91.8" x14ac:dyDescent="0.3">
      <c r="A450" s="71" t="s">
        <v>836</v>
      </c>
      <c r="B450" s="12">
        <f t="shared" si="95"/>
        <v>300</v>
      </c>
      <c r="C450" s="13" t="str">
        <f t="shared" si="95"/>
        <v>Violencia contra la mujer</v>
      </c>
      <c r="D450" s="13" t="str">
        <f t="shared" si="95"/>
        <v>Mujeres</v>
      </c>
      <c r="E450" s="39">
        <v>28</v>
      </c>
      <c r="F450" s="13" t="s">
        <v>7581</v>
      </c>
      <c r="G450" s="13" t="s">
        <v>7576</v>
      </c>
      <c r="H450" s="38" t="s">
        <v>17</v>
      </c>
      <c r="I450" s="37" t="s">
        <v>135</v>
      </c>
      <c r="J450" s="12" t="s">
        <v>398</v>
      </c>
      <c r="K450" s="12" t="str">
        <f t="shared" si="96"/>
        <v>Sentencias Dictadas por Delitos Vinculados a la Mujer</v>
      </c>
      <c r="L450" s="75" t="str">
        <f t="shared" si="96"/>
        <v>Periodo 2013-2019</v>
      </c>
      <c r="M450" s="12" t="str">
        <f t="shared" si="96"/>
        <v>Número de sentencias</v>
      </c>
      <c r="N450" s="33" t="s">
        <v>5964</v>
      </c>
      <c r="O45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Santa Cruz para el Periodo 2013-2019</v>
      </c>
      <c r="P450" s="42" t="s">
        <v>6293</v>
      </c>
      <c r="Q450" s="14" t="str">
        <f t="shared" si="93"/>
        <v>Gráfico de Evolución</v>
      </c>
      <c r="R450" s="27" t="s">
        <v>6266</v>
      </c>
      <c r="S450" s="15" t="s">
        <v>6845</v>
      </c>
      <c r="T450" s="65" t="s">
        <v>5912</v>
      </c>
      <c r="U450" s="24" t="s">
        <v>397</v>
      </c>
      <c r="V450" s="19" t="str">
        <f>+Ingresos_Historicos[[#This Row],[idcoleccion]]&amp;"-"&amp;Ingresos_Historicos[[#This Row],[id]]</f>
        <v>300-0440</v>
      </c>
      <c r="W450" s="19" t="e">
        <f>+VLOOKUP(Ingresos_Historicos[[#This Row],[Filtro URL]],Estructura!$X$4:$Y$366,2,0)</f>
        <v>#N/A</v>
      </c>
      <c r="X450" s="19" t="str">
        <f>+VLOOKUP(Ingresos_Historicos[[#This Row],[tema]],Estructura!$A$4:$C$18,3,0)</f>
        <v>T-310</v>
      </c>
      <c r="Y450" s="19" t="str">
        <f>+VLOOKUP(Ingresos_Historicos[[#This Row],[contenido]],Estructura!$E$4:$G$18,3,0)</f>
        <v>C-303</v>
      </c>
      <c r="Z450" s="19" t="str">
        <f>+VLOOKUP(Ingresos_Historicos[[#This Row],[Filtro Integrado]],Estructura!$M$4:$O$367,3,0)</f>
        <v>FI-303</v>
      </c>
      <c r="AA450" s="19" t="str">
        <f>+VLOOKUP(Ingresos_Historicos[[#This Row],[Muestra]],Estructura!$Q$4:$S$194,3,0)</f>
        <v>M-310</v>
      </c>
    </row>
    <row r="451" spans="1:27" ht="91.8" x14ac:dyDescent="0.3">
      <c r="A451" s="71" t="s">
        <v>837</v>
      </c>
      <c r="B451" s="12">
        <f t="shared" si="95"/>
        <v>300</v>
      </c>
      <c r="C451" s="13" t="str">
        <f t="shared" si="95"/>
        <v>Violencia contra la mujer</v>
      </c>
      <c r="D451" s="13" t="str">
        <f t="shared" si="95"/>
        <v>Mujeres</v>
      </c>
      <c r="E451" s="39">
        <v>29</v>
      </c>
      <c r="F451" s="13" t="s">
        <v>7581</v>
      </c>
      <c r="G451" s="13" t="s">
        <v>7576</v>
      </c>
      <c r="H451" s="38" t="s">
        <v>17</v>
      </c>
      <c r="I451" s="37" t="s">
        <v>145</v>
      </c>
      <c r="J451" s="12" t="s">
        <v>398</v>
      </c>
      <c r="K451" s="12" t="str">
        <f t="shared" si="96"/>
        <v>Sentencias Dictadas por Delitos Vinculados a la Mujer</v>
      </c>
      <c r="L451" s="75" t="str">
        <f t="shared" si="96"/>
        <v>Periodo 2013-2019</v>
      </c>
      <c r="M451" s="12" t="str">
        <f t="shared" si="96"/>
        <v>Número de sentencias</v>
      </c>
      <c r="N451" s="33" t="s">
        <v>5964</v>
      </c>
      <c r="O45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Cauquenes para el Periodo 2013-2019</v>
      </c>
      <c r="P451" s="42" t="s">
        <v>6294</v>
      </c>
      <c r="Q451" s="14" t="str">
        <f t="shared" si="93"/>
        <v>Gráfico de Evolución</v>
      </c>
      <c r="R451" s="27" t="s">
        <v>6266</v>
      </c>
      <c r="S451" s="15" t="s">
        <v>6846</v>
      </c>
      <c r="T451" s="65" t="s">
        <v>5913</v>
      </c>
      <c r="U451" s="24" t="s">
        <v>397</v>
      </c>
      <c r="V451" s="19" t="str">
        <f>+Ingresos_Historicos[[#This Row],[idcoleccion]]&amp;"-"&amp;Ingresos_Historicos[[#This Row],[id]]</f>
        <v>300-0441</v>
      </c>
      <c r="W451" s="19" t="e">
        <f>+VLOOKUP(Ingresos_Historicos[[#This Row],[Filtro URL]],Estructura!$X$4:$Y$366,2,0)</f>
        <v>#N/A</v>
      </c>
      <c r="X451" s="19" t="str">
        <f>+VLOOKUP(Ingresos_Historicos[[#This Row],[tema]],Estructura!$A$4:$C$18,3,0)</f>
        <v>T-310</v>
      </c>
      <c r="Y451" s="19" t="str">
        <f>+VLOOKUP(Ingresos_Historicos[[#This Row],[contenido]],Estructura!$E$4:$G$18,3,0)</f>
        <v>C-303</v>
      </c>
      <c r="Z451" s="19" t="str">
        <f>+VLOOKUP(Ingresos_Historicos[[#This Row],[Filtro Integrado]],Estructura!$M$4:$O$367,3,0)</f>
        <v>FI-303</v>
      </c>
      <c r="AA451" s="19" t="str">
        <f>+VLOOKUP(Ingresos_Historicos[[#This Row],[Muestra]],Estructura!$Q$4:$S$194,3,0)</f>
        <v>M-310</v>
      </c>
    </row>
    <row r="452" spans="1:27" ht="91.8" x14ac:dyDescent="0.3">
      <c r="A452" s="71" t="s">
        <v>838</v>
      </c>
      <c r="B452" s="12">
        <f t="shared" si="95"/>
        <v>300</v>
      </c>
      <c r="C452" s="13" t="str">
        <f t="shared" si="95"/>
        <v>Violencia contra la mujer</v>
      </c>
      <c r="D452" s="13" t="str">
        <f t="shared" si="95"/>
        <v>Mujeres</v>
      </c>
      <c r="E452" s="39">
        <v>30</v>
      </c>
      <c r="F452" s="13" t="s">
        <v>7581</v>
      </c>
      <c r="G452" s="13" t="s">
        <v>7576</v>
      </c>
      <c r="H452" s="38" t="s">
        <v>17</v>
      </c>
      <c r="I452" s="37" t="s">
        <v>6039</v>
      </c>
      <c r="J452" s="12" t="s">
        <v>398</v>
      </c>
      <c r="K452" s="12" t="str">
        <f t="shared" si="96"/>
        <v>Sentencias Dictadas por Delitos Vinculados a la Mujer</v>
      </c>
      <c r="L452" s="75" t="str">
        <f t="shared" si="96"/>
        <v>Periodo 2013-2019</v>
      </c>
      <c r="M452" s="12" t="str">
        <f t="shared" si="96"/>
        <v>Número de sentencias</v>
      </c>
      <c r="N452" s="33" t="s">
        <v>5964</v>
      </c>
      <c r="O45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Constitucion para el Periodo 2013-2019</v>
      </c>
      <c r="P452" s="42" t="s">
        <v>6295</v>
      </c>
      <c r="Q452" s="14" t="str">
        <f t="shared" si="93"/>
        <v>Gráfico de Evolución</v>
      </c>
      <c r="R452" s="27" t="s">
        <v>6266</v>
      </c>
      <c r="S452" s="15" t="s">
        <v>6847</v>
      </c>
      <c r="T452" s="65" t="s">
        <v>5913</v>
      </c>
      <c r="U452" s="24" t="s">
        <v>397</v>
      </c>
      <c r="V452" s="19" t="str">
        <f>+Ingresos_Historicos[[#This Row],[idcoleccion]]&amp;"-"&amp;Ingresos_Historicos[[#This Row],[id]]</f>
        <v>300-0442</v>
      </c>
      <c r="W452" s="19" t="e">
        <f>+VLOOKUP(Ingresos_Historicos[[#This Row],[Filtro URL]],Estructura!$X$4:$Y$366,2,0)</f>
        <v>#N/A</v>
      </c>
      <c r="X452" s="19" t="str">
        <f>+VLOOKUP(Ingresos_Historicos[[#This Row],[tema]],Estructura!$A$4:$C$18,3,0)</f>
        <v>T-310</v>
      </c>
      <c r="Y452" s="19" t="str">
        <f>+VLOOKUP(Ingresos_Historicos[[#This Row],[contenido]],Estructura!$E$4:$G$18,3,0)</f>
        <v>C-303</v>
      </c>
      <c r="Z452" s="19" t="str">
        <f>+VLOOKUP(Ingresos_Historicos[[#This Row],[Filtro Integrado]],Estructura!$M$4:$O$367,3,0)</f>
        <v>FI-303</v>
      </c>
      <c r="AA452" s="19" t="str">
        <f>+VLOOKUP(Ingresos_Historicos[[#This Row],[Muestra]],Estructura!$Q$4:$S$194,3,0)</f>
        <v>M-310</v>
      </c>
    </row>
    <row r="453" spans="1:27" ht="91.8" x14ac:dyDescent="0.3">
      <c r="A453" s="71" t="s">
        <v>839</v>
      </c>
      <c r="B453" s="12">
        <f t="shared" si="95"/>
        <v>300</v>
      </c>
      <c r="C453" s="13" t="str">
        <f t="shared" si="95"/>
        <v>Violencia contra la mujer</v>
      </c>
      <c r="D453" s="13" t="str">
        <f t="shared" si="95"/>
        <v>Mujeres</v>
      </c>
      <c r="E453" s="39">
        <v>31</v>
      </c>
      <c r="F453" s="13" t="s">
        <v>7581</v>
      </c>
      <c r="G453" s="13" t="s">
        <v>7576</v>
      </c>
      <c r="H453" s="38" t="s">
        <v>17</v>
      </c>
      <c r="I453" s="37" t="s">
        <v>6041</v>
      </c>
      <c r="J453" s="12" t="s">
        <v>398</v>
      </c>
      <c r="K453" s="12" t="str">
        <f t="shared" si="96"/>
        <v>Sentencias Dictadas por Delitos Vinculados a la Mujer</v>
      </c>
      <c r="L453" s="75" t="str">
        <f t="shared" si="96"/>
        <v>Periodo 2013-2019</v>
      </c>
      <c r="M453" s="12" t="str">
        <f t="shared" si="96"/>
        <v>Número de sentencias</v>
      </c>
      <c r="N453" s="33" t="s">
        <v>5964</v>
      </c>
      <c r="O45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Curico para el Periodo 2013-2019</v>
      </c>
      <c r="P453" s="42" t="s">
        <v>6296</v>
      </c>
      <c r="Q453" s="14" t="str">
        <f t="shared" si="93"/>
        <v>Gráfico de Evolución</v>
      </c>
      <c r="R453" s="27" t="s">
        <v>6266</v>
      </c>
      <c r="S453" s="15" t="s">
        <v>6848</v>
      </c>
      <c r="T453" s="65" t="s">
        <v>5913</v>
      </c>
      <c r="U453" s="24" t="s">
        <v>397</v>
      </c>
      <c r="V453" s="19" t="str">
        <f>+Ingresos_Historicos[[#This Row],[idcoleccion]]&amp;"-"&amp;Ingresos_Historicos[[#This Row],[id]]</f>
        <v>300-0443</v>
      </c>
      <c r="W453" s="19" t="e">
        <f>+VLOOKUP(Ingresos_Historicos[[#This Row],[Filtro URL]],Estructura!$X$4:$Y$366,2,0)</f>
        <v>#N/A</v>
      </c>
      <c r="X453" s="19" t="str">
        <f>+VLOOKUP(Ingresos_Historicos[[#This Row],[tema]],Estructura!$A$4:$C$18,3,0)</f>
        <v>T-310</v>
      </c>
      <c r="Y453" s="19" t="str">
        <f>+VLOOKUP(Ingresos_Historicos[[#This Row],[contenido]],Estructura!$E$4:$G$18,3,0)</f>
        <v>C-303</v>
      </c>
      <c r="Z453" s="19" t="str">
        <f>+VLOOKUP(Ingresos_Historicos[[#This Row],[Filtro Integrado]],Estructura!$M$4:$O$367,3,0)</f>
        <v>FI-303</v>
      </c>
      <c r="AA453" s="19" t="str">
        <f>+VLOOKUP(Ingresos_Historicos[[#This Row],[Muestra]],Estructura!$Q$4:$S$194,3,0)</f>
        <v>M-310</v>
      </c>
    </row>
    <row r="454" spans="1:27" ht="91.8" x14ac:dyDescent="0.3">
      <c r="A454" s="71" t="s">
        <v>840</v>
      </c>
      <c r="B454" s="12">
        <f t="shared" ref="B454:D469" si="97">+B453</f>
        <v>300</v>
      </c>
      <c r="C454" s="13" t="str">
        <f t="shared" si="97"/>
        <v>Violencia contra la mujer</v>
      </c>
      <c r="D454" s="13" t="str">
        <f t="shared" si="97"/>
        <v>Mujeres</v>
      </c>
      <c r="E454" s="39">
        <v>32</v>
      </c>
      <c r="F454" s="13" t="s">
        <v>7581</v>
      </c>
      <c r="G454" s="13" t="s">
        <v>7576</v>
      </c>
      <c r="H454" s="38" t="s">
        <v>17</v>
      </c>
      <c r="I454" s="37" t="s">
        <v>157</v>
      </c>
      <c r="J454" s="12" t="s">
        <v>398</v>
      </c>
      <c r="K454" s="12" t="str">
        <f t="shared" si="96"/>
        <v>Sentencias Dictadas por Delitos Vinculados a la Mujer</v>
      </c>
      <c r="L454" s="75" t="str">
        <f t="shared" si="96"/>
        <v>Periodo 2013-2019</v>
      </c>
      <c r="M454" s="12" t="str">
        <f t="shared" si="96"/>
        <v>Número de sentencias</v>
      </c>
      <c r="N454" s="33" t="s">
        <v>5964</v>
      </c>
      <c r="O45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Linares para el Periodo 2013-2019</v>
      </c>
      <c r="P454" s="42" t="s">
        <v>6297</v>
      </c>
      <c r="Q454" s="14" t="str">
        <f t="shared" si="93"/>
        <v>Gráfico de Evolución</v>
      </c>
      <c r="R454" s="27" t="s">
        <v>6266</v>
      </c>
      <c r="S454" s="15" t="s">
        <v>6849</v>
      </c>
      <c r="T454" s="65" t="s">
        <v>5913</v>
      </c>
      <c r="U454" s="24" t="s">
        <v>397</v>
      </c>
      <c r="V454" s="19" t="str">
        <f>+Ingresos_Historicos[[#This Row],[idcoleccion]]&amp;"-"&amp;Ingresos_Historicos[[#This Row],[id]]</f>
        <v>300-0444</v>
      </c>
      <c r="W454" s="19" t="e">
        <f>+VLOOKUP(Ingresos_Historicos[[#This Row],[Filtro URL]],Estructura!$X$4:$Y$366,2,0)</f>
        <v>#N/A</v>
      </c>
      <c r="X454" s="19" t="str">
        <f>+VLOOKUP(Ingresos_Historicos[[#This Row],[tema]],Estructura!$A$4:$C$18,3,0)</f>
        <v>T-310</v>
      </c>
      <c r="Y454" s="19" t="str">
        <f>+VLOOKUP(Ingresos_Historicos[[#This Row],[contenido]],Estructura!$E$4:$G$18,3,0)</f>
        <v>C-303</v>
      </c>
      <c r="Z454" s="19" t="str">
        <f>+VLOOKUP(Ingresos_Historicos[[#This Row],[Filtro Integrado]],Estructura!$M$4:$O$367,3,0)</f>
        <v>FI-303</v>
      </c>
      <c r="AA454" s="19" t="str">
        <f>+VLOOKUP(Ingresos_Historicos[[#This Row],[Muestra]],Estructura!$Q$4:$S$194,3,0)</f>
        <v>M-310</v>
      </c>
    </row>
    <row r="455" spans="1:27" ht="91.8" x14ac:dyDescent="0.3">
      <c r="A455" s="71" t="s">
        <v>841</v>
      </c>
      <c r="B455" s="12">
        <f t="shared" si="97"/>
        <v>300</v>
      </c>
      <c r="C455" s="13" t="str">
        <f t="shared" si="97"/>
        <v>Violencia contra la mujer</v>
      </c>
      <c r="D455" s="13" t="str">
        <f t="shared" si="97"/>
        <v>Mujeres</v>
      </c>
      <c r="E455" s="39">
        <v>33</v>
      </c>
      <c r="F455" s="13" t="s">
        <v>7581</v>
      </c>
      <c r="G455" s="13" t="s">
        <v>7576</v>
      </c>
      <c r="H455" s="38" t="s">
        <v>17</v>
      </c>
      <c r="I455" s="37" t="s">
        <v>151</v>
      </c>
      <c r="J455" s="12" t="s">
        <v>398</v>
      </c>
      <c r="K455" s="12" t="str">
        <f t="shared" si="96"/>
        <v>Sentencias Dictadas por Delitos Vinculados a la Mujer</v>
      </c>
      <c r="L455" s="75" t="str">
        <f t="shared" si="96"/>
        <v>Periodo 2013-2019</v>
      </c>
      <c r="M455" s="12" t="str">
        <f t="shared" si="96"/>
        <v>Número de sentencias</v>
      </c>
      <c r="N455" s="33" t="s">
        <v>5964</v>
      </c>
      <c r="O45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Molina para el Periodo 2013-2019</v>
      </c>
      <c r="P455" s="42" t="s">
        <v>6298</v>
      </c>
      <c r="Q455" s="14" t="str">
        <f t="shared" si="93"/>
        <v>Gráfico de Evolución</v>
      </c>
      <c r="R455" s="27" t="s">
        <v>6266</v>
      </c>
      <c r="S455" s="15" t="s">
        <v>6850</v>
      </c>
      <c r="T455" s="65" t="s">
        <v>5913</v>
      </c>
      <c r="U455" s="24" t="s">
        <v>397</v>
      </c>
      <c r="V455" s="19" t="str">
        <f>+Ingresos_Historicos[[#This Row],[idcoleccion]]&amp;"-"&amp;Ingresos_Historicos[[#This Row],[id]]</f>
        <v>300-0445</v>
      </c>
      <c r="W455" s="19" t="e">
        <f>+VLOOKUP(Ingresos_Historicos[[#This Row],[Filtro URL]],Estructura!$X$4:$Y$366,2,0)</f>
        <v>#N/A</v>
      </c>
      <c r="X455" s="19" t="str">
        <f>+VLOOKUP(Ingresos_Historicos[[#This Row],[tema]],Estructura!$A$4:$C$18,3,0)</f>
        <v>T-310</v>
      </c>
      <c r="Y455" s="19" t="str">
        <f>+VLOOKUP(Ingresos_Historicos[[#This Row],[contenido]],Estructura!$E$4:$G$18,3,0)</f>
        <v>C-303</v>
      </c>
      <c r="Z455" s="19" t="str">
        <f>+VLOOKUP(Ingresos_Historicos[[#This Row],[Filtro Integrado]],Estructura!$M$4:$O$367,3,0)</f>
        <v>FI-303</v>
      </c>
      <c r="AA455" s="19" t="str">
        <f>+VLOOKUP(Ingresos_Historicos[[#This Row],[Muestra]],Estructura!$Q$4:$S$194,3,0)</f>
        <v>M-310</v>
      </c>
    </row>
    <row r="456" spans="1:27" ht="91.8" x14ac:dyDescent="0.3">
      <c r="A456" s="71" t="s">
        <v>842</v>
      </c>
      <c r="B456" s="12">
        <f t="shared" si="97"/>
        <v>300</v>
      </c>
      <c r="C456" s="13" t="str">
        <f t="shared" si="97"/>
        <v>Violencia contra la mujer</v>
      </c>
      <c r="D456" s="13" t="str">
        <f t="shared" si="97"/>
        <v>Mujeres</v>
      </c>
      <c r="E456" s="39">
        <v>34</v>
      </c>
      <c r="F456" s="13" t="s">
        <v>7581</v>
      </c>
      <c r="G456" s="13" t="s">
        <v>7576</v>
      </c>
      <c r="H456" s="38" t="s">
        <v>17</v>
      </c>
      <c r="I456" s="37" t="s">
        <v>160</v>
      </c>
      <c r="J456" s="12" t="s">
        <v>398</v>
      </c>
      <c r="K456" s="12" t="str">
        <f t="shared" ref="K456:M471" si="98">+K455</f>
        <v>Sentencias Dictadas por Delitos Vinculados a la Mujer</v>
      </c>
      <c r="L456" s="75" t="str">
        <f t="shared" si="98"/>
        <v>Periodo 2013-2019</v>
      </c>
      <c r="M456" s="12" t="str">
        <f t="shared" si="98"/>
        <v>Número de sentencias</v>
      </c>
      <c r="N456" s="33" t="s">
        <v>5964</v>
      </c>
      <c r="O45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Parral para el Periodo 2013-2019</v>
      </c>
      <c r="P456" s="42" t="s">
        <v>6299</v>
      </c>
      <c r="Q456" s="14" t="str">
        <f t="shared" si="93"/>
        <v>Gráfico de Evolución</v>
      </c>
      <c r="R456" s="27" t="s">
        <v>6266</v>
      </c>
      <c r="S456" s="15" t="s">
        <v>6851</v>
      </c>
      <c r="T456" s="65" t="s">
        <v>5913</v>
      </c>
      <c r="U456" s="24" t="s">
        <v>397</v>
      </c>
      <c r="V456" s="19" t="str">
        <f>+Ingresos_Historicos[[#This Row],[idcoleccion]]&amp;"-"&amp;Ingresos_Historicos[[#This Row],[id]]</f>
        <v>300-0446</v>
      </c>
      <c r="W456" s="19" t="e">
        <f>+VLOOKUP(Ingresos_Historicos[[#This Row],[Filtro URL]],Estructura!$X$4:$Y$366,2,0)</f>
        <v>#N/A</v>
      </c>
      <c r="X456" s="19" t="str">
        <f>+VLOOKUP(Ingresos_Historicos[[#This Row],[tema]],Estructura!$A$4:$C$18,3,0)</f>
        <v>T-310</v>
      </c>
      <c r="Y456" s="19" t="str">
        <f>+VLOOKUP(Ingresos_Historicos[[#This Row],[contenido]],Estructura!$E$4:$G$18,3,0)</f>
        <v>C-303</v>
      </c>
      <c r="Z456" s="19" t="str">
        <f>+VLOOKUP(Ingresos_Historicos[[#This Row],[Filtro Integrado]],Estructura!$M$4:$O$367,3,0)</f>
        <v>FI-303</v>
      </c>
      <c r="AA456" s="19" t="str">
        <f>+VLOOKUP(Ingresos_Historicos[[#This Row],[Muestra]],Estructura!$Q$4:$S$194,3,0)</f>
        <v>M-310</v>
      </c>
    </row>
    <row r="457" spans="1:27" ht="91.8" x14ac:dyDescent="0.3">
      <c r="A457" s="71" t="s">
        <v>843</v>
      </c>
      <c r="B457" s="12">
        <f t="shared" si="97"/>
        <v>300</v>
      </c>
      <c r="C457" s="13" t="str">
        <f t="shared" si="97"/>
        <v>Violencia contra la mujer</v>
      </c>
      <c r="D457" s="13" t="str">
        <f t="shared" si="97"/>
        <v>Mujeres</v>
      </c>
      <c r="E457" s="39">
        <v>35</v>
      </c>
      <c r="F457" s="13" t="s">
        <v>7581</v>
      </c>
      <c r="G457" s="13" t="s">
        <v>7576</v>
      </c>
      <c r="H457" s="38" t="s">
        <v>17</v>
      </c>
      <c r="I457" s="37" t="s">
        <v>162</v>
      </c>
      <c r="J457" s="12" t="s">
        <v>398</v>
      </c>
      <c r="K457" s="12" t="str">
        <f t="shared" si="98"/>
        <v>Sentencias Dictadas por Delitos Vinculados a la Mujer</v>
      </c>
      <c r="L457" s="75" t="str">
        <f t="shared" si="98"/>
        <v>Periodo 2013-2019</v>
      </c>
      <c r="M457" s="12" t="str">
        <f t="shared" si="98"/>
        <v>Número de sentencias</v>
      </c>
      <c r="N457" s="33" t="s">
        <v>5964</v>
      </c>
      <c r="O45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 Javier para el Periodo 2013-2019</v>
      </c>
      <c r="P457" s="42" t="s">
        <v>6300</v>
      </c>
      <c r="Q457" s="14" t="str">
        <f t="shared" si="93"/>
        <v>Gráfico de Evolución</v>
      </c>
      <c r="R457" s="27" t="s">
        <v>6266</v>
      </c>
      <c r="S457" s="15" t="s">
        <v>6852</v>
      </c>
      <c r="T457" s="65" t="s">
        <v>5913</v>
      </c>
      <c r="U457" s="24" t="s">
        <v>397</v>
      </c>
      <c r="V457" s="19" t="str">
        <f>+Ingresos_Historicos[[#This Row],[idcoleccion]]&amp;"-"&amp;Ingresos_Historicos[[#This Row],[id]]</f>
        <v>300-0447</v>
      </c>
      <c r="W457" s="19" t="e">
        <f>+VLOOKUP(Ingresos_Historicos[[#This Row],[Filtro URL]],Estructura!$X$4:$Y$366,2,0)</f>
        <v>#N/A</v>
      </c>
      <c r="X457" s="19" t="str">
        <f>+VLOOKUP(Ingresos_Historicos[[#This Row],[tema]],Estructura!$A$4:$C$18,3,0)</f>
        <v>T-310</v>
      </c>
      <c r="Y457" s="19" t="str">
        <f>+VLOOKUP(Ingresos_Historicos[[#This Row],[contenido]],Estructura!$E$4:$G$18,3,0)</f>
        <v>C-303</v>
      </c>
      <c r="Z457" s="19" t="str">
        <f>+VLOOKUP(Ingresos_Historicos[[#This Row],[Filtro Integrado]],Estructura!$M$4:$O$367,3,0)</f>
        <v>FI-303</v>
      </c>
      <c r="AA457" s="19" t="str">
        <f>+VLOOKUP(Ingresos_Historicos[[#This Row],[Muestra]],Estructura!$Q$4:$S$194,3,0)</f>
        <v>M-310</v>
      </c>
    </row>
    <row r="458" spans="1:27" ht="91.8" x14ac:dyDescent="0.3">
      <c r="A458" s="71" t="s">
        <v>844</v>
      </c>
      <c r="B458" s="12">
        <f t="shared" si="97"/>
        <v>300</v>
      </c>
      <c r="C458" s="13" t="str">
        <f t="shared" si="97"/>
        <v>Violencia contra la mujer</v>
      </c>
      <c r="D458" s="13" t="str">
        <f t="shared" si="97"/>
        <v>Mujeres</v>
      </c>
      <c r="E458" s="39">
        <v>36</v>
      </c>
      <c r="F458" s="13" t="s">
        <v>7581</v>
      </c>
      <c r="G458" s="13" t="s">
        <v>7576</v>
      </c>
      <c r="H458" s="38" t="s">
        <v>17</v>
      </c>
      <c r="I458" s="37" t="s">
        <v>136</v>
      </c>
      <c r="J458" s="12" t="s">
        <v>398</v>
      </c>
      <c r="K458" s="12" t="str">
        <f t="shared" si="98"/>
        <v>Sentencias Dictadas por Delitos Vinculados a la Mujer</v>
      </c>
      <c r="L458" s="75" t="str">
        <f t="shared" si="98"/>
        <v>Periodo 2013-2019</v>
      </c>
      <c r="M458" s="12" t="str">
        <f t="shared" si="98"/>
        <v>Número de sentencias</v>
      </c>
      <c r="N458" s="33" t="s">
        <v>5964</v>
      </c>
      <c r="O45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Talca para el Periodo 2013-2019</v>
      </c>
      <c r="P458" s="42" t="s">
        <v>6301</v>
      </c>
      <c r="Q458" s="14" t="str">
        <f t="shared" si="93"/>
        <v>Gráfico de Evolución</v>
      </c>
      <c r="R458" s="27" t="s">
        <v>6266</v>
      </c>
      <c r="S458" s="15" t="s">
        <v>6853</v>
      </c>
      <c r="T458" s="65" t="s">
        <v>5913</v>
      </c>
      <c r="U458" s="24" t="s">
        <v>397</v>
      </c>
      <c r="V458" s="19" t="str">
        <f>+Ingresos_Historicos[[#This Row],[idcoleccion]]&amp;"-"&amp;Ingresos_Historicos[[#This Row],[id]]</f>
        <v>300-0448</v>
      </c>
      <c r="W458" s="19" t="e">
        <f>+VLOOKUP(Ingresos_Historicos[[#This Row],[Filtro URL]],Estructura!$X$4:$Y$366,2,0)</f>
        <v>#N/A</v>
      </c>
      <c r="X458" s="19" t="str">
        <f>+VLOOKUP(Ingresos_Historicos[[#This Row],[tema]],Estructura!$A$4:$C$18,3,0)</f>
        <v>T-310</v>
      </c>
      <c r="Y458" s="19" t="str">
        <f>+VLOOKUP(Ingresos_Historicos[[#This Row],[contenido]],Estructura!$E$4:$G$18,3,0)</f>
        <v>C-303</v>
      </c>
      <c r="Z458" s="19" t="str">
        <f>+VLOOKUP(Ingresos_Historicos[[#This Row],[Filtro Integrado]],Estructura!$M$4:$O$367,3,0)</f>
        <v>FI-303</v>
      </c>
      <c r="AA458" s="19" t="str">
        <f>+VLOOKUP(Ingresos_Historicos[[#This Row],[Muestra]],Estructura!$Q$4:$S$194,3,0)</f>
        <v>M-310</v>
      </c>
    </row>
    <row r="459" spans="1:27" ht="91.8" x14ac:dyDescent="0.3">
      <c r="A459" s="71" t="s">
        <v>845</v>
      </c>
      <c r="B459" s="12">
        <f t="shared" si="97"/>
        <v>300</v>
      </c>
      <c r="C459" s="13" t="str">
        <f t="shared" si="97"/>
        <v>Violencia contra la mujer</v>
      </c>
      <c r="D459" s="13" t="str">
        <f t="shared" si="97"/>
        <v>Mujeres</v>
      </c>
      <c r="E459" s="39">
        <v>37</v>
      </c>
      <c r="F459" s="13" t="s">
        <v>7581</v>
      </c>
      <c r="G459" s="13" t="s">
        <v>7576</v>
      </c>
      <c r="H459" s="38" t="s">
        <v>17</v>
      </c>
      <c r="I459" s="37" t="s">
        <v>178</v>
      </c>
      <c r="J459" s="12" t="s">
        <v>398</v>
      </c>
      <c r="K459" s="12" t="str">
        <f t="shared" si="98"/>
        <v>Sentencias Dictadas por Delitos Vinculados a la Mujer</v>
      </c>
      <c r="L459" s="75" t="str">
        <f t="shared" si="98"/>
        <v>Periodo 2013-2019</v>
      </c>
      <c r="M459" s="12" t="str">
        <f t="shared" si="98"/>
        <v>Número de sentencias</v>
      </c>
      <c r="N459" s="33" t="s">
        <v>5964</v>
      </c>
      <c r="O45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Arauco para el Periodo 2013-2019</v>
      </c>
      <c r="P459" s="42" t="s">
        <v>6302</v>
      </c>
      <c r="Q459" s="14" t="str">
        <f t="shared" si="93"/>
        <v>Gráfico de Evolución</v>
      </c>
      <c r="R459" s="27" t="s">
        <v>6266</v>
      </c>
      <c r="S459" s="15" t="s">
        <v>6854</v>
      </c>
      <c r="T459" s="65" t="s">
        <v>5914</v>
      </c>
      <c r="U459" s="24" t="s">
        <v>397</v>
      </c>
      <c r="V459" s="19" t="str">
        <f>+Ingresos_Historicos[[#This Row],[idcoleccion]]&amp;"-"&amp;Ingresos_Historicos[[#This Row],[id]]</f>
        <v>300-0449</v>
      </c>
      <c r="W459" s="19" t="e">
        <f>+VLOOKUP(Ingresos_Historicos[[#This Row],[Filtro URL]],Estructura!$X$4:$Y$366,2,0)</f>
        <v>#N/A</v>
      </c>
      <c r="X459" s="19" t="str">
        <f>+VLOOKUP(Ingresos_Historicos[[#This Row],[tema]],Estructura!$A$4:$C$18,3,0)</f>
        <v>T-310</v>
      </c>
      <c r="Y459" s="19" t="str">
        <f>+VLOOKUP(Ingresos_Historicos[[#This Row],[contenido]],Estructura!$E$4:$G$18,3,0)</f>
        <v>C-303</v>
      </c>
      <c r="Z459" s="19" t="str">
        <f>+VLOOKUP(Ingresos_Historicos[[#This Row],[Filtro Integrado]],Estructura!$M$4:$O$367,3,0)</f>
        <v>FI-303</v>
      </c>
      <c r="AA459" s="19" t="str">
        <f>+VLOOKUP(Ingresos_Historicos[[#This Row],[Muestra]],Estructura!$Q$4:$S$194,3,0)</f>
        <v>M-310</v>
      </c>
    </row>
    <row r="460" spans="1:27" ht="91.8" x14ac:dyDescent="0.3">
      <c r="A460" s="71" t="s">
        <v>846</v>
      </c>
      <c r="B460" s="12">
        <f t="shared" si="97"/>
        <v>300</v>
      </c>
      <c r="C460" s="13" t="str">
        <f t="shared" si="97"/>
        <v>Violencia contra la mujer</v>
      </c>
      <c r="D460" s="13" t="str">
        <f t="shared" si="97"/>
        <v>Mujeres</v>
      </c>
      <c r="E460" s="39">
        <v>38</v>
      </c>
      <c r="F460" s="13" t="s">
        <v>7581</v>
      </c>
      <c r="G460" s="13" t="s">
        <v>7576</v>
      </c>
      <c r="H460" s="38" t="s">
        <v>17</v>
      </c>
      <c r="I460" s="37" t="s">
        <v>179</v>
      </c>
      <c r="J460" s="12" t="s">
        <v>398</v>
      </c>
      <c r="K460" s="12" t="str">
        <f t="shared" si="98"/>
        <v>Sentencias Dictadas por Delitos Vinculados a la Mujer</v>
      </c>
      <c r="L460" s="75" t="str">
        <f t="shared" si="98"/>
        <v>Periodo 2013-2019</v>
      </c>
      <c r="M460" s="12" t="str">
        <f t="shared" si="98"/>
        <v>Número de sentencias</v>
      </c>
      <c r="N460" s="33" t="s">
        <v>5964</v>
      </c>
      <c r="O46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Cañete para el Periodo 2013-2019</v>
      </c>
      <c r="P460" s="42" t="s">
        <v>6303</v>
      </c>
      <c r="Q460" s="14" t="str">
        <f t="shared" si="93"/>
        <v>Gráfico de Evolución</v>
      </c>
      <c r="R460" s="27" t="s">
        <v>6266</v>
      </c>
      <c r="S460" s="15" t="s">
        <v>6855</v>
      </c>
      <c r="T460" s="65" t="s">
        <v>5914</v>
      </c>
      <c r="U460" s="24" t="s">
        <v>397</v>
      </c>
      <c r="V460" s="19" t="str">
        <f>+Ingresos_Historicos[[#This Row],[idcoleccion]]&amp;"-"&amp;Ingresos_Historicos[[#This Row],[id]]</f>
        <v>300-0450</v>
      </c>
      <c r="W460" s="19" t="e">
        <f>+VLOOKUP(Ingresos_Historicos[[#This Row],[Filtro URL]],Estructura!$X$4:$Y$366,2,0)</f>
        <v>#N/A</v>
      </c>
      <c r="X460" s="19" t="str">
        <f>+VLOOKUP(Ingresos_Historicos[[#This Row],[tema]],Estructura!$A$4:$C$18,3,0)</f>
        <v>T-310</v>
      </c>
      <c r="Y460" s="19" t="str">
        <f>+VLOOKUP(Ingresos_Historicos[[#This Row],[contenido]],Estructura!$E$4:$G$18,3,0)</f>
        <v>C-303</v>
      </c>
      <c r="Z460" s="19" t="str">
        <f>+VLOOKUP(Ingresos_Historicos[[#This Row],[Filtro Integrado]],Estructura!$M$4:$O$367,3,0)</f>
        <v>FI-303</v>
      </c>
      <c r="AA460" s="19" t="str">
        <f>+VLOOKUP(Ingresos_Historicos[[#This Row],[Muestra]],Estructura!$Q$4:$S$194,3,0)</f>
        <v>M-310</v>
      </c>
    </row>
    <row r="461" spans="1:27" ht="91.8" x14ac:dyDescent="0.3">
      <c r="A461" s="71" t="s">
        <v>847</v>
      </c>
      <c r="B461" s="12">
        <f t="shared" si="97"/>
        <v>300</v>
      </c>
      <c r="C461" s="13" t="str">
        <f t="shared" si="97"/>
        <v>Violencia contra la mujer</v>
      </c>
      <c r="D461" s="13" t="str">
        <f t="shared" si="97"/>
        <v>Mujeres</v>
      </c>
      <c r="E461" s="39">
        <v>39</v>
      </c>
      <c r="F461" s="13" t="s">
        <v>7581</v>
      </c>
      <c r="G461" s="13" t="s">
        <v>7576</v>
      </c>
      <c r="H461" s="38" t="s">
        <v>17</v>
      </c>
      <c r="I461" s="37" t="s">
        <v>167</v>
      </c>
      <c r="J461" s="12" t="s">
        <v>398</v>
      </c>
      <c r="K461" s="12" t="str">
        <f t="shared" si="98"/>
        <v>Sentencias Dictadas por Delitos Vinculados a la Mujer</v>
      </c>
      <c r="L461" s="75" t="str">
        <f t="shared" si="98"/>
        <v>Periodo 2013-2019</v>
      </c>
      <c r="M461" s="12" t="str">
        <f t="shared" si="98"/>
        <v>Número de sentencias</v>
      </c>
      <c r="N461" s="33" t="s">
        <v>5964</v>
      </c>
      <c r="O46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Chiguayante para el Periodo 2013-2019</v>
      </c>
      <c r="P461" s="42" t="s">
        <v>6304</v>
      </c>
      <c r="Q461" s="14" t="str">
        <f t="shared" si="93"/>
        <v>Gráfico de Evolución</v>
      </c>
      <c r="R461" s="27" t="s">
        <v>6266</v>
      </c>
      <c r="S461" s="15" t="s">
        <v>6856</v>
      </c>
      <c r="T461" s="65" t="s">
        <v>5914</v>
      </c>
      <c r="U461" s="24" t="s">
        <v>397</v>
      </c>
      <c r="V461" s="19" t="str">
        <f>+Ingresos_Historicos[[#This Row],[idcoleccion]]&amp;"-"&amp;Ingresos_Historicos[[#This Row],[id]]</f>
        <v>300-0451</v>
      </c>
      <c r="W461" s="19" t="e">
        <f>+VLOOKUP(Ingresos_Historicos[[#This Row],[Filtro URL]],Estructura!$X$4:$Y$366,2,0)</f>
        <v>#N/A</v>
      </c>
      <c r="X461" s="19" t="str">
        <f>+VLOOKUP(Ingresos_Historicos[[#This Row],[tema]],Estructura!$A$4:$C$18,3,0)</f>
        <v>T-310</v>
      </c>
      <c r="Y461" s="19" t="str">
        <f>+VLOOKUP(Ingresos_Historicos[[#This Row],[contenido]],Estructura!$E$4:$G$18,3,0)</f>
        <v>C-303</v>
      </c>
      <c r="Z461" s="19" t="str">
        <f>+VLOOKUP(Ingresos_Historicos[[#This Row],[Filtro Integrado]],Estructura!$M$4:$O$367,3,0)</f>
        <v>FI-303</v>
      </c>
      <c r="AA461" s="19" t="str">
        <f>+VLOOKUP(Ingresos_Historicos[[#This Row],[Muestra]],Estructura!$Q$4:$S$194,3,0)</f>
        <v>M-310</v>
      </c>
    </row>
    <row r="462" spans="1:27" ht="91.8" x14ac:dyDescent="0.3">
      <c r="A462" s="71" t="s">
        <v>848</v>
      </c>
      <c r="B462" s="12">
        <f t="shared" si="97"/>
        <v>300</v>
      </c>
      <c r="C462" s="13" t="str">
        <f t="shared" si="97"/>
        <v>Violencia contra la mujer</v>
      </c>
      <c r="D462" s="13" t="str">
        <f t="shared" si="97"/>
        <v>Mujeres</v>
      </c>
      <c r="E462" s="39">
        <v>40</v>
      </c>
      <c r="F462" s="13" t="s">
        <v>7581</v>
      </c>
      <c r="G462" s="13" t="s">
        <v>7576</v>
      </c>
      <c r="H462" s="38" t="s">
        <v>17</v>
      </c>
      <c r="I462" s="37" t="s">
        <v>6051</v>
      </c>
      <c r="J462" s="12" t="s">
        <v>398</v>
      </c>
      <c r="K462" s="12" t="str">
        <f t="shared" si="98"/>
        <v>Sentencias Dictadas por Delitos Vinculados a la Mujer</v>
      </c>
      <c r="L462" s="75" t="str">
        <f t="shared" si="98"/>
        <v>Periodo 2013-2019</v>
      </c>
      <c r="M462" s="12" t="str">
        <f t="shared" si="98"/>
        <v>Número de sentencias</v>
      </c>
      <c r="N462" s="33" t="s">
        <v>5964</v>
      </c>
      <c r="O46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Concepcion para el Periodo 2013-2019</v>
      </c>
      <c r="P462" s="42" t="s">
        <v>6305</v>
      </c>
      <c r="Q462" s="14" t="str">
        <f t="shared" si="93"/>
        <v>Gráfico de Evolución</v>
      </c>
      <c r="R462" s="27" t="s">
        <v>6266</v>
      </c>
      <c r="S462" s="15" t="s">
        <v>6857</v>
      </c>
      <c r="T462" s="65" t="s">
        <v>5914</v>
      </c>
      <c r="U462" s="24" t="s">
        <v>397</v>
      </c>
      <c r="V462" s="19" t="str">
        <f>+Ingresos_Historicos[[#This Row],[idcoleccion]]&amp;"-"&amp;Ingresos_Historicos[[#This Row],[id]]</f>
        <v>300-0452</v>
      </c>
      <c r="W462" s="19" t="e">
        <f>+VLOOKUP(Ingresos_Historicos[[#This Row],[Filtro URL]],Estructura!$X$4:$Y$366,2,0)</f>
        <v>#N/A</v>
      </c>
      <c r="X462" s="19" t="str">
        <f>+VLOOKUP(Ingresos_Historicos[[#This Row],[tema]],Estructura!$A$4:$C$18,3,0)</f>
        <v>T-310</v>
      </c>
      <c r="Y462" s="19" t="str">
        <f>+VLOOKUP(Ingresos_Historicos[[#This Row],[contenido]],Estructura!$E$4:$G$18,3,0)</f>
        <v>C-303</v>
      </c>
      <c r="Z462" s="19" t="str">
        <f>+VLOOKUP(Ingresos_Historicos[[#This Row],[Filtro Integrado]],Estructura!$M$4:$O$367,3,0)</f>
        <v>FI-303</v>
      </c>
      <c r="AA462" s="19" t="str">
        <f>+VLOOKUP(Ingresos_Historicos[[#This Row],[Muestra]],Estructura!$Q$4:$S$194,3,0)</f>
        <v>M-310</v>
      </c>
    </row>
    <row r="463" spans="1:27" ht="91.8" x14ac:dyDescent="0.3">
      <c r="A463" s="71" t="s">
        <v>849</v>
      </c>
      <c r="B463" s="12">
        <f t="shared" si="97"/>
        <v>300</v>
      </c>
      <c r="C463" s="13" t="str">
        <f t="shared" si="97"/>
        <v>Violencia contra la mujer</v>
      </c>
      <c r="D463" s="13" t="str">
        <f t="shared" si="97"/>
        <v>Mujeres</v>
      </c>
      <c r="E463" s="39">
        <v>41</v>
      </c>
      <c r="F463" s="13" t="s">
        <v>7581</v>
      </c>
      <c r="G463" s="13" t="s">
        <v>7576</v>
      </c>
      <c r="H463" s="38" t="s">
        <v>17</v>
      </c>
      <c r="I463" s="37" t="s">
        <v>166</v>
      </c>
      <c r="J463" s="12" t="s">
        <v>398</v>
      </c>
      <c r="K463" s="12" t="str">
        <f t="shared" si="98"/>
        <v>Sentencias Dictadas por Delitos Vinculados a la Mujer</v>
      </c>
      <c r="L463" s="75" t="str">
        <f t="shared" si="98"/>
        <v>Periodo 2013-2019</v>
      </c>
      <c r="M463" s="12" t="str">
        <f t="shared" si="98"/>
        <v>Número de sentencias</v>
      </c>
      <c r="N463" s="33" t="s">
        <v>5964</v>
      </c>
      <c r="O46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Coronel para el Periodo 2013-2019</v>
      </c>
      <c r="P463" s="42" t="s">
        <v>6306</v>
      </c>
      <c r="Q463" s="14" t="str">
        <f t="shared" si="93"/>
        <v>Gráfico de Evolución</v>
      </c>
      <c r="R463" s="27" t="s">
        <v>6266</v>
      </c>
      <c r="S463" s="15" t="s">
        <v>6858</v>
      </c>
      <c r="T463" s="65" t="s">
        <v>5914</v>
      </c>
      <c r="U463" s="24" t="s">
        <v>397</v>
      </c>
      <c r="V463" s="19" t="str">
        <f>+Ingresos_Historicos[[#This Row],[idcoleccion]]&amp;"-"&amp;Ingresos_Historicos[[#This Row],[id]]</f>
        <v>300-0453</v>
      </c>
      <c r="W463" s="19" t="e">
        <f>+VLOOKUP(Ingresos_Historicos[[#This Row],[Filtro URL]],Estructura!$X$4:$Y$366,2,0)</f>
        <v>#N/A</v>
      </c>
      <c r="X463" s="19" t="str">
        <f>+VLOOKUP(Ingresos_Historicos[[#This Row],[tema]],Estructura!$A$4:$C$18,3,0)</f>
        <v>T-310</v>
      </c>
      <c r="Y463" s="19" t="str">
        <f>+VLOOKUP(Ingresos_Historicos[[#This Row],[contenido]],Estructura!$E$4:$G$18,3,0)</f>
        <v>C-303</v>
      </c>
      <c r="Z463" s="19" t="str">
        <f>+VLOOKUP(Ingresos_Historicos[[#This Row],[Filtro Integrado]],Estructura!$M$4:$O$367,3,0)</f>
        <v>FI-303</v>
      </c>
      <c r="AA463" s="19" t="str">
        <f>+VLOOKUP(Ingresos_Historicos[[#This Row],[Muestra]],Estructura!$Q$4:$S$194,3,0)</f>
        <v>M-310</v>
      </c>
    </row>
    <row r="464" spans="1:27" ht="91.8" x14ac:dyDescent="0.3">
      <c r="A464" s="71" t="s">
        <v>850</v>
      </c>
      <c r="B464" s="12">
        <f t="shared" si="97"/>
        <v>300</v>
      </c>
      <c r="C464" s="13" t="str">
        <f t="shared" si="97"/>
        <v>Violencia contra la mujer</v>
      </c>
      <c r="D464" s="13" t="str">
        <f t="shared" si="97"/>
        <v>Mujeres</v>
      </c>
      <c r="E464" s="39">
        <v>42</v>
      </c>
      <c r="F464" s="13" t="s">
        <v>7581</v>
      </c>
      <c r="G464" s="13" t="s">
        <v>7576</v>
      </c>
      <c r="H464" s="38" t="s">
        <v>17</v>
      </c>
      <c r="I464" s="37" t="s">
        <v>184</v>
      </c>
      <c r="J464" s="12" t="s">
        <v>398</v>
      </c>
      <c r="K464" s="12" t="str">
        <f t="shared" si="98"/>
        <v>Sentencias Dictadas por Delitos Vinculados a la Mujer</v>
      </c>
      <c r="L464" s="75" t="str">
        <f t="shared" si="98"/>
        <v>Periodo 2013-2019</v>
      </c>
      <c r="M464" s="12" t="str">
        <f t="shared" si="98"/>
        <v>Número de sentencias</v>
      </c>
      <c r="N464" s="33" t="s">
        <v>5964</v>
      </c>
      <c r="O46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Los Angeles para el Periodo 2013-2019</v>
      </c>
      <c r="P464" s="42" t="s">
        <v>6307</v>
      </c>
      <c r="Q464" s="14" t="str">
        <f t="shared" si="93"/>
        <v>Gráfico de Evolución</v>
      </c>
      <c r="R464" s="27" t="s">
        <v>6266</v>
      </c>
      <c r="S464" s="15" t="s">
        <v>6859</v>
      </c>
      <c r="T464" s="65" t="s">
        <v>5914</v>
      </c>
      <c r="U464" s="24" t="s">
        <v>397</v>
      </c>
      <c r="V464" s="19" t="str">
        <f>+Ingresos_Historicos[[#This Row],[idcoleccion]]&amp;"-"&amp;Ingresos_Historicos[[#This Row],[id]]</f>
        <v>300-0454</v>
      </c>
      <c r="W464" s="19" t="e">
        <f>+VLOOKUP(Ingresos_Historicos[[#This Row],[Filtro URL]],Estructura!$X$4:$Y$366,2,0)</f>
        <v>#N/A</v>
      </c>
      <c r="X464" s="19" t="str">
        <f>+VLOOKUP(Ingresos_Historicos[[#This Row],[tema]],Estructura!$A$4:$C$18,3,0)</f>
        <v>T-310</v>
      </c>
      <c r="Y464" s="19" t="str">
        <f>+VLOOKUP(Ingresos_Historicos[[#This Row],[contenido]],Estructura!$E$4:$G$18,3,0)</f>
        <v>C-303</v>
      </c>
      <c r="Z464" s="19" t="str">
        <f>+VLOOKUP(Ingresos_Historicos[[#This Row],[Filtro Integrado]],Estructura!$M$4:$O$367,3,0)</f>
        <v>FI-303</v>
      </c>
      <c r="AA464" s="19" t="str">
        <f>+VLOOKUP(Ingresos_Historicos[[#This Row],[Muestra]],Estructura!$Q$4:$S$194,3,0)</f>
        <v>M-310</v>
      </c>
    </row>
    <row r="465" spans="1:27" ht="91.8" x14ac:dyDescent="0.3">
      <c r="A465" s="71" t="s">
        <v>851</v>
      </c>
      <c r="B465" s="12">
        <f t="shared" si="97"/>
        <v>300</v>
      </c>
      <c r="C465" s="13" t="str">
        <f t="shared" si="97"/>
        <v>Violencia contra la mujer</v>
      </c>
      <c r="D465" s="13" t="str">
        <f t="shared" si="97"/>
        <v>Mujeres</v>
      </c>
      <c r="E465" s="39">
        <v>43</v>
      </c>
      <c r="F465" s="13" t="s">
        <v>7581</v>
      </c>
      <c r="G465" s="13" t="s">
        <v>7576</v>
      </c>
      <c r="H465" s="38" t="s">
        <v>17</v>
      </c>
      <c r="I465" s="37" t="s">
        <v>174</v>
      </c>
      <c r="J465" s="12" t="s">
        <v>398</v>
      </c>
      <c r="K465" s="12" t="str">
        <f t="shared" si="98"/>
        <v>Sentencias Dictadas por Delitos Vinculados a la Mujer</v>
      </c>
      <c r="L465" s="75" t="str">
        <f t="shared" si="98"/>
        <v>Periodo 2013-2019</v>
      </c>
      <c r="M465" s="12" t="str">
        <f t="shared" si="98"/>
        <v>Número de sentencias</v>
      </c>
      <c r="N465" s="33" t="s">
        <v>5964</v>
      </c>
      <c r="O46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Talcahuano para el Periodo 2013-2019</v>
      </c>
      <c r="P465" s="42" t="s">
        <v>6308</v>
      </c>
      <c r="Q465" s="14" t="str">
        <f t="shared" si="93"/>
        <v>Gráfico de Evolución</v>
      </c>
      <c r="R465" s="27" t="s">
        <v>6266</v>
      </c>
      <c r="S465" s="15" t="s">
        <v>6860</v>
      </c>
      <c r="T465" s="65" t="s">
        <v>5914</v>
      </c>
      <c r="U465" s="24" t="s">
        <v>397</v>
      </c>
      <c r="V465" s="19" t="str">
        <f>+Ingresos_Historicos[[#This Row],[idcoleccion]]&amp;"-"&amp;Ingresos_Historicos[[#This Row],[id]]</f>
        <v>300-0455</v>
      </c>
      <c r="W465" s="19" t="e">
        <f>+VLOOKUP(Ingresos_Historicos[[#This Row],[Filtro URL]],Estructura!$X$4:$Y$366,2,0)</f>
        <v>#N/A</v>
      </c>
      <c r="X465" s="19" t="str">
        <f>+VLOOKUP(Ingresos_Historicos[[#This Row],[tema]],Estructura!$A$4:$C$18,3,0)</f>
        <v>T-310</v>
      </c>
      <c r="Y465" s="19" t="str">
        <f>+VLOOKUP(Ingresos_Historicos[[#This Row],[contenido]],Estructura!$E$4:$G$18,3,0)</f>
        <v>C-303</v>
      </c>
      <c r="Z465" s="19" t="str">
        <f>+VLOOKUP(Ingresos_Historicos[[#This Row],[Filtro Integrado]],Estructura!$M$4:$O$367,3,0)</f>
        <v>FI-303</v>
      </c>
      <c r="AA465" s="19" t="str">
        <f>+VLOOKUP(Ingresos_Historicos[[#This Row],[Muestra]],Estructura!$Q$4:$S$194,3,0)</f>
        <v>M-310</v>
      </c>
    </row>
    <row r="466" spans="1:27" ht="91.8" x14ac:dyDescent="0.3">
      <c r="A466" s="71" t="s">
        <v>852</v>
      </c>
      <c r="B466" s="12">
        <f t="shared" si="97"/>
        <v>300</v>
      </c>
      <c r="C466" s="13" t="str">
        <f t="shared" si="97"/>
        <v>Violencia contra la mujer</v>
      </c>
      <c r="D466" s="13" t="str">
        <f t="shared" si="97"/>
        <v>Mujeres</v>
      </c>
      <c r="E466" s="39">
        <v>44</v>
      </c>
      <c r="F466" s="13" t="s">
        <v>7581</v>
      </c>
      <c r="G466" s="13" t="s">
        <v>7576</v>
      </c>
      <c r="H466" s="38" t="s">
        <v>17</v>
      </c>
      <c r="I466" s="37" t="s">
        <v>6056</v>
      </c>
      <c r="J466" s="12" t="s">
        <v>398</v>
      </c>
      <c r="K466" s="12" t="str">
        <f t="shared" si="98"/>
        <v>Sentencias Dictadas por Delitos Vinculados a la Mujer</v>
      </c>
      <c r="L466" s="75" t="str">
        <f t="shared" si="98"/>
        <v>Periodo 2013-2019</v>
      </c>
      <c r="M466" s="12" t="str">
        <f t="shared" si="98"/>
        <v>Número de sentencias</v>
      </c>
      <c r="N466" s="33" t="s">
        <v>5964</v>
      </c>
      <c r="O46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Tome para el Periodo 2013-2019</v>
      </c>
      <c r="P466" s="42" t="s">
        <v>6309</v>
      </c>
      <c r="Q466" s="14" t="str">
        <f t="shared" si="93"/>
        <v>Gráfico de Evolución</v>
      </c>
      <c r="R466" s="27" t="s">
        <v>6266</v>
      </c>
      <c r="S466" s="15" t="s">
        <v>6861</v>
      </c>
      <c r="T466" s="65" t="s">
        <v>5914</v>
      </c>
      <c r="U466" s="24" t="s">
        <v>397</v>
      </c>
      <c r="V466" s="19" t="str">
        <f>+Ingresos_Historicos[[#This Row],[idcoleccion]]&amp;"-"&amp;Ingresos_Historicos[[#This Row],[id]]</f>
        <v>300-0456</v>
      </c>
      <c r="W466" s="19" t="e">
        <f>+VLOOKUP(Ingresos_Historicos[[#This Row],[Filtro URL]],Estructura!$X$4:$Y$366,2,0)</f>
        <v>#N/A</v>
      </c>
      <c r="X466" s="19" t="str">
        <f>+VLOOKUP(Ingresos_Historicos[[#This Row],[tema]],Estructura!$A$4:$C$18,3,0)</f>
        <v>T-310</v>
      </c>
      <c r="Y466" s="19" t="str">
        <f>+VLOOKUP(Ingresos_Historicos[[#This Row],[contenido]],Estructura!$E$4:$G$18,3,0)</f>
        <v>C-303</v>
      </c>
      <c r="Z466" s="19" t="str">
        <f>+VLOOKUP(Ingresos_Historicos[[#This Row],[Filtro Integrado]],Estructura!$M$4:$O$367,3,0)</f>
        <v>FI-303</v>
      </c>
      <c r="AA466" s="19" t="str">
        <f>+VLOOKUP(Ingresos_Historicos[[#This Row],[Muestra]],Estructura!$Q$4:$S$194,3,0)</f>
        <v>M-310</v>
      </c>
    </row>
    <row r="467" spans="1:27" ht="91.8" x14ac:dyDescent="0.3">
      <c r="A467" s="71" t="s">
        <v>853</v>
      </c>
      <c r="B467" s="12">
        <f t="shared" si="97"/>
        <v>300</v>
      </c>
      <c r="C467" s="13" t="str">
        <f t="shared" si="97"/>
        <v>Violencia contra la mujer</v>
      </c>
      <c r="D467" s="13" t="str">
        <f t="shared" si="97"/>
        <v>Mujeres</v>
      </c>
      <c r="E467" s="39">
        <v>45</v>
      </c>
      <c r="F467" s="13" t="s">
        <v>7581</v>
      </c>
      <c r="G467" s="13" t="s">
        <v>7576</v>
      </c>
      <c r="H467" s="38" t="s">
        <v>17</v>
      </c>
      <c r="I467" s="37" t="s">
        <v>240</v>
      </c>
      <c r="J467" s="12" t="s">
        <v>398</v>
      </c>
      <c r="K467" s="12" t="str">
        <f t="shared" si="98"/>
        <v>Sentencias Dictadas por Delitos Vinculados a la Mujer</v>
      </c>
      <c r="L467" s="75" t="str">
        <f t="shared" si="98"/>
        <v>Periodo 2013-2019</v>
      </c>
      <c r="M467" s="12" t="str">
        <f t="shared" si="98"/>
        <v>Número de sentencias</v>
      </c>
      <c r="N467" s="33" t="s">
        <v>5964</v>
      </c>
      <c r="O46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Angol para el Periodo 2013-2019</v>
      </c>
      <c r="P467" s="42" t="s">
        <v>6310</v>
      </c>
      <c r="Q467" s="14" t="str">
        <f t="shared" si="93"/>
        <v>Gráfico de Evolución</v>
      </c>
      <c r="R467" s="27" t="s">
        <v>6266</v>
      </c>
      <c r="S467" s="15" t="s">
        <v>6862</v>
      </c>
      <c r="T467" s="65" t="s">
        <v>5915</v>
      </c>
      <c r="U467" s="24" t="s">
        <v>397</v>
      </c>
      <c r="V467" s="19" t="str">
        <f>+Ingresos_Historicos[[#This Row],[idcoleccion]]&amp;"-"&amp;Ingresos_Historicos[[#This Row],[id]]</f>
        <v>300-0457</v>
      </c>
      <c r="W467" s="19" t="e">
        <f>+VLOOKUP(Ingresos_Historicos[[#This Row],[Filtro URL]],Estructura!$X$4:$Y$366,2,0)</f>
        <v>#N/A</v>
      </c>
      <c r="X467" s="19" t="str">
        <f>+VLOOKUP(Ingresos_Historicos[[#This Row],[tema]],Estructura!$A$4:$C$18,3,0)</f>
        <v>T-310</v>
      </c>
      <c r="Y467" s="19" t="str">
        <f>+VLOOKUP(Ingresos_Historicos[[#This Row],[contenido]],Estructura!$E$4:$G$18,3,0)</f>
        <v>C-303</v>
      </c>
      <c r="Z467" s="19" t="str">
        <f>+VLOOKUP(Ingresos_Historicos[[#This Row],[Filtro Integrado]],Estructura!$M$4:$O$367,3,0)</f>
        <v>FI-303</v>
      </c>
      <c r="AA467" s="19" t="str">
        <f>+VLOOKUP(Ingresos_Historicos[[#This Row],[Muestra]],Estructura!$Q$4:$S$194,3,0)</f>
        <v>M-310</v>
      </c>
    </row>
    <row r="468" spans="1:27" ht="91.8" x14ac:dyDescent="0.3">
      <c r="A468" s="71" t="s">
        <v>854</v>
      </c>
      <c r="B468" s="12">
        <f t="shared" si="97"/>
        <v>300</v>
      </c>
      <c r="C468" s="13" t="str">
        <f t="shared" si="97"/>
        <v>Violencia contra la mujer</v>
      </c>
      <c r="D468" s="13" t="str">
        <f t="shared" si="97"/>
        <v>Mujeres</v>
      </c>
      <c r="E468" s="39">
        <v>46</v>
      </c>
      <c r="F468" s="13" t="s">
        <v>7581</v>
      </c>
      <c r="G468" s="13" t="s">
        <v>7576</v>
      </c>
      <c r="H468" s="38" t="s">
        <v>17</v>
      </c>
      <c r="I468" s="37" t="s">
        <v>226</v>
      </c>
      <c r="J468" s="12" t="s">
        <v>398</v>
      </c>
      <c r="K468" s="12" t="str">
        <f t="shared" si="98"/>
        <v>Sentencias Dictadas por Delitos Vinculados a la Mujer</v>
      </c>
      <c r="L468" s="75" t="str">
        <f t="shared" si="98"/>
        <v>Periodo 2013-2019</v>
      </c>
      <c r="M468" s="12" t="str">
        <f t="shared" si="98"/>
        <v>Número de sentencias</v>
      </c>
      <c r="N468" s="33" t="s">
        <v>5964</v>
      </c>
      <c r="O46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Lautaro para el Periodo 2013-2019</v>
      </c>
      <c r="P468" s="42" t="s">
        <v>6311</v>
      </c>
      <c r="Q468" s="14" t="str">
        <f t="shared" si="93"/>
        <v>Gráfico de Evolución</v>
      </c>
      <c r="R468" s="27" t="s">
        <v>6266</v>
      </c>
      <c r="S468" s="15" t="s">
        <v>6863</v>
      </c>
      <c r="T468" s="65" t="s">
        <v>5915</v>
      </c>
      <c r="U468" s="24" t="s">
        <v>397</v>
      </c>
      <c r="V468" s="19" t="str">
        <f>+Ingresos_Historicos[[#This Row],[idcoleccion]]&amp;"-"&amp;Ingresos_Historicos[[#This Row],[id]]</f>
        <v>300-0458</v>
      </c>
      <c r="W468" s="19" t="e">
        <f>+VLOOKUP(Ingresos_Historicos[[#This Row],[Filtro URL]],Estructura!$X$4:$Y$366,2,0)</f>
        <v>#N/A</v>
      </c>
      <c r="X468" s="19" t="str">
        <f>+VLOOKUP(Ingresos_Historicos[[#This Row],[tema]],Estructura!$A$4:$C$18,3,0)</f>
        <v>T-310</v>
      </c>
      <c r="Y468" s="19" t="str">
        <f>+VLOOKUP(Ingresos_Historicos[[#This Row],[contenido]],Estructura!$E$4:$G$18,3,0)</f>
        <v>C-303</v>
      </c>
      <c r="Z468" s="19" t="str">
        <f>+VLOOKUP(Ingresos_Historicos[[#This Row],[Filtro Integrado]],Estructura!$M$4:$O$367,3,0)</f>
        <v>FI-303</v>
      </c>
      <c r="AA468" s="19" t="str">
        <f>+VLOOKUP(Ingresos_Historicos[[#This Row],[Muestra]],Estructura!$Q$4:$S$194,3,0)</f>
        <v>M-310</v>
      </c>
    </row>
    <row r="469" spans="1:27" ht="91.8" x14ac:dyDescent="0.3">
      <c r="A469" s="71" t="s">
        <v>855</v>
      </c>
      <c r="B469" s="12">
        <f t="shared" si="97"/>
        <v>300</v>
      </c>
      <c r="C469" s="13" t="str">
        <f t="shared" si="97"/>
        <v>Violencia contra la mujer</v>
      </c>
      <c r="D469" s="13" t="str">
        <f t="shared" si="97"/>
        <v>Mujeres</v>
      </c>
      <c r="E469" s="39">
        <v>47</v>
      </c>
      <c r="F469" s="13" t="s">
        <v>7581</v>
      </c>
      <c r="G469" s="13" t="s">
        <v>7576</v>
      </c>
      <c r="H469" s="38" t="s">
        <v>17</v>
      </c>
      <c r="I469" s="37" t="s">
        <v>227</v>
      </c>
      <c r="J469" s="12" t="s">
        <v>398</v>
      </c>
      <c r="K469" s="12" t="str">
        <f t="shared" si="98"/>
        <v>Sentencias Dictadas por Delitos Vinculados a la Mujer</v>
      </c>
      <c r="L469" s="75" t="str">
        <f t="shared" si="98"/>
        <v>Periodo 2013-2019</v>
      </c>
      <c r="M469" s="12" t="str">
        <f t="shared" si="98"/>
        <v>Número de sentencias</v>
      </c>
      <c r="N469" s="33" t="s">
        <v>5964</v>
      </c>
      <c r="O46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Loncoche para el Periodo 2013-2019</v>
      </c>
      <c r="P469" s="42" t="s">
        <v>6312</v>
      </c>
      <c r="Q469" s="14" t="str">
        <f t="shared" si="93"/>
        <v>Gráfico de Evolución</v>
      </c>
      <c r="R469" s="27" t="s">
        <v>6266</v>
      </c>
      <c r="S469" s="15" t="s">
        <v>6864</v>
      </c>
      <c r="T469" s="65" t="s">
        <v>5915</v>
      </c>
      <c r="U469" s="24" t="s">
        <v>397</v>
      </c>
      <c r="V469" s="19" t="str">
        <f>+Ingresos_Historicos[[#This Row],[idcoleccion]]&amp;"-"&amp;Ingresos_Historicos[[#This Row],[id]]</f>
        <v>300-0459</v>
      </c>
      <c r="W469" s="19" t="e">
        <f>+VLOOKUP(Ingresos_Historicos[[#This Row],[Filtro URL]],Estructura!$X$4:$Y$366,2,0)</f>
        <v>#N/A</v>
      </c>
      <c r="X469" s="19" t="str">
        <f>+VLOOKUP(Ingresos_Historicos[[#This Row],[tema]],Estructura!$A$4:$C$18,3,0)</f>
        <v>T-310</v>
      </c>
      <c r="Y469" s="19" t="str">
        <f>+VLOOKUP(Ingresos_Historicos[[#This Row],[contenido]],Estructura!$E$4:$G$18,3,0)</f>
        <v>C-303</v>
      </c>
      <c r="Z469" s="19" t="str">
        <f>+VLOOKUP(Ingresos_Historicos[[#This Row],[Filtro Integrado]],Estructura!$M$4:$O$367,3,0)</f>
        <v>FI-303</v>
      </c>
      <c r="AA469" s="19" t="str">
        <f>+VLOOKUP(Ingresos_Historicos[[#This Row],[Muestra]],Estructura!$Q$4:$S$194,3,0)</f>
        <v>M-310</v>
      </c>
    </row>
    <row r="470" spans="1:27" ht="91.8" x14ac:dyDescent="0.3">
      <c r="A470" s="71" t="s">
        <v>856</v>
      </c>
      <c r="B470" s="12">
        <f t="shared" ref="B470:D485" si="99">+B469</f>
        <v>300</v>
      </c>
      <c r="C470" s="13" t="str">
        <f t="shared" si="99"/>
        <v>Violencia contra la mujer</v>
      </c>
      <c r="D470" s="13" t="str">
        <f t="shared" si="99"/>
        <v>Mujeres</v>
      </c>
      <c r="E470" s="39">
        <v>48</v>
      </c>
      <c r="F470" s="13" t="s">
        <v>7581</v>
      </c>
      <c r="G470" s="13" t="s">
        <v>7576</v>
      </c>
      <c r="H470" s="38" t="s">
        <v>17</v>
      </c>
      <c r="I470" s="37" t="s">
        <v>229</v>
      </c>
      <c r="J470" s="12" t="s">
        <v>398</v>
      </c>
      <c r="K470" s="12" t="str">
        <f t="shared" si="98"/>
        <v>Sentencias Dictadas por Delitos Vinculados a la Mujer</v>
      </c>
      <c r="L470" s="75" t="str">
        <f t="shared" si="98"/>
        <v>Periodo 2013-2019</v>
      </c>
      <c r="M470" s="12" t="str">
        <f t="shared" si="98"/>
        <v>Número de sentencias</v>
      </c>
      <c r="N470" s="33" t="s">
        <v>5964</v>
      </c>
      <c r="O47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Nueva Imperial para el Periodo 2013-2019</v>
      </c>
      <c r="P470" s="42" t="s">
        <v>6313</v>
      </c>
      <c r="Q470" s="14" t="str">
        <f t="shared" si="93"/>
        <v>Gráfico de Evolución</v>
      </c>
      <c r="R470" s="27" t="s">
        <v>6266</v>
      </c>
      <c r="S470" s="15" t="s">
        <v>6865</v>
      </c>
      <c r="T470" s="65" t="s">
        <v>5915</v>
      </c>
      <c r="U470" s="24" t="s">
        <v>397</v>
      </c>
      <c r="V470" s="19" t="str">
        <f>+Ingresos_Historicos[[#This Row],[idcoleccion]]&amp;"-"&amp;Ingresos_Historicos[[#This Row],[id]]</f>
        <v>300-0460</v>
      </c>
      <c r="W470" s="19" t="e">
        <f>+VLOOKUP(Ingresos_Historicos[[#This Row],[Filtro URL]],Estructura!$X$4:$Y$366,2,0)</f>
        <v>#N/A</v>
      </c>
      <c r="X470" s="19" t="str">
        <f>+VLOOKUP(Ingresos_Historicos[[#This Row],[tema]],Estructura!$A$4:$C$18,3,0)</f>
        <v>T-310</v>
      </c>
      <c r="Y470" s="19" t="str">
        <f>+VLOOKUP(Ingresos_Historicos[[#This Row],[contenido]],Estructura!$E$4:$G$18,3,0)</f>
        <v>C-303</v>
      </c>
      <c r="Z470" s="19" t="str">
        <f>+VLOOKUP(Ingresos_Historicos[[#This Row],[Filtro Integrado]],Estructura!$M$4:$O$367,3,0)</f>
        <v>FI-303</v>
      </c>
      <c r="AA470" s="19" t="str">
        <f>+VLOOKUP(Ingresos_Historicos[[#This Row],[Muestra]],Estructura!$Q$4:$S$194,3,0)</f>
        <v>M-310</v>
      </c>
    </row>
    <row r="471" spans="1:27" ht="91.8" x14ac:dyDescent="0.3">
      <c r="A471" s="71" t="s">
        <v>857</v>
      </c>
      <c r="B471" s="12">
        <f t="shared" si="99"/>
        <v>300</v>
      </c>
      <c r="C471" s="13" t="str">
        <f t="shared" si="99"/>
        <v>Violencia contra la mujer</v>
      </c>
      <c r="D471" s="13" t="str">
        <f t="shared" si="99"/>
        <v>Mujeres</v>
      </c>
      <c r="E471" s="39">
        <v>49</v>
      </c>
      <c r="F471" s="13" t="s">
        <v>7581</v>
      </c>
      <c r="G471" s="13" t="s">
        <v>7576</v>
      </c>
      <c r="H471" s="38" t="s">
        <v>17</v>
      </c>
      <c r="I471" s="37" t="s">
        <v>6062</v>
      </c>
      <c r="J471" s="12" t="s">
        <v>398</v>
      </c>
      <c r="K471" s="12" t="str">
        <f t="shared" si="98"/>
        <v>Sentencias Dictadas por Delitos Vinculados a la Mujer</v>
      </c>
      <c r="L471" s="75" t="str">
        <f t="shared" si="98"/>
        <v>Periodo 2013-2019</v>
      </c>
      <c r="M471" s="12" t="str">
        <f t="shared" si="98"/>
        <v>Número de sentencias</v>
      </c>
      <c r="N471" s="33" t="s">
        <v>5964</v>
      </c>
      <c r="O47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Pitrufquen para el Periodo 2013-2019</v>
      </c>
      <c r="P471" s="42" t="s">
        <v>6314</v>
      </c>
      <c r="Q471" s="14" t="str">
        <f t="shared" si="93"/>
        <v>Gráfico de Evolución</v>
      </c>
      <c r="R471" s="27" t="s">
        <v>6266</v>
      </c>
      <c r="S471" s="15" t="s">
        <v>6866</v>
      </c>
      <c r="T471" s="65" t="s">
        <v>5915</v>
      </c>
      <c r="U471" s="24" t="s">
        <v>397</v>
      </c>
      <c r="V471" s="19" t="str">
        <f>+Ingresos_Historicos[[#This Row],[idcoleccion]]&amp;"-"&amp;Ingresos_Historicos[[#This Row],[id]]</f>
        <v>300-0461</v>
      </c>
      <c r="W471" s="19" t="e">
        <f>+VLOOKUP(Ingresos_Historicos[[#This Row],[Filtro URL]],Estructura!$X$4:$Y$366,2,0)</f>
        <v>#N/A</v>
      </c>
      <c r="X471" s="19" t="str">
        <f>+VLOOKUP(Ingresos_Historicos[[#This Row],[tema]],Estructura!$A$4:$C$18,3,0)</f>
        <v>T-310</v>
      </c>
      <c r="Y471" s="19" t="str">
        <f>+VLOOKUP(Ingresos_Historicos[[#This Row],[contenido]],Estructura!$E$4:$G$18,3,0)</f>
        <v>C-303</v>
      </c>
      <c r="Z471" s="19" t="str">
        <f>+VLOOKUP(Ingresos_Historicos[[#This Row],[Filtro Integrado]],Estructura!$M$4:$O$367,3,0)</f>
        <v>FI-303</v>
      </c>
      <c r="AA471" s="19" t="str">
        <f>+VLOOKUP(Ingresos_Historicos[[#This Row],[Muestra]],Estructura!$Q$4:$S$194,3,0)</f>
        <v>M-310</v>
      </c>
    </row>
    <row r="472" spans="1:27" ht="91.8" x14ac:dyDescent="0.3">
      <c r="A472" s="71" t="s">
        <v>858</v>
      </c>
      <c r="B472" s="12">
        <f t="shared" si="99"/>
        <v>300</v>
      </c>
      <c r="C472" s="13" t="str">
        <f t="shared" si="99"/>
        <v>Violencia contra la mujer</v>
      </c>
      <c r="D472" s="13" t="str">
        <f t="shared" si="99"/>
        <v>Mujeres</v>
      </c>
      <c r="E472" s="39">
        <v>50</v>
      </c>
      <c r="F472" s="13" t="s">
        <v>7581</v>
      </c>
      <c r="G472" s="13" t="s">
        <v>7576</v>
      </c>
      <c r="H472" s="38" t="s">
        <v>17</v>
      </c>
      <c r="I472" s="37" t="s">
        <v>219</v>
      </c>
      <c r="J472" s="12" t="s">
        <v>398</v>
      </c>
      <c r="K472" s="12" t="str">
        <f t="shared" ref="K472:M487" si="100">+K471</f>
        <v>Sentencias Dictadas por Delitos Vinculados a la Mujer</v>
      </c>
      <c r="L472" s="75" t="str">
        <f t="shared" si="100"/>
        <v>Periodo 2013-2019</v>
      </c>
      <c r="M472" s="12" t="str">
        <f t="shared" si="100"/>
        <v>Número de sentencias</v>
      </c>
      <c r="N472" s="33" t="s">
        <v>5964</v>
      </c>
      <c r="O47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Temuco para el Periodo 2013-2019</v>
      </c>
      <c r="P472" s="42" t="s">
        <v>6315</v>
      </c>
      <c r="Q472" s="14" t="str">
        <f t="shared" si="93"/>
        <v>Gráfico de Evolución</v>
      </c>
      <c r="R472" s="27" t="s">
        <v>6266</v>
      </c>
      <c r="S472" s="15" t="s">
        <v>6867</v>
      </c>
      <c r="T472" s="65" t="s">
        <v>5915</v>
      </c>
      <c r="U472" s="24" t="s">
        <v>397</v>
      </c>
      <c r="V472" s="19" t="str">
        <f>+Ingresos_Historicos[[#This Row],[idcoleccion]]&amp;"-"&amp;Ingresos_Historicos[[#This Row],[id]]</f>
        <v>300-0462</v>
      </c>
      <c r="W472" s="19" t="e">
        <f>+VLOOKUP(Ingresos_Historicos[[#This Row],[Filtro URL]],Estructura!$X$4:$Y$366,2,0)</f>
        <v>#N/A</v>
      </c>
      <c r="X472" s="19" t="str">
        <f>+VLOOKUP(Ingresos_Historicos[[#This Row],[tema]],Estructura!$A$4:$C$18,3,0)</f>
        <v>T-310</v>
      </c>
      <c r="Y472" s="19" t="str">
        <f>+VLOOKUP(Ingresos_Historicos[[#This Row],[contenido]],Estructura!$E$4:$G$18,3,0)</f>
        <v>C-303</v>
      </c>
      <c r="Z472" s="19" t="str">
        <f>+VLOOKUP(Ingresos_Historicos[[#This Row],[Filtro Integrado]],Estructura!$M$4:$O$367,3,0)</f>
        <v>FI-303</v>
      </c>
      <c r="AA472" s="19" t="str">
        <f>+VLOOKUP(Ingresos_Historicos[[#This Row],[Muestra]],Estructura!$Q$4:$S$194,3,0)</f>
        <v>M-310</v>
      </c>
    </row>
    <row r="473" spans="1:27" ht="91.8" x14ac:dyDescent="0.3">
      <c r="A473" s="71" t="s">
        <v>859</v>
      </c>
      <c r="B473" s="12">
        <f t="shared" si="99"/>
        <v>300</v>
      </c>
      <c r="C473" s="13" t="str">
        <f t="shared" si="99"/>
        <v>Violencia contra la mujer</v>
      </c>
      <c r="D473" s="13" t="str">
        <f t="shared" si="99"/>
        <v>Mujeres</v>
      </c>
      <c r="E473" s="39">
        <v>51</v>
      </c>
      <c r="F473" s="13" t="s">
        <v>7581</v>
      </c>
      <c r="G473" s="13" t="s">
        <v>7576</v>
      </c>
      <c r="H473" s="38" t="s">
        <v>17</v>
      </c>
      <c r="I473" s="37" t="s">
        <v>250</v>
      </c>
      <c r="J473" s="12" t="s">
        <v>398</v>
      </c>
      <c r="K473" s="12" t="str">
        <f t="shared" si="100"/>
        <v>Sentencias Dictadas por Delitos Vinculados a la Mujer</v>
      </c>
      <c r="L473" s="75" t="str">
        <f t="shared" si="100"/>
        <v>Periodo 2013-2019</v>
      </c>
      <c r="M473" s="12" t="str">
        <f t="shared" si="100"/>
        <v>Número de sentencias</v>
      </c>
      <c r="N473" s="33" t="s">
        <v>5964</v>
      </c>
      <c r="O47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Victoria para el Periodo 2013-2019</v>
      </c>
      <c r="P473" s="42" t="s">
        <v>6316</v>
      </c>
      <c r="Q473" s="14" t="str">
        <f t="shared" si="93"/>
        <v>Gráfico de Evolución</v>
      </c>
      <c r="R473" s="27" t="s">
        <v>6266</v>
      </c>
      <c r="S473" s="15" t="s">
        <v>6868</v>
      </c>
      <c r="T473" s="65" t="s">
        <v>5915</v>
      </c>
      <c r="U473" s="24" t="s">
        <v>397</v>
      </c>
      <c r="V473" s="19" t="str">
        <f>+Ingresos_Historicos[[#This Row],[idcoleccion]]&amp;"-"&amp;Ingresos_Historicos[[#This Row],[id]]</f>
        <v>300-0463</v>
      </c>
      <c r="W473" s="19" t="e">
        <f>+VLOOKUP(Ingresos_Historicos[[#This Row],[Filtro URL]],Estructura!$X$4:$Y$366,2,0)</f>
        <v>#N/A</v>
      </c>
      <c r="X473" s="19" t="str">
        <f>+VLOOKUP(Ingresos_Historicos[[#This Row],[tema]],Estructura!$A$4:$C$18,3,0)</f>
        <v>T-310</v>
      </c>
      <c r="Y473" s="19" t="str">
        <f>+VLOOKUP(Ingresos_Historicos[[#This Row],[contenido]],Estructura!$E$4:$G$18,3,0)</f>
        <v>C-303</v>
      </c>
      <c r="Z473" s="19" t="str">
        <f>+VLOOKUP(Ingresos_Historicos[[#This Row],[Filtro Integrado]],Estructura!$M$4:$O$367,3,0)</f>
        <v>FI-303</v>
      </c>
      <c r="AA473" s="19" t="str">
        <f>+VLOOKUP(Ingresos_Historicos[[#This Row],[Muestra]],Estructura!$Q$4:$S$194,3,0)</f>
        <v>M-310</v>
      </c>
    </row>
    <row r="474" spans="1:27" ht="91.8" x14ac:dyDescent="0.3">
      <c r="A474" s="71" t="s">
        <v>860</v>
      </c>
      <c r="B474" s="12">
        <f t="shared" si="99"/>
        <v>300</v>
      </c>
      <c r="C474" s="13" t="str">
        <f t="shared" si="99"/>
        <v>Violencia contra la mujer</v>
      </c>
      <c r="D474" s="13" t="str">
        <f t="shared" si="99"/>
        <v>Mujeres</v>
      </c>
      <c r="E474" s="39">
        <v>52</v>
      </c>
      <c r="F474" s="13" t="s">
        <v>7581</v>
      </c>
      <c r="G474" s="13" t="s">
        <v>7576</v>
      </c>
      <c r="H474" s="38" t="s">
        <v>17</v>
      </c>
      <c r="I474" s="37" t="s">
        <v>238</v>
      </c>
      <c r="J474" s="12" t="s">
        <v>398</v>
      </c>
      <c r="K474" s="12" t="str">
        <f t="shared" si="100"/>
        <v>Sentencias Dictadas por Delitos Vinculados a la Mujer</v>
      </c>
      <c r="L474" s="75" t="str">
        <f t="shared" si="100"/>
        <v>Periodo 2013-2019</v>
      </c>
      <c r="M474" s="12" t="str">
        <f t="shared" si="100"/>
        <v>Número de sentencias</v>
      </c>
      <c r="N474" s="33" t="s">
        <v>5964</v>
      </c>
      <c r="O47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Villarrica para el Periodo 2013-2019</v>
      </c>
      <c r="P474" s="42" t="s">
        <v>6317</v>
      </c>
      <c r="Q474" s="14" t="str">
        <f t="shared" si="93"/>
        <v>Gráfico de Evolución</v>
      </c>
      <c r="R474" s="27" t="s">
        <v>6266</v>
      </c>
      <c r="S474" s="15" t="s">
        <v>6869</v>
      </c>
      <c r="T474" s="65" t="s">
        <v>5915</v>
      </c>
      <c r="U474" s="24" t="s">
        <v>397</v>
      </c>
      <c r="V474" s="19" t="str">
        <f>+Ingresos_Historicos[[#This Row],[idcoleccion]]&amp;"-"&amp;Ingresos_Historicos[[#This Row],[id]]</f>
        <v>300-0464</v>
      </c>
      <c r="W474" s="19" t="e">
        <f>+VLOOKUP(Ingresos_Historicos[[#This Row],[Filtro URL]],Estructura!$X$4:$Y$366,2,0)</f>
        <v>#N/A</v>
      </c>
      <c r="X474" s="19" t="str">
        <f>+VLOOKUP(Ingresos_Historicos[[#This Row],[tema]],Estructura!$A$4:$C$18,3,0)</f>
        <v>T-310</v>
      </c>
      <c r="Y474" s="19" t="str">
        <f>+VLOOKUP(Ingresos_Historicos[[#This Row],[contenido]],Estructura!$E$4:$G$18,3,0)</f>
        <v>C-303</v>
      </c>
      <c r="Z474" s="19" t="str">
        <f>+VLOOKUP(Ingresos_Historicos[[#This Row],[Filtro Integrado]],Estructura!$M$4:$O$367,3,0)</f>
        <v>FI-303</v>
      </c>
      <c r="AA474" s="19" t="str">
        <f>+VLOOKUP(Ingresos_Historicos[[#This Row],[Muestra]],Estructura!$Q$4:$S$194,3,0)</f>
        <v>M-310</v>
      </c>
    </row>
    <row r="475" spans="1:27" ht="91.8" x14ac:dyDescent="0.3">
      <c r="A475" s="71" t="s">
        <v>861</v>
      </c>
      <c r="B475" s="12">
        <f t="shared" si="99"/>
        <v>300</v>
      </c>
      <c r="C475" s="13" t="str">
        <f t="shared" si="99"/>
        <v>Violencia contra la mujer</v>
      </c>
      <c r="D475" s="13" t="str">
        <f t="shared" si="99"/>
        <v>Mujeres</v>
      </c>
      <c r="E475" s="39">
        <v>53</v>
      </c>
      <c r="F475" s="13" t="s">
        <v>7581</v>
      </c>
      <c r="G475" s="13" t="s">
        <v>7576</v>
      </c>
      <c r="H475" s="38" t="s">
        <v>17</v>
      </c>
      <c r="I475" s="37" t="s">
        <v>261</v>
      </c>
      <c r="J475" s="12" t="s">
        <v>398</v>
      </c>
      <c r="K475" s="12" t="str">
        <f t="shared" si="100"/>
        <v>Sentencias Dictadas por Delitos Vinculados a la Mujer</v>
      </c>
      <c r="L475" s="75" t="str">
        <f t="shared" si="100"/>
        <v>Periodo 2013-2019</v>
      </c>
      <c r="M475" s="12" t="str">
        <f t="shared" si="100"/>
        <v>Número de sentencias</v>
      </c>
      <c r="N475" s="33" t="s">
        <v>5964</v>
      </c>
      <c r="O47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Ancud para el Periodo 2013-2019</v>
      </c>
      <c r="P475" s="42" t="s">
        <v>6318</v>
      </c>
      <c r="Q475" s="14" t="str">
        <f t="shared" si="93"/>
        <v>Gráfico de Evolución</v>
      </c>
      <c r="R475" s="27" t="s">
        <v>6266</v>
      </c>
      <c r="S475" s="15" t="s">
        <v>6870</v>
      </c>
      <c r="T475" s="65" t="s">
        <v>5916</v>
      </c>
      <c r="U475" s="24" t="s">
        <v>397</v>
      </c>
      <c r="V475" s="19" t="str">
        <f>+Ingresos_Historicos[[#This Row],[idcoleccion]]&amp;"-"&amp;Ingresos_Historicos[[#This Row],[id]]</f>
        <v>300-0465</v>
      </c>
      <c r="W475" s="19" t="e">
        <f>+VLOOKUP(Ingresos_Historicos[[#This Row],[Filtro URL]],Estructura!$X$4:$Y$366,2,0)</f>
        <v>#N/A</v>
      </c>
      <c r="X475" s="19" t="str">
        <f>+VLOOKUP(Ingresos_Historicos[[#This Row],[tema]],Estructura!$A$4:$C$18,3,0)</f>
        <v>T-310</v>
      </c>
      <c r="Y475" s="19" t="str">
        <f>+VLOOKUP(Ingresos_Historicos[[#This Row],[contenido]],Estructura!$E$4:$G$18,3,0)</f>
        <v>C-303</v>
      </c>
      <c r="Z475" s="19" t="str">
        <f>+VLOOKUP(Ingresos_Historicos[[#This Row],[Filtro Integrado]],Estructura!$M$4:$O$367,3,0)</f>
        <v>FI-303</v>
      </c>
      <c r="AA475" s="19" t="str">
        <f>+VLOOKUP(Ingresos_Historicos[[#This Row],[Muestra]],Estructura!$Q$4:$S$194,3,0)</f>
        <v>M-310</v>
      </c>
    </row>
    <row r="476" spans="1:27" ht="91.8" x14ac:dyDescent="0.3">
      <c r="A476" s="71" t="s">
        <v>862</v>
      </c>
      <c r="B476" s="12">
        <f t="shared" si="99"/>
        <v>300</v>
      </c>
      <c r="C476" s="13" t="str">
        <f t="shared" si="99"/>
        <v>Violencia contra la mujer</v>
      </c>
      <c r="D476" s="13" t="str">
        <f t="shared" si="99"/>
        <v>Mujeres</v>
      </c>
      <c r="E476" s="39">
        <v>54</v>
      </c>
      <c r="F476" s="13" t="s">
        <v>7581</v>
      </c>
      <c r="G476" s="13" t="s">
        <v>7576</v>
      </c>
      <c r="H476" s="38" t="s">
        <v>17</v>
      </c>
      <c r="I476" s="37" t="s">
        <v>260</v>
      </c>
      <c r="J476" s="12" t="s">
        <v>398</v>
      </c>
      <c r="K476" s="12" t="str">
        <f t="shared" si="100"/>
        <v>Sentencias Dictadas por Delitos Vinculados a la Mujer</v>
      </c>
      <c r="L476" s="75" t="str">
        <f t="shared" si="100"/>
        <v>Periodo 2013-2019</v>
      </c>
      <c r="M476" s="12" t="str">
        <f t="shared" si="100"/>
        <v>Número de sentencias</v>
      </c>
      <c r="N476" s="33" t="s">
        <v>5964</v>
      </c>
      <c r="O47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Castro para el Periodo 2013-2019</v>
      </c>
      <c r="P476" s="42" t="s">
        <v>6319</v>
      </c>
      <c r="Q476" s="14" t="str">
        <f t="shared" si="93"/>
        <v>Gráfico de Evolución</v>
      </c>
      <c r="R476" s="27" t="s">
        <v>6266</v>
      </c>
      <c r="S476" s="15" t="s">
        <v>6871</v>
      </c>
      <c r="T476" s="65" t="s">
        <v>5916</v>
      </c>
      <c r="U476" s="24" t="s">
        <v>397</v>
      </c>
      <c r="V476" s="19" t="str">
        <f>+Ingresos_Historicos[[#This Row],[idcoleccion]]&amp;"-"&amp;Ingresos_Historicos[[#This Row],[id]]</f>
        <v>300-0466</v>
      </c>
      <c r="W476" s="19" t="e">
        <f>+VLOOKUP(Ingresos_Historicos[[#This Row],[Filtro URL]],Estructura!$X$4:$Y$366,2,0)</f>
        <v>#N/A</v>
      </c>
      <c r="X476" s="19" t="str">
        <f>+VLOOKUP(Ingresos_Historicos[[#This Row],[tema]],Estructura!$A$4:$C$18,3,0)</f>
        <v>T-310</v>
      </c>
      <c r="Y476" s="19" t="str">
        <f>+VLOOKUP(Ingresos_Historicos[[#This Row],[contenido]],Estructura!$E$4:$G$18,3,0)</f>
        <v>C-303</v>
      </c>
      <c r="Z476" s="19" t="str">
        <f>+VLOOKUP(Ingresos_Historicos[[#This Row],[Filtro Integrado]],Estructura!$M$4:$O$367,3,0)</f>
        <v>FI-303</v>
      </c>
      <c r="AA476" s="19" t="str">
        <f>+VLOOKUP(Ingresos_Historicos[[#This Row],[Muestra]],Estructura!$Q$4:$S$194,3,0)</f>
        <v>M-310</v>
      </c>
    </row>
    <row r="477" spans="1:27" ht="91.8" x14ac:dyDescent="0.3">
      <c r="A477" s="71" t="s">
        <v>863</v>
      </c>
      <c r="B477" s="12">
        <f t="shared" si="99"/>
        <v>300</v>
      </c>
      <c r="C477" s="13" t="str">
        <f t="shared" si="99"/>
        <v>Violencia contra la mujer</v>
      </c>
      <c r="D477" s="13" t="str">
        <f t="shared" si="99"/>
        <v>Mujeres</v>
      </c>
      <c r="E477" s="39">
        <v>55</v>
      </c>
      <c r="F477" s="13" t="s">
        <v>7581</v>
      </c>
      <c r="G477" s="13" t="s">
        <v>7576</v>
      </c>
      <c r="H477" s="38" t="s">
        <v>17</v>
      </c>
      <c r="I477" s="37" t="s">
        <v>270</v>
      </c>
      <c r="J477" s="12" t="s">
        <v>398</v>
      </c>
      <c r="K477" s="12" t="str">
        <f t="shared" si="100"/>
        <v>Sentencias Dictadas por Delitos Vinculados a la Mujer</v>
      </c>
      <c r="L477" s="75" t="str">
        <f t="shared" si="100"/>
        <v>Periodo 2013-2019</v>
      </c>
      <c r="M477" s="12" t="str">
        <f t="shared" si="100"/>
        <v>Número de sentencias</v>
      </c>
      <c r="N477" s="33" t="s">
        <v>5964</v>
      </c>
      <c r="O47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Osorno para el Periodo 2013-2019</v>
      </c>
      <c r="P477" s="42" t="s">
        <v>6320</v>
      </c>
      <c r="Q477" s="14" t="str">
        <f t="shared" si="93"/>
        <v>Gráfico de Evolución</v>
      </c>
      <c r="R477" s="27" t="s">
        <v>6266</v>
      </c>
      <c r="S477" s="15" t="s">
        <v>6872</v>
      </c>
      <c r="T477" s="65" t="s">
        <v>5916</v>
      </c>
      <c r="U477" s="24" t="s">
        <v>397</v>
      </c>
      <c r="V477" s="19" t="str">
        <f>+Ingresos_Historicos[[#This Row],[idcoleccion]]&amp;"-"&amp;Ingresos_Historicos[[#This Row],[id]]</f>
        <v>300-0467</v>
      </c>
      <c r="W477" s="19" t="e">
        <f>+VLOOKUP(Ingresos_Historicos[[#This Row],[Filtro URL]],Estructura!$X$4:$Y$366,2,0)</f>
        <v>#N/A</v>
      </c>
      <c r="X477" s="19" t="str">
        <f>+VLOOKUP(Ingresos_Historicos[[#This Row],[tema]],Estructura!$A$4:$C$18,3,0)</f>
        <v>T-310</v>
      </c>
      <c r="Y477" s="19" t="str">
        <f>+VLOOKUP(Ingresos_Historicos[[#This Row],[contenido]],Estructura!$E$4:$G$18,3,0)</f>
        <v>C-303</v>
      </c>
      <c r="Z477" s="19" t="str">
        <f>+VLOOKUP(Ingresos_Historicos[[#This Row],[Filtro Integrado]],Estructura!$M$4:$O$367,3,0)</f>
        <v>FI-303</v>
      </c>
      <c r="AA477" s="19" t="str">
        <f>+VLOOKUP(Ingresos_Historicos[[#This Row],[Muestra]],Estructura!$Q$4:$S$194,3,0)</f>
        <v>M-310</v>
      </c>
    </row>
    <row r="478" spans="1:27" ht="91.8" x14ac:dyDescent="0.3">
      <c r="A478" s="71" t="s">
        <v>864</v>
      </c>
      <c r="B478" s="12">
        <f t="shared" si="99"/>
        <v>300</v>
      </c>
      <c r="C478" s="13" t="str">
        <f t="shared" si="99"/>
        <v>Violencia contra la mujer</v>
      </c>
      <c r="D478" s="13" t="str">
        <f t="shared" si="99"/>
        <v>Mujeres</v>
      </c>
      <c r="E478" s="39">
        <v>56</v>
      </c>
      <c r="F478" s="13" t="s">
        <v>7581</v>
      </c>
      <c r="G478" s="13" t="s">
        <v>7576</v>
      </c>
      <c r="H478" s="38" t="s">
        <v>17</v>
      </c>
      <c r="I478" s="37" t="s">
        <v>251</v>
      </c>
      <c r="J478" s="12" t="s">
        <v>398</v>
      </c>
      <c r="K478" s="12" t="str">
        <f t="shared" si="100"/>
        <v>Sentencias Dictadas por Delitos Vinculados a la Mujer</v>
      </c>
      <c r="L478" s="75" t="str">
        <f t="shared" si="100"/>
        <v>Periodo 2013-2019</v>
      </c>
      <c r="M478" s="12" t="str">
        <f t="shared" si="100"/>
        <v>Número de sentencias</v>
      </c>
      <c r="N478" s="33" t="s">
        <v>5964</v>
      </c>
      <c r="O47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Puerto Montt para el Periodo 2013-2019</v>
      </c>
      <c r="P478" s="42" t="s">
        <v>6321</v>
      </c>
      <c r="Q478" s="14" t="str">
        <f t="shared" si="93"/>
        <v>Gráfico de Evolución</v>
      </c>
      <c r="R478" s="27" t="s">
        <v>6266</v>
      </c>
      <c r="S478" s="15" t="s">
        <v>6873</v>
      </c>
      <c r="T478" s="65" t="s">
        <v>5916</v>
      </c>
      <c r="U478" s="24" t="s">
        <v>397</v>
      </c>
      <c r="V478" s="19" t="str">
        <f>+Ingresos_Historicos[[#This Row],[idcoleccion]]&amp;"-"&amp;Ingresos_Historicos[[#This Row],[id]]</f>
        <v>300-0468</v>
      </c>
      <c r="W478" s="19" t="e">
        <f>+VLOOKUP(Ingresos_Historicos[[#This Row],[Filtro URL]],Estructura!$X$4:$Y$366,2,0)</f>
        <v>#N/A</v>
      </c>
      <c r="X478" s="19" t="str">
        <f>+VLOOKUP(Ingresos_Historicos[[#This Row],[tema]],Estructura!$A$4:$C$18,3,0)</f>
        <v>T-310</v>
      </c>
      <c r="Y478" s="19" t="str">
        <f>+VLOOKUP(Ingresos_Historicos[[#This Row],[contenido]],Estructura!$E$4:$G$18,3,0)</f>
        <v>C-303</v>
      </c>
      <c r="Z478" s="19" t="str">
        <f>+VLOOKUP(Ingresos_Historicos[[#This Row],[Filtro Integrado]],Estructura!$M$4:$O$367,3,0)</f>
        <v>FI-303</v>
      </c>
      <c r="AA478" s="19" t="str">
        <f>+VLOOKUP(Ingresos_Historicos[[#This Row],[Muestra]],Estructura!$Q$4:$S$194,3,0)</f>
        <v>M-310</v>
      </c>
    </row>
    <row r="479" spans="1:27" ht="91.8" x14ac:dyDescent="0.3">
      <c r="A479" s="71" t="s">
        <v>865</v>
      </c>
      <c r="B479" s="12">
        <f t="shared" si="99"/>
        <v>300</v>
      </c>
      <c r="C479" s="13" t="str">
        <f t="shared" si="99"/>
        <v>Violencia contra la mujer</v>
      </c>
      <c r="D479" s="13" t="str">
        <f t="shared" si="99"/>
        <v>Mujeres</v>
      </c>
      <c r="E479" s="39">
        <v>57</v>
      </c>
      <c r="F479" s="13" t="s">
        <v>7581</v>
      </c>
      <c r="G479" s="13" t="s">
        <v>7576</v>
      </c>
      <c r="H479" s="38" t="s">
        <v>17</v>
      </c>
      <c r="I479" s="37" t="s">
        <v>259</v>
      </c>
      <c r="J479" s="12" t="s">
        <v>398</v>
      </c>
      <c r="K479" s="12" t="str">
        <f t="shared" si="100"/>
        <v>Sentencias Dictadas por Delitos Vinculados a la Mujer</v>
      </c>
      <c r="L479" s="75" t="str">
        <f t="shared" si="100"/>
        <v>Periodo 2013-2019</v>
      </c>
      <c r="M479" s="12" t="str">
        <f t="shared" si="100"/>
        <v>Número de sentencias</v>
      </c>
      <c r="N479" s="33" t="s">
        <v>5964</v>
      </c>
      <c r="O47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Puerto Varas para el Periodo 2013-2019</v>
      </c>
      <c r="P479" s="42" t="s">
        <v>6322</v>
      </c>
      <c r="Q479" s="14" t="str">
        <f t="shared" si="93"/>
        <v>Gráfico de Evolución</v>
      </c>
      <c r="R479" s="27" t="s">
        <v>6266</v>
      </c>
      <c r="S479" s="15" t="s">
        <v>6874</v>
      </c>
      <c r="T479" s="65" t="s">
        <v>5916</v>
      </c>
      <c r="U479" s="24" t="s">
        <v>397</v>
      </c>
      <c r="V479" s="19" t="str">
        <f>+Ingresos_Historicos[[#This Row],[idcoleccion]]&amp;"-"&amp;Ingresos_Historicos[[#This Row],[id]]</f>
        <v>300-0469</v>
      </c>
      <c r="W479" s="19" t="e">
        <f>+VLOOKUP(Ingresos_Historicos[[#This Row],[Filtro URL]],Estructura!$X$4:$Y$366,2,0)</f>
        <v>#N/A</v>
      </c>
      <c r="X479" s="19" t="str">
        <f>+VLOOKUP(Ingresos_Historicos[[#This Row],[tema]],Estructura!$A$4:$C$18,3,0)</f>
        <v>T-310</v>
      </c>
      <c r="Y479" s="19" t="str">
        <f>+VLOOKUP(Ingresos_Historicos[[#This Row],[contenido]],Estructura!$E$4:$G$18,3,0)</f>
        <v>C-303</v>
      </c>
      <c r="Z479" s="19" t="str">
        <f>+VLOOKUP(Ingresos_Historicos[[#This Row],[Filtro Integrado]],Estructura!$M$4:$O$367,3,0)</f>
        <v>FI-303</v>
      </c>
      <c r="AA479" s="19" t="str">
        <f>+VLOOKUP(Ingresos_Historicos[[#This Row],[Muestra]],Estructura!$Q$4:$S$194,3,0)</f>
        <v>M-310</v>
      </c>
    </row>
    <row r="480" spans="1:27" ht="91.8" x14ac:dyDescent="0.3">
      <c r="A480" s="71" t="s">
        <v>866</v>
      </c>
      <c r="B480" s="12">
        <f t="shared" si="99"/>
        <v>300</v>
      </c>
      <c r="C480" s="13" t="str">
        <f t="shared" si="99"/>
        <v>Violencia contra la mujer</v>
      </c>
      <c r="D480" s="13" t="str">
        <f t="shared" si="99"/>
        <v>Mujeres</v>
      </c>
      <c r="E480" s="39">
        <v>58</v>
      </c>
      <c r="F480" s="13" t="s">
        <v>7581</v>
      </c>
      <c r="G480" s="13" t="s">
        <v>7576</v>
      </c>
      <c r="H480" s="38" t="s">
        <v>17</v>
      </c>
      <c r="I480" s="37" t="s">
        <v>6072</v>
      </c>
      <c r="J480" s="12" t="s">
        <v>398</v>
      </c>
      <c r="K480" s="12" t="str">
        <f t="shared" si="100"/>
        <v>Sentencias Dictadas por Delitos Vinculados a la Mujer</v>
      </c>
      <c r="L480" s="75" t="str">
        <f t="shared" si="100"/>
        <v>Periodo 2013-2019</v>
      </c>
      <c r="M480" s="12" t="str">
        <f t="shared" si="100"/>
        <v>Número de sentencias</v>
      </c>
      <c r="N480" s="33" t="s">
        <v>5964</v>
      </c>
      <c r="O48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Rio Negro para el Periodo 2013-2019</v>
      </c>
      <c r="P480" s="42" t="s">
        <v>6323</v>
      </c>
      <c r="Q480" s="14" t="str">
        <f t="shared" si="93"/>
        <v>Gráfico de Evolución</v>
      </c>
      <c r="R480" s="27" t="s">
        <v>6266</v>
      </c>
      <c r="S480" s="15" t="s">
        <v>6875</v>
      </c>
      <c r="T480" s="65" t="s">
        <v>5916</v>
      </c>
      <c r="U480" s="24" t="s">
        <v>397</v>
      </c>
      <c r="V480" s="19" t="str">
        <f>+Ingresos_Historicos[[#This Row],[idcoleccion]]&amp;"-"&amp;Ingresos_Historicos[[#This Row],[id]]</f>
        <v>300-0470</v>
      </c>
      <c r="W480" s="19" t="e">
        <f>+VLOOKUP(Ingresos_Historicos[[#This Row],[Filtro URL]],Estructura!$X$4:$Y$366,2,0)</f>
        <v>#N/A</v>
      </c>
      <c r="X480" s="19" t="str">
        <f>+VLOOKUP(Ingresos_Historicos[[#This Row],[tema]],Estructura!$A$4:$C$18,3,0)</f>
        <v>T-310</v>
      </c>
      <c r="Y480" s="19" t="str">
        <f>+VLOOKUP(Ingresos_Historicos[[#This Row],[contenido]],Estructura!$E$4:$G$18,3,0)</f>
        <v>C-303</v>
      </c>
      <c r="Z480" s="19" t="str">
        <f>+VLOOKUP(Ingresos_Historicos[[#This Row],[Filtro Integrado]],Estructura!$M$4:$O$367,3,0)</f>
        <v>FI-303</v>
      </c>
      <c r="AA480" s="19" t="str">
        <f>+VLOOKUP(Ingresos_Historicos[[#This Row],[Muestra]],Estructura!$Q$4:$S$194,3,0)</f>
        <v>M-310</v>
      </c>
    </row>
    <row r="481" spans="1:27" ht="91.8" x14ac:dyDescent="0.3">
      <c r="A481" s="71" t="s">
        <v>867</v>
      </c>
      <c r="B481" s="12">
        <f t="shared" si="99"/>
        <v>300</v>
      </c>
      <c r="C481" s="13" t="str">
        <f t="shared" si="99"/>
        <v>Violencia contra la mujer</v>
      </c>
      <c r="D481" s="13" t="str">
        <f t="shared" si="99"/>
        <v>Mujeres</v>
      </c>
      <c r="E481" s="39">
        <v>59</v>
      </c>
      <c r="F481" s="13" t="s">
        <v>7581</v>
      </c>
      <c r="G481" s="13" t="s">
        <v>7576</v>
      </c>
      <c r="H481" s="38" t="s">
        <v>17</v>
      </c>
      <c r="I481" s="37" t="s">
        <v>6074</v>
      </c>
      <c r="J481" s="12" t="s">
        <v>398</v>
      </c>
      <c r="K481" s="12" t="str">
        <f t="shared" si="100"/>
        <v>Sentencias Dictadas por Delitos Vinculados a la Mujer</v>
      </c>
      <c r="L481" s="75" t="str">
        <f t="shared" si="100"/>
        <v>Periodo 2013-2019</v>
      </c>
      <c r="M481" s="12" t="str">
        <f t="shared" si="100"/>
        <v>Número de sentencias</v>
      </c>
      <c r="N481" s="33" t="s">
        <v>5964</v>
      </c>
      <c r="O48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Coyhaique para el Periodo 2013-2019</v>
      </c>
      <c r="P481" s="42" t="s">
        <v>6324</v>
      </c>
      <c r="Q481" s="14" t="str">
        <f t="shared" si="93"/>
        <v>Gráfico de Evolución</v>
      </c>
      <c r="R481" s="27" t="s">
        <v>6266</v>
      </c>
      <c r="S481" s="15" t="s">
        <v>6876</v>
      </c>
      <c r="T481" s="65" t="s">
        <v>5917</v>
      </c>
      <c r="U481" s="24" t="s">
        <v>397</v>
      </c>
      <c r="V481" s="19" t="str">
        <f>+Ingresos_Historicos[[#This Row],[idcoleccion]]&amp;"-"&amp;Ingresos_Historicos[[#This Row],[id]]</f>
        <v>300-0471</v>
      </c>
      <c r="W481" s="19" t="e">
        <f>+VLOOKUP(Ingresos_Historicos[[#This Row],[Filtro URL]],Estructura!$X$4:$Y$366,2,0)</f>
        <v>#N/A</v>
      </c>
      <c r="X481" s="19" t="str">
        <f>+VLOOKUP(Ingresos_Historicos[[#This Row],[tema]],Estructura!$A$4:$C$18,3,0)</f>
        <v>T-310</v>
      </c>
      <c r="Y481" s="19" t="str">
        <f>+VLOOKUP(Ingresos_Historicos[[#This Row],[contenido]],Estructura!$E$4:$G$18,3,0)</f>
        <v>C-303</v>
      </c>
      <c r="Z481" s="19" t="str">
        <f>+VLOOKUP(Ingresos_Historicos[[#This Row],[Filtro Integrado]],Estructura!$M$4:$O$367,3,0)</f>
        <v>FI-303</v>
      </c>
      <c r="AA481" s="19" t="str">
        <f>+VLOOKUP(Ingresos_Historicos[[#This Row],[Muestra]],Estructura!$Q$4:$S$194,3,0)</f>
        <v>M-310</v>
      </c>
    </row>
    <row r="482" spans="1:27" ht="91.8" x14ac:dyDescent="0.3">
      <c r="A482" s="71" t="s">
        <v>868</v>
      </c>
      <c r="B482" s="12">
        <f t="shared" si="99"/>
        <v>300</v>
      </c>
      <c r="C482" s="13" t="str">
        <f t="shared" si="99"/>
        <v>Violencia contra la mujer</v>
      </c>
      <c r="D482" s="13" t="str">
        <f t="shared" si="99"/>
        <v>Mujeres</v>
      </c>
      <c r="E482" s="39">
        <v>60</v>
      </c>
      <c r="F482" s="13" t="s">
        <v>7581</v>
      </c>
      <c r="G482" s="13" t="s">
        <v>7576</v>
      </c>
      <c r="H482" s="38" t="s">
        <v>17</v>
      </c>
      <c r="I482" s="37" t="s">
        <v>290</v>
      </c>
      <c r="J482" s="12" t="s">
        <v>398</v>
      </c>
      <c r="K482" s="12" t="str">
        <f t="shared" si="100"/>
        <v>Sentencias Dictadas por Delitos Vinculados a la Mujer</v>
      </c>
      <c r="L482" s="75" t="str">
        <f t="shared" si="100"/>
        <v>Periodo 2013-2019</v>
      </c>
      <c r="M482" s="12" t="str">
        <f t="shared" si="100"/>
        <v>Número de sentencias</v>
      </c>
      <c r="N482" s="33" t="s">
        <v>5964</v>
      </c>
      <c r="O48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Punta Arenas para el Periodo 2013-2019</v>
      </c>
      <c r="P482" s="42" t="s">
        <v>6325</v>
      </c>
      <c r="Q482" s="14" t="str">
        <f t="shared" si="93"/>
        <v>Gráfico de Evolución</v>
      </c>
      <c r="R482" s="27" t="s">
        <v>6266</v>
      </c>
      <c r="S482" s="15" t="s">
        <v>6877</v>
      </c>
      <c r="T482" s="65" t="s">
        <v>5918</v>
      </c>
      <c r="U482" s="24" t="s">
        <v>397</v>
      </c>
      <c r="V482" s="19" t="str">
        <f>+Ingresos_Historicos[[#This Row],[idcoleccion]]&amp;"-"&amp;Ingresos_Historicos[[#This Row],[id]]</f>
        <v>300-0472</v>
      </c>
      <c r="W482" s="19" t="e">
        <f>+VLOOKUP(Ingresos_Historicos[[#This Row],[Filtro URL]],Estructura!$X$4:$Y$366,2,0)</f>
        <v>#N/A</v>
      </c>
      <c r="X482" s="19" t="str">
        <f>+VLOOKUP(Ingresos_Historicos[[#This Row],[tema]],Estructura!$A$4:$C$18,3,0)</f>
        <v>T-310</v>
      </c>
      <c r="Y482" s="19" t="str">
        <f>+VLOOKUP(Ingresos_Historicos[[#This Row],[contenido]],Estructura!$E$4:$G$18,3,0)</f>
        <v>C-303</v>
      </c>
      <c r="Z482" s="19" t="str">
        <f>+VLOOKUP(Ingresos_Historicos[[#This Row],[Filtro Integrado]],Estructura!$M$4:$O$367,3,0)</f>
        <v>FI-303</v>
      </c>
      <c r="AA482" s="19" t="str">
        <f>+VLOOKUP(Ingresos_Historicos[[#This Row],[Muestra]],Estructura!$Q$4:$S$194,3,0)</f>
        <v>M-310</v>
      </c>
    </row>
    <row r="483" spans="1:27" ht="91.8" x14ac:dyDescent="0.3">
      <c r="A483" s="71" t="s">
        <v>869</v>
      </c>
      <c r="B483" s="12">
        <f t="shared" si="99"/>
        <v>300</v>
      </c>
      <c r="C483" s="13" t="str">
        <f t="shared" si="99"/>
        <v>Violencia contra la mujer</v>
      </c>
      <c r="D483" s="13" t="str">
        <f t="shared" si="99"/>
        <v>Mujeres</v>
      </c>
      <c r="E483" s="39">
        <v>61</v>
      </c>
      <c r="F483" s="13" t="s">
        <v>7581</v>
      </c>
      <c r="G483" s="13" t="s">
        <v>7576</v>
      </c>
      <c r="H483" s="38" t="s">
        <v>17</v>
      </c>
      <c r="I483" s="37" t="s">
        <v>300</v>
      </c>
      <c r="J483" s="12" t="s">
        <v>398</v>
      </c>
      <c r="K483" s="12" t="str">
        <f t="shared" si="100"/>
        <v>Sentencias Dictadas por Delitos Vinculados a la Mujer</v>
      </c>
      <c r="L483" s="75" t="str">
        <f t="shared" si="100"/>
        <v>Periodo 2013-2019</v>
      </c>
      <c r="M483" s="12" t="str">
        <f t="shared" si="100"/>
        <v>Número de sentencias</v>
      </c>
      <c r="N483" s="33" t="s">
        <v>5964</v>
      </c>
      <c r="O48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3" s="42" t="s">
        <v>6326</v>
      </c>
      <c r="Q483" s="14" t="str">
        <f t="shared" si="93"/>
        <v>Gráfico de Evolución</v>
      </c>
      <c r="R483" s="27" t="s">
        <v>6266</v>
      </c>
      <c r="S483" s="15" t="s">
        <v>6878</v>
      </c>
      <c r="T483" s="65" t="s">
        <v>5919</v>
      </c>
      <c r="U483" s="24" t="s">
        <v>397</v>
      </c>
      <c r="V483" s="19" t="str">
        <f>+Ingresos_Historicos[[#This Row],[idcoleccion]]&amp;"-"&amp;Ingresos_Historicos[[#This Row],[id]]</f>
        <v>300-0473</v>
      </c>
      <c r="W483" s="19" t="e">
        <f>+VLOOKUP(Ingresos_Historicos[[#This Row],[Filtro URL]],Estructura!$X$4:$Y$366,2,0)</f>
        <v>#N/A</v>
      </c>
      <c r="X483" s="19" t="str">
        <f>+VLOOKUP(Ingresos_Historicos[[#This Row],[tema]],Estructura!$A$4:$C$18,3,0)</f>
        <v>T-310</v>
      </c>
      <c r="Y483" s="19" t="str">
        <f>+VLOOKUP(Ingresos_Historicos[[#This Row],[contenido]],Estructura!$E$4:$G$18,3,0)</f>
        <v>C-303</v>
      </c>
      <c r="Z483" s="19" t="str">
        <f>+VLOOKUP(Ingresos_Historicos[[#This Row],[Filtro Integrado]],Estructura!$M$4:$O$367,3,0)</f>
        <v>FI-303</v>
      </c>
      <c r="AA483" s="19" t="str">
        <f>+VLOOKUP(Ingresos_Historicos[[#This Row],[Muestra]],Estructura!$Q$4:$S$194,3,0)</f>
        <v>M-310</v>
      </c>
    </row>
    <row r="484" spans="1:27" ht="91.8" x14ac:dyDescent="0.3">
      <c r="A484" s="71" t="s">
        <v>870</v>
      </c>
      <c r="B484" s="12">
        <f t="shared" si="99"/>
        <v>300</v>
      </c>
      <c r="C484" s="13" t="str">
        <f t="shared" si="99"/>
        <v>Violencia contra la mujer</v>
      </c>
      <c r="D484" s="13" t="str">
        <f t="shared" si="99"/>
        <v>Mujeres</v>
      </c>
      <c r="E484" s="39">
        <v>62</v>
      </c>
      <c r="F484" s="13" t="s">
        <v>7581</v>
      </c>
      <c r="G484" s="13" t="s">
        <v>7576</v>
      </c>
      <c r="H484" s="38" t="s">
        <v>17</v>
      </c>
      <c r="I484" s="37" t="s">
        <v>300</v>
      </c>
      <c r="J484" s="12" t="s">
        <v>398</v>
      </c>
      <c r="K484" s="12" t="str">
        <f t="shared" si="100"/>
        <v>Sentencias Dictadas por Delitos Vinculados a la Mujer</v>
      </c>
      <c r="L484" s="75" t="str">
        <f t="shared" si="100"/>
        <v>Periodo 2013-2019</v>
      </c>
      <c r="M484" s="12" t="str">
        <f t="shared" si="100"/>
        <v>Número de sentencias</v>
      </c>
      <c r="N484" s="33" t="s">
        <v>5964</v>
      </c>
      <c r="O48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4" s="42" t="s">
        <v>6327</v>
      </c>
      <c r="Q484" s="14" t="str">
        <f t="shared" si="93"/>
        <v>Gráfico de Evolución</v>
      </c>
      <c r="R484" s="27" t="s">
        <v>6266</v>
      </c>
      <c r="S484" s="15" t="s">
        <v>6879</v>
      </c>
      <c r="T484" s="65" t="s">
        <v>5919</v>
      </c>
      <c r="U484" s="24" t="s">
        <v>397</v>
      </c>
      <c r="V484" s="19" t="str">
        <f>+Ingresos_Historicos[[#This Row],[idcoleccion]]&amp;"-"&amp;Ingresos_Historicos[[#This Row],[id]]</f>
        <v>300-0474</v>
      </c>
      <c r="W484" s="19" t="e">
        <f>+VLOOKUP(Ingresos_Historicos[[#This Row],[Filtro URL]],Estructura!$X$4:$Y$366,2,0)</f>
        <v>#N/A</v>
      </c>
      <c r="X484" s="19" t="str">
        <f>+VLOOKUP(Ingresos_Historicos[[#This Row],[tema]],Estructura!$A$4:$C$18,3,0)</f>
        <v>T-310</v>
      </c>
      <c r="Y484" s="19" t="str">
        <f>+VLOOKUP(Ingresos_Historicos[[#This Row],[contenido]],Estructura!$E$4:$G$18,3,0)</f>
        <v>C-303</v>
      </c>
      <c r="Z484" s="19" t="str">
        <f>+VLOOKUP(Ingresos_Historicos[[#This Row],[Filtro Integrado]],Estructura!$M$4:$O$367,3,0)</f>
        <v>FI-303</v>
      </c>
      <c r="AA484" s="19" t="str">
        <f>+VLOOKUP(Ingresos_Historicos[[#This Row],[Muestra]],Estructura!$Q$4:$S$194,3,0)</f>
        <v>M-310</v>
      </c>
    </row>
    <row r="485" spans="1:27" ht="91.8" x14ac:dyDescent="0.3">
      <c r="A485" s="71" t="s">
        <v>871</v>
      </c>
      <c r="B485" s="12">
        <f t="shared" si="99"/>
        <v>300</v>
      </c>
      <c r="C485" s="13" t="str">
        <f t="shared" si="99"/>
        <v>Violencia contra la mujer</v>
      </c>
      <c r="D485" s="13" t="str">
        <f t="shared" si="99"/>
        <v>Mujeres</v>
      </c>
      <c r="E485" s="39">
        <v>63</v>
      </c>
      <c r="F485" s="13" t="s">
        <v>7581</v>
      </c>
      <c r="G485" s="13" t="s">
        <v>7576</v>
      </c>
      <c r="H485" s="38" t="s">
        <v>17</v>
      </c>
      <c r="I485" s="37" t="s">
        <v>300</v>
      </c>
      <c r="J485" s="12" t="s">
        <v>398</v>
      </c>
      <c r="K485" s="12" t="str">
        <f t="shared" si="100"/>
        <v>Sentencias Dictadas por Delitos Vinculados a la Mujer</v>
      </c>
      <c r="L485" s="75" t="str">
        <f t="shared" si="100"/>
        <v>Periodo 2013-2019</v>
      </c>
      <c r="M485" s="12" t="str">
        <f t="shared" si="100"/>
        <v>Número de sentencias</v>
      </c>
      <c r="N485" s="33" t="s">
        <v>5964</v>
      </c>
      <c r="O48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5" s="42" t="s">
        <v>6328</v>
      </c>
      <c r="Q485" s="14" t="str">
        <f t="shared" si="93"/>
        <v>Gráfico de Evolución</v>
      </c>
      <c r="R485" s="27" t="s">
        <v>6266</v>
      </c>
      <c r="S485" s="15" t="s">
        <v>6880</v>
      </c>
      <c r="T485" s="65" t="s">
        <v>5919</v>
      </c>
      <c r="U485" s="24" t="s">
        <v>397</v>
      </c>
      <c r="V485" s="19" t="str">
        <f>+Ingresos_Historicos[[#This Row],[idcoleccion]]&amp;"-"&amp;Ingresos_Historicos[[#This Row],[id]]</f>
        <v>300-0475</v>
      </c>
      <c r="W485" s="19" t="e">
        <f>+VLOOKUP(Ingresos_Historicos[[#This Row],[Filtro URL]],Estructura!$X$4:$Y$366,2,0)</f>
        <v>#N/A</v>
      </c>
      <c r="X485" s="19" t="str">
        <f>+VLOOKUP(Ingresos_Historicos[[#This Row],[tema]],Estructura!$A$4:$C$18,3,0)</f>
        <v>T-310</v>
      </c>
      <c r="Y485" s="19" t="str">
        <f>+VLOOKUP(Ingresos_Historicos[[#This Row],[contenido]],Estructura!$E$4:$G$18,3,0)</f>
        <v>C-303</v>
      </c>
      <c r="Z485" s="19" t="str">
        <f>+VLOOKUP(Ingresos_Historicos[[#This Row],[Filtro Integrado]],Estructura!$M$4:$O$367,3,0)</f>
        <v>FI-303</v>
      </c>
      <c r="AA485" s="19" t="str">
        <f>+VLOOKUP(Ingresos_Historicos[[#This Row],[Muestra]],Estructura!$Q$4:$S$194,3,0)</f>
        <v>M-310</v>
      </c>
    </row>
    <row r="486" spans="1:27" ht="91.8" x14ac:dyDescent="0.3">
      <c r="A486" s="71" t="s">
        <v>872</v>
      </c>
      <c r="B486" s="12">
        <f t="shared" ref="B486:D501" si="101">+B485</f>
        <v>300</v>
      </c>
      <c r="C486" s="13" t="str">
        <f t="shared" si="101"/>
        <v>Violencia contra la mujer</v>
      </c>
      <c r="D486" s="13" t="str">
        <f t="shared" si="101"/>
        <v>Mujeres</v>
      </c>
      <c r="E486" s="39">
        <v>64</v>
      </c>
      <c r="F486" s="13" t="s">
        <v>7581</v>
      </c>
      <c r="G486" s="13" t="s">
        <v>7576</v>
      </c>
      <c r="H486" s="38" t="s">
        <v>17</v>
      </c>
      <c r="I486" s="37" t="s">
        <v>300</v>
      </c>
      <c r="J486" s="12" t="s">
        <v>398</v>
      </c>
      <c r="K486" s="12" t="str">
        <f t="shared" si="100"/>
        <v>Sentencias Dictadas por Delitos Vinculados a la Mujer</v>
      </c>
      <c r="L486" s="75" t="str">
        <f t="shared" si="100"/>
        <v>Periodo 2013-2019</v>
      </c>
      <c r="M486" s="12" t="str">
        <f t="shared" si="100"/>
        <v>Número de sentencias</v>
      </c>
      <c r="N486" s="33" t="s">
        <v>5964</v>
      </c>
      <c r="O48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6" s="42" t="s">
        <v>6329</v>
      </c>
      <c r="Q486" s="14" t="str">
        <f t="shared" si="93"/>
        <v>Gráfico de Evolución</v>
      </c>
      <c r="R486" s="27" t="s">
        <v>6266</v>
      </c>
      <c r="S486" s="15" t="s">
        <v>6881</v>
      </c>
      <c r="T486" s="65" t="s">
        <v>5919</v>
      </c>
      <c r="U486" s="24" t="s">
        <v>397</v>
      </c>
      <c r="V486" s="19" t="str">
        <f>+Ingresos_Historicos[[#This Row],[idcoleccion]]&amp;"-"&amp;Ingresos_Historicos[[#This Row],[id]]</f>
        <v>300-0476</v>
      </c>
      <c r="W486" s="19" t="e">
        <f>+VLOOKUP(Ingresos_Historicos[[#This Row],[Filtro URL]],Estructura!$X$4:$Y$366,2,0)</f>
        <v>#N/A</v>
      </c>
      <c r="X486" s="19" t="str">
        <f>+VLOOKUP(Ingresos_Historicos[[#This Row],[tema]],Estructura!$A$4:$C$18,3,0)</f>
        <v>T-310</v>
      </c>
      <c r="Y486" s="19" t="str">
        <f>+VLOOKUP(Ingresos_Historicos[[#This Row],[contenido]],Estructura!$E$4:$G$18,3,0)</f>
        <v>C-303</v>
      </c>
      <c r="Z486" s="19" t="str">
        <f>+VLOOKUP(Ingresos_Historicos[[#This Row],[Filtro Integrado]],Estructura!$M$4:$O$367,3,0)</f>
        <v>FI-303</v>
      </c>
      <c r="AA486" s="19" t="str">
        <f>+VLOOKUP(Ingresos_Historicos[[#This Row],[Muestra]],Estructura!$Q$4:$S$194,3,0)</f>
        <v>M-310</v>
      </c>
    </row>
    <row r="487" spans="1:27" ht="91.8" x14ac:dyDescent="0.3">
      <c r="A487" s="71" t="s">
        <v>873</v>
      </c>
      <c r="B487" s="12">
        <f t="shared" si="101"/>
        <v>300</v>
      </c>
      <c r="C487" s="13" t="str">
        <f t="shared" si="101"/>
        <v>Violencia contra la mujer</v>
      </c>
      <c r="D487" s="13" t="str">
        <f t="shared" si="101"/>
        <v>Mujeres</v>
      </c>
      <c r="E487" s="39">
        <v>65</v>
      </c>
      <c r="F487" s="13" t="s">
        <v>7581</v>
      </c>
      <c r="G487" s="13" t="s">
        <v>7576</v>
      </c>
      <c r="H487" s="38" t="s">
        <v>17</v>
      </c>
      <c r="I487" s="37" t="s">
        <v>300</v>
      </c>
      <c r="J487" s="12" t="s">
        <v>398</v>
      </c>
      <c r="K487" s="12" t="str">
        <f t="shared" si="100"/>
        <v>Sentencias Dictadas por Delitos Vinculados a la Mujer</v>
      </c>
      <c r="L487" s="75" t="str">
        <f t="shared" si="100"/>
        <v>Periodo 2013-2019</v>
      </c>
      <c r="M487" s="12" t="str">
        <f t="shared" si="100"/>
        <v>Número de sentencias</v>
      </c>
      <c r="N487" s="33" t="s">
        <v>5964</v>
      </c>
      <c r="O48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7" s="42" t="s">
        <v>6330</v>
      </c>
      <c r="Q487" s="14" t="str">
        <f t="shared" ref="Q487:Q550" si="102">+Q486</f>
        <v>Gráfico de Evolución</v>
      </c>
      <c r="R487" s="27" t="s">
        <v>6266</v>
      </c>
      <c r="S487" s="15" t="s">
        <v>6882</v>
      </c>
      <c r="T487" s="65" t="s">
        <v>5919</v>
      </c>
      <c r="U487" s="24" t="s">
        <v>397</v>
      </c>
      <c r="V487" s="19" t="str">
        <f>+Ingresos_Historicos[[#This Row],[idcoleccion]]&amp;"-"&amp;Ingresos_Historicos[[#This Row],[id]]</f>
        <v>300-0477</v>
      </c>
      <c r="W487" s="19" t="e">
        <f>+VLOOKUP(Ingresos_Historicos[[#This Row],[Filtro URL]],Estructura!$X$4:$Y$366,2,0)</f>
        <v>#N/A</v>
      </c>
      <c r="X487" s="19" t="str">
        <f>+VLOOKUP(Ingresos_Historicos[[#This Row],[tema]],Estructura!$A$4:$C$18,3,0)</f>
        <v>T-310</v>
      </c>
      <c r="Y487" s="19" t="str">
        <f>+VLOOKUP(Ingresos_Historicos[[#This Row],[contenido]],Estructura!$E$4:$G$18,3,0)</f>
        <v>C-303</v>
      </c>
      <c r="Z487" s="19" t="str">
        <f>+VLOOKUP(Ingresos_Historicos[[#This Row],[Filtro Integrado]],Estructura!$M$4:$O$367,3,0)</f>
        <v>FI-303</v>
      </c>
      <c r="AA487" s="19" t="str">
        <f>+VLOOKUP(Ingresos_Historicos[[#This Row],[Muestra]],Estructura!$Q$4:$S$194,3,0)</f>
        <v>M-310</v>
      </c>
    </row>
    <row r="488" spans="1:27" ht="91.8" x14ac:dyDescent="0.3">
      <c r="A488" s="71" t="s">
        <v>874</v>
      </c>
      <c r="B488" s="12">
        <f t="shared" si="101"/>
        <v>300</v>
      </c>
      <c r="C488" s="13" t="str">
        <f t="shared" si="101"/>
        <v>Violencia contra la mujer</v>
      </c>
      <c r="D488" s="13" t="str">
        <f t="shared" si="101"/>
        <v>Mujeres</v>
      </c>
      <c r="E488" s="39">
        <v>66</v>
      </c>
      <c r="F488" s="13" t="s">
        <v>7581</v>
      </c>
      <c r="G488" s="13" t="s">
        <v>7576</v>
      </c>
      <c r="H488" s="38" t="s">
        <v>17</v>
      </c>
      <c r="I488" s="37" t="s">
        <v>300</v>
      </c>
      <c r="J488" s="12" t="s">
        <v>398</v>
      </c>
      <c r="K488" s="12" t="str">
        <f t="shared" ref="K488:M503" si="103">+K487</f>
        <v>Sentencias Dictadas por Delitos Vinculados a la Mujer</v>
      </c>
      <c r="L488" s="75" t="str">
        <f t="shared" si="103"/>
        <v>Periodo 2013-2019</v>
      </c>
      <c r="M488" s="12" t="str">
        <f t="shared" si="103"/>
        <v>Número de sentencias</v>
      </c>
      <c r="N488" s="33" t="s">
        <v>5964</v>
      </c>
      <c r="O48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8" s="42" t="s">
        <v>6331</v>
      </c>
      <c r="Q488" s="14" t="str">
        <f t="shared" si="102"/>
        <v>Gráfico de Evolución</v>
      </c>
      <c r="R488" s="27" t="s">
        <v>6266</v>
      </c>
      <c r="S488" s="15" t="s">
        <v>6883</v>
      </c>
      <c r="T488" s="65" t="s">
        <v>5919</v>
      </c>
      <c r="U488" s="24" t="s">
        <v>397</v>
      </c>
      <c r="V488" s="19" t="str">
        <f>+Ingresos_Historicos[[#This Row],[idcoleccion]]&amp;"-"&amp;Ingresos_Historicos[[#This Row],[id]]</f>
        <v>300-0478</v>
      </c>
      <c r="W488" s="19" t="e">
        <f>+VLOOKUP(Ingresos_Historicos[[#This Row],[Filtro URL]],Estructura!$X$4:$Y$366,2,0)</f>
        <v>#N/A</v>
      </c>
      <c r="X488" s="19" t="str">
        <f>+VLOOKUP(Ingresos_Historicos[[#This Row],[tema]],Estructura!$A$4:$C$18,3,0)</f>
        <v>T-310</v>
      </c>
      <c r="Y488" s="19" t="str">
        <f>+VLOOKUP(Ingresos_Historicos[[#This Row],[contenido]],Estructura!$E$4:$G$18,3,0)</f>
        <v>C-303</v>
      </c>
      <c r="Z488" s="19" t="str">
        <f>+VLOOKUP(Ingresos_Historicos[[#This Row],[Filtro Integrado]],Estructura!$M$4:$O$367,3,0)</f>
        <v>FI-303</v>
      </c>
      <c r="AA488" s="19" t="str">
        <f>+VLOOKUP(Ingresos_Historicos[[#This Row],[Muestra]],Estructura!$Q$4:$S$194,3,0)</f>
        <v>M-310</v>
      </c>
    </row>
    <row r="489" spans="1:27" ht="91.8" x14ac:dyDescent="0.3">
      <c r="A489" s="71" t="s">
        <v>875</v>
      </c>
      <c r="B489" s="12">
        <f t="shared" si="101"/>
        <v>300</v>
      </c>
      <c r="C489" s="13" t="str">
        <f t="shared" si="101"/>
        <v>Violencia contra la mujer</v>
      </c>
      <c r="D489" s="13" t="str">
        <f t="shared" si="101"/>
        <v>Mujeres</v>
      </c>
      <c r="E489" s="39">
        <v>67</v>
      </c>
      <c r="F489" s="13" t="s">
        <v>7581</v>
      </c>
      <c r="G489" s="13" t="s">
        <v>7576</v>
      </c>
      <c r="H489" s="38" t="s">
        <v>17</v>
      </c>
      <c r="I489" s="37" t="s">
        <v>300</v>
      </c>
      <c r="J489" s="12" t="s">
        <v>398</v>
      </c>
      <c r="K489" s="12" t="str">
        <f t="shared" si="103"/>
        <v>Sentencias Dictadas por Delitos Vinculados a la Mujer</v>
      </c>
      <c r="L489" s="75" t="str">
        <f t="shared" si="103"/>
        <v>Periodo 2013-2019</v>
      </c>
      <c r="M489" s="12" t="str">
        <f t="shared" si="103"/>
        <v>Número de sentencias</v>
      </c>
      <c r="N489" s="33" t="s">
        <v>5964</v>
      </c>
      <c r="O48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89" s="42" t="s">
        <v>6332</v>
      </c>
      <c r="Q489" s="14" t="str">
        <f t="shared" si="102"/>
        <v>Gráfico de Evolución</v>
      </c>
      <c r="R489" s="27" t="s">
        <v>6266</v>
      </c>
      <c r="S489" s="15" t="s">
        <v>6884</v>
      </c>
      <c r="T489" s="65" t="s">
        <v>5919</v>
      </c>
      <c r="U489" s="24" t="s">
        <v>397</v>
      </c>
      <c r="V489" s="19" t="str">
        <f>+Ingresos_Historicos[[#This Row],[idcoleccion]]&amp;"-"&amp;Ingresos_Historicos[[#This Row],[id]]</f>
        <v>300-0479</v>
      </c>
      <c r="W489" s="19" t="e">
        <f>+VLOOKUP(Ingresos_Historicos[[#This Row],[Filtro URL]],Estructura!$X$4:$Y$366,2,0)</f>
        <v>#N/A</v>
      </c>
      <c r="X489" s="19" t="str">
        <f>+VLOOKUP(Ingresos_Historicos[[#This Row],[tema]],Estructura!$A$4:$C$18,3,0)</f>
        <v>T-310</v>
      </c>
      <c r="Y489" s="19" t="str">
        <f>+VLOOKUP(Ingresos_Historicos[[#This Row],[contenido]],Estructura!$E$4:$G$18,3,0)</f>
        <v>C-303</v>
      </c>
      <c r="Z489" s="19" t="str">
        <f>+VLOOKUP(Ingresos_Historicos[[#This Row],[Filtro Integrado]],Estructura!$M$4:$O$367,3,0)</f>
        <v>FI-303</v>
      </c>
      <c r="AA489" s="19" t="str">
        <f>+VLOOKUP(Ingresos_Historicos[[#This Row],[Muestra]],Estructura!$Q$4:$S$194,3,0)</f>
        <v>M-310</v>
      </c>
    </row>
    <row r="490" spans="1:27" ht="91.8" x14ac:dyDescent="0.3">
      <c r="A490" s="71" t="s">
        <v>876</v>
      </c>
      <c r="B490" s="12">
        <f t="shared" si="101"/>
        <v>300</v>
      </c>
      <c r="C490" s="13" t="str">
        <f t="shared" si="101"/>
        <v>Violencia contra la mujer</v>
      </c>
      <c r="D490" s="13" t="str">
        <f t="shared" si="101"/>
        <v>Mujeres</v>
      </c>
      <c r="E490" s="39">
        <v>68</v>
      </c>
      <c r="F490" s="13" t="s">
        <v>7581</v>
      </c>
      <c r="G490" s="13" t="s">
        <v>7576</v>
      </c>
      <c r="H490" s="38" t="s">
        <v>17</v>
      </c>
      <c r="I490" s="37" t="s">
        <v>300</v>
      </c>
      <c r="J490" s="12" t="s">
        <v>398</v>
      </c>
      <c r="K490" s="12" t="str">
        <f t="shared" si="103"/>
        <v>Sentencias Dictadas por Delitos Vinculados a la Mujer</v>
      </c>
      <c r="L490" s="75" t="str">
        <f t="shared" si="103"/>
        <v>Periodo 2013-2019</v>
      </c>
      <c r="M490" s="12" t="str">
        <f t="shared" si="103"/>
        <v>Número de sentencias</v>
      </c>
      <c r="N490" s="33" t="s">
        <v>5964</v>
      </c>
      <c r="O49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0" s="42" t="s">
        <v>6333</v>
      </c>
      <c r="Q490" s="14" t="str">
        <f t="shared" si="102"/>
        <v>Gráfico de Evolución</v>
      </c>
      <c r="R490" s="27" t="s">
        <v>6266</v>
      </c>
      <c r="S490" s="15" t="s">
        <v>6885</v>
      </c>
      <c r="T490" s="65" t="s">
        <v>5919</v>
      </c>
      <c r="U490" s="24" t="s">
        <v>397</v>
      </c>
      <c r="V490" s="19" t="str">
        <f>+Ingresos_Historicos[[#This Row],[idcoleccion]]&amp;"-"&amp;Ingresos_Historicos[[#This Row],[id]]</f>
        <v>300-0480</v>
      </c>
      <c r="W490" s="19" t="e">
        <f>+VLOOKUP(Ingresos_Historicos[[#This Row],[Filtro URL]],Estructura!$X$4:$Y$366,2,0)</f>
        <v>#N/A</v>
      </c>
      <c r="X490" s="19" t="str">
        <f>+VLOOKUP(Ingresos_Historicos[[#This Row],[tema]],Estructura!$A$4:$C$18,3,0)</f>
        <v>T-310</v>
      </c>
      <c r="Y490" s="19" t="str">
        <f>+VLOOKUP(Ingresos_Historicos[[#This Row],[contenido]],Estructura!$E$4:$G$18,3,0)</f>
        <v>C-303</v>
      </c>
      <c r="Z490" s="19" t="str">
        <f>+VLOOKUP(Ingresos_Historicos[[#This Row],[Filtro Integrado]],Estructura!$M$4:$O$367,3,0)</f>
        <v>FI-303</v>
      </c>
      <c r="AA490" s="19" t="str">
        <f>+VLOOKUP(Ingresos_Historicos[[#This Row],[Muestra]],Estructura!$Q$4:$S$194,3,0)</f>
        <v>M-310</v>
      </c>
    </row>
    <row r="491" spans="1:27" ht="91.8" x14ac:dyDescent="0.3">
      <c r="A491" s="71" t="s">
        <v>877</v>
      </c>
      <c r="B491" s="12">
        <f t="shared" si="101"/>
        <v>300</v>
      </c>
      <c r="C491" s="13" t="str">
        <f t="shared" si="101"/>
        <v>Violencia contra la mujer</v>
      </c>
      <c r="D491" s="13" t="str">
        <f t="shared" si="101"/>
        <v>Mujeres</v>
      </c>
      <c r="E491" s="39">
        <v>69</v>
      </c>
      <c r="F491" s="13" t="s">
        <v>7581</v>
      </c>
      <c r="G491" s="13" t="s">
        <v>7576</v>
      </c>
      <c r="H491" s="38" t="s">
        <v>17</v>
      </c>
      <c r="I491" s="37" t="s">
        <v>300</v>
      </c>
      <c r="J491" s="12" t="s">
        <v>398</v>
      </c>
      <c r="K491" s="12" t="str">
        <f t="shared" si="103"/>
        <v>Sentencias Dictadas por Delitos Vinculados a la Mujer</v>
      </c>
      <c r="L491" s="75" t="str">
        <f t="shared" si="103"/>
        <v>Periodo 2013-2019</v>
      </c>
      <c r="M491" s="12" t="str">
        <f t="shared" si="103"/>
        <v>Número de sentencias</v>
      </c>
      <c r="N491" s="33" t="s">
        <v>5964</v>
      </c>
      <c r="O49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1" s="42" t="s">
        <v>6334</v>
      </c>
      <c r="Q491" s="14" t="str">
        <f t="shared" si="102"/>
        <v>Gráfico de Evolución</v>
      </c>
      <c r="R491" s="27" t="s">
        <v>6266</v>
      </c>
      <c r="S491" s="15" t="s">
        <v>6886</v>
      </c>
      <c r="T491" s="65" t="s">
        <v>5919</v>
      </c>
      <c r="U491" s="24" t="s">
        <v>397</v>
      </c>
      <c r="V491" s="19" t="str">
        <f>+Ingresos_Historicos[[#This Row],[idcoleccion]]&amp;"-"&amp;Ingresos_Historicos[[#This Row],[id]]</f>
        <v>300-0481</v>
      </c>
      <c r="W491" s="19" t="e">
        <f>+VLOOKUP(Ingresos_Historicos[[#This Row],[Filtro URL]],Estructura!$X$4:$Y$366,2,0)</f>
        <v>#N/A</v>
      </c>
      <c r="X491" s="19" t="str">
        <f>+VLOOKUP(Ingresos_Historicos[[#This Row],[tema]],Estructura!$A$4:$C$18,3,0)</f>
        <v>T-310</v>
      </c>
      <c r="Y491" s="19" t="str">
        <f>+VLOOKUP(Ingresos_Historicos[[#This Row],[contenido]],Estructura!$E$4:$G$18,3,0)</f>
        <v>C-303</v>
      </c>
      <c r="Z491" s="19" t="str">
        <f>+VLOOKUP(Ingresos_Historicos[[#This Row],[Filtro Integrado]],Estructura!$M$4:$O$367,3,0)</f>
        <v>FI-303</v>
      </c>
      <c r="AA491" s="19" t="str">
        <f>+VLOOKUP(Ingresos_Historicos[[#This Row],[Muestra]],Estructura!$Q$4:$S$194,3,0)</f>
        <v>M-310</v>
      </c>
    </row>
    <row r="492" spans="1:27" ht="91.8" x14ac:dyDescent="0.3">
      <c r="A492" s="71" t="s">
        <v>878</v>
      </c>
      <c r="B492" s="12">
        <f t="shared" si="101"/>
        <v>300</v>
      </c>
      <c r="C492" s="13" t="str">
        <f t="shared" si="101"/>
        <v>Violencia contra la mujer</v>
      </c>
      <c r="D492" s="13" t="str">
        <f t="shared" si="101"/>
        <v>Mujeres</v>
      </c>
      <c r="E492" s="39">
        <v>70</v>
      </c>
      <c r="F492" s="13" t="s">
        <v>7581</v>
      </c>
      <c r="G492" s="13" t="s">
        <v>7576</v>
      </c>
      <c r="H492" s="38" t="s">
        <v>17</v>
      </c>
      <c r="I492" s="37" t="s">
        <v>300</v>
      </c>
      <c r="J492" s="12" t="s">
        <v>398</v>
      </c>
      <c r="K492" s="12" t="str">
        <f t="shared" si="103"/>
        <v>Sentencias Dictadas por Delitos Vinculados a la Mujer</v>
      </c>
      <c r="L492" s="75" t="str">
        <f t="shared" si="103"/>
        <v>Periodo 2013-2019</v>
      </c>
      <c r="M492" s="12" t="str">
        <f t="shared" si="103"/>
        <v>Número de sentencias</v>
      </c>
      <c r="N492" s="33" t="s">
        <v>5964</v>
      </c>
      <c r="O49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2" s="42" t="s">
        <v>6335</v>
      </c>
      <c r="Q492" s="14" t="str">
        <f t="shared" si="102"/>
        <v>Gráfico de Evolución</v>
      </c>
      <c r="R492" s="27" t="s">
        <v>6266</v>
      </c>
      <c r="S492" s="15" t="s">
        <v>6887</v>
      </c>
      <c r="T492" s="65" t="s">
        <v>5919</v>
      </c>
      <c r="U492" s="24" t="s">
        <v>397</v>
      </c>
      <c r="V492" s="19" t="str">
        <f>+Ingresos_Historicos[[#This Row],[idcoleccion]]&amp;"-"&amp;Ingresos_Historicos[[#This Row],[id]]</f>
        <v>300-0482</v>
      </c>
      <c r="W492" s="19" t="e">
        <f>+VLOOKUP(Ingresos_Historicos[[#This Row],[Filtro URL]],Estructura!$X$4:$Y$366,2,0)</f>
        <v>#N/A</v>
      </c>
      <c r="X492" s="19" t="str">
        <f>+VLOOKUP(Ingresos_Historicos[[#This Row],[tema]],Estructura!$A$4:$C$18,3,0)</f>
        <v>T-310</v>
      </c>
      <c r="Y492" s="19" t="str">
        <f>+VLOOKUP(Ingresos_Historicos[[#This Row],[contenido]],Estructura!$E$4:$G$18,3,0)</f>
        <v>C-303</v>
      </c>
      <c r="Z492" s="19" t="str">
        <f>+VLOOKUP(Ingresos_Historicos[[#This Row],[Filtro Integrado]],Estructura!$M$4:$O$367,3,0)</f>
        <v>FI-303</v>
      </c>
      <c r="AA492" s="19" t="str">
        <f>+VLOOKUP(Ingresos_Historicos[[#This Row],[Muestra]],Estructura!$Q$4:$S$194,3,0)</f>
        <v>M-310</v>
      </c>
    </row>
    <row r="493" spans="1:27" ht="91.8" x14ac:dyDescent="0.3">
      <c r="A493" s="71" t="s">
        <v>879</v>
      </c>
      <c r="B493" s="12">
        <f t="shared" si="101"/>
        <v>300</v>
      </c>
      <c r="C493" s="13" t="str">
        <f t="shared" si="101"/>
        <v>Violencia contra la mujer</v>
      </c>
      <c r="D493" s="13" t="str">
        <f t="shared" si="101"/>
        <v>Mujeres</v>
      </c>
      <c r="E493" s="39">
        <v>71</v>
      </c>
      <c r="F493" s="13" t="s">
        <v>7581</v>
      </c>
      <c r="G493" s="13" t="s">
        <v>7576</v>
      </c>
      <c r="H493" s="38" t="s">
        <v>17</v>
      </c>
      <c r="I493" s="37" t="s">
        <v>300</v>
      </c>
      <c r="J493" s="12" t="s">
        <v>398</v>
      </c>
      <c r="K493" s="12" t="str">
        <f t="shared" si="103"/>
        <v>Sentencias Dictadas por Delitos Vinculados a la Mujer</v>
      </c>
      <c r="L493" s="75" t="str">
        <f t="shared" si="103"/>
        <v>Periodo 2013-2019</v>
      </c>
      <c r="M493" s="12" t="str">
        <f t="shared" si="103"/>
        <v>Número de sentencias</v>
      </c>
      <c r="N493" s="33" t="s">
        <v>5964</v>
      </c>
      <c r="O49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3" s="42" t="s">
        <v>6336</v>
      </c>
      <c r="Q493" s="14" t="str">
        <f t="shared" si="102"/>
        <v>Gráfico de Evolución</v>
      </c>
      <c r="R493" s="27" t="s">
        <v>6266</v>
      </c>
      <c r="S493" s="15" t="s">
        <v>6888</v>
      </c>
      <c r="T493" s="65" t="s">
        <v>5919</v>
      </c>
      <c r="U493" s="24" t="s">
        <v>397</v>
      </c>
      <c r="V493" s="19" t="str">
        <f>+Ingresos_Historicos[[#This Row],[idcoleccion]]&amp;"-"&amp;Ingresos_Historicos[[#This Row],[id]]</f>
        <v>300-0483</v>
      </c>
      <c r="W493" s="19" t="e">
        <f>+VLOOKUP(Ingresos_Historicos[[#This Row],[Filtro URL]],Estructura!$X$4:$Y$366,2,0)</f>
        <v>#N/A</v>
      </c>
      <c r="X493" s="19" t="str">
        <f>+VLOOKUP(Ingresos_Historicos[[#This Row],[tema]],Estructura!$A$4:$C$18,3,0)</f>
        <v>T-310</v>
      </c>
      <c r="Y493" s="19" t="str">
        <f>+VLOOKUP(Ingresos_Historicos[[#This Row],[contenido]],Estructura!$E$4:$G$18,3,0)</f>
        <v>C-303</v>
      </c>
      <c r="Z493" s="19" t="str">
        <f>+VLOOKUP(Ingresos_Historicos[[#This Row],[Filtro Integrado]],Estructura!$M$4:$O$367,3,0)</f>
        <v>FI-303</v>
      </c>
      <c r="AA493" s="19" t="str">
        <f>+VLOOKUP(Ingresos_Historicos[[#This Row],[Muestra]],Estructura!$Q$4:$S$194,3,0)</f>
        <v>M-310</v>
      </c>
    </row>
    <row r="494" spans="1:27" ht="91.8" x14ac:dyDescent="0.3">
      <c r="A494" s="71" t="s">
        <v>880</v>
      </c>
      <c r="B494" s="12">
        <f t="shared" si="101"/>
        <v>300</v>
      </c>
      <c r="C494" s="13" t="str">
        <f t="shared" si="101"/>
        <v>Violencia contra la mujer</v>
      </c>
      <c r="D494" s="13" t="str">
        <f t="shared" si="101"/>
        <v>Mujeres</v>
      </c>
      <c r="E494" s="39">
        <v>72</v>
      </c>
      <c r="F494" s="13" t="s">
        <v>7581</v>
      </c>
      <c r="G494" s="13" t="s">
        <v>7576</v>
      </c>
      <c r="H494" s="38" t="s">
        <v>17</v>
      </c>
      <c r="I494" s="37" t="s">
        <v>300</v>
      </c>
      <c r="J494" s="12" t="s">
        <v>398</v>
      </c>
      <c r="K494" s="12" t="str">
        <f t="shared" si="103"/>
        <v>Sentencias Dictadas por Delitos Vinculados a la Mujer</v>
      </c>
      <c r="L494" s="75" t="str">
        <f t="shared" si="103"/>
        <v>Periodo 2013-2019</v>
      </c>
      <c r="M494" s="12" t="str">
        <f t="shared" si="103"/>
        <v>Número de sentencias</v>
      </c>
      <c r="N494" s="33" t="s">
        <v>5964</v>
      </c>
      <c r="O49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4" s="42" t="s">
        <v>6337</v>
      </c>
      <c r="Q494" s="14" t="str">
        <f t="shared" si="102"/>
        <v>Gráfico de Evolución</v>
      </c>
      <c r="R494" s="27" t="s">
        <v>6266</v>
      </c>
      <c r="S494" s="15" t="s">
        <v>6889</v>
      </c>
      <c r="T494" s="65" t="s">
        <v>5919</v>
      </c>
      <c r="U494" s="24" t="s">
        <v>397</v>
      </c>
      <c r="V494" s="19" t="str">
        <f>+Ingresos_Historicos[[#This Row],[idcoleccion]]&amp;"-"&amp;Ingresos_Historicos[[#This Row],[id]]</f>
        <v>300-0484</v>
      </c>
      <c r="W494" s="19" t="e">
        <f>+VLOOKUP(Ingresos_Historicos[[#This Row],[Filtro URL]],Estructura!$X$4:$Y$366,2,0)</f>
        <v>#N/A</v>
      </c>
      <c r="X494" s="19" t="str">
        <f>+VLOOKUP(Ingresos_Historicos[[#This Row],[tema]],Estructura!$A$4:$C$18,3,0)</f>
        <v>T-310</v>
      </c>
      <c r="Y494" s="19" t="str">
        <f>+VLOOKUP(Ingresos_Historicos[[#This Row],[contenido]],Estructura!$E$4:$G$18,3,0)</f>
        <v>C-303</v>
      </c>
      <c r="Z494" s="19" t="str">
        <f>+VLOOKUP(Ingresos_Historicos[[#This Row],[Filtro Integrado]],Estructura!$M$4:$O$367,3,0)</f>
        <v>FI-303</v>
      </c>
      <c r="AA494" s="19" t="str">
        <f>+VLOOKUP(Ingresos_Historicos[[#This Row],[Muestra]],Estructura!$Q$4:$S$194,3,0)</f>
        <v>M-310</v>
      </c>
    </row>
    <row r="495" spans="1:27" ht="91.8" x14ac:dyDescent="0.3">
      <c r="A495" s="71" t="s">
        <v>881</v>
      </c>
      <c r="B495" s="12">
        <f t="shared" si="101"/>
        <v>300</v>
      </c>
      <c r="C495" s="13" t="str">
        <f t="shared" si="101"/>
        <v>Violencia contra la mujer</v>
      </c>
      <c r="D495" s="13" t="str">
        <f t="shared" si="101"/>
        <v>Mujeres</v>
      </c>
      <c r="E495" s="39">
        <v>73</v>
      </c>
      <c r="F495" s="13" t="s">
        <v>7581</v>
      </c>
      <c r="G495" s="13" t="s">
        <v>7576</v>
      </c>
      <c r="H495" s="38" t="s">
        <v>17</v>
      </c>
      <c r="I495" s="37" t="s">
        <v>300</v>
      </c>
      <c r="J495" s="12" t="s">
        <v>398</v>
      </c>
      <c r="K495" s="12" t="str">
        <f t="shared" si="103"/>
        <v>Sentencias Dictadas por Delitos Vinculados a la Mujer</v>
      </c>
      <c r="L495" s="75" t="str">
        <f t="shared" si="103"/>
        <v>Periodo 2013-2019</v>
      </c>
      <c r="M495" s="12" t="str">
        <f t="shared" si="103"/>
        <v>Número de sentencias</v>
      </c>
      <c r="N495" s="33" t="s">
        <v>5964</v>
      </c>
      <c r="O495"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5" s="42" t="s">
        <v>6338</v>
      </c>
      <c r="Q495" s="14" t="str">
        <f t="shared" si="102"/>
        <v>Gráfico de Evolución</v>
      </c>
      <c r="R495" s="27" t="s">
        <v>6266</v>
      </c>
      <c r="S495" s="15" t="s">
        <v>6890</v>
      </c>
      <c r="T495" s="65" t="s">
        <v>5919</v>
      </c>
      <c r="U495" s="24" t="s">
        <v>397</v>
      </c>
      <c r="V495" s="19" t="str">
        <f>+Ingresos_Historicos[[#This Row],[idcoleccion]]&amp;"-"&amp;Ingresos_Historicos[[#This Row],[id]]</f>
        <v>300-0485</v>
      </c>
      <c r="W495" s="19" t="e">
        <f>+VLOOKUP(Ingresos_Historicos[[#This Row],[Filtro URL]],Estructura!$X$4:$Y$366,2,0)</f>
        <v>#N/A</v>
      </c>
      <c r="X495" s="19" t="str">
        <f>+VLOOKUP(Ingresos_Historicos[[#This Row],[tema]],Estructura!$A$4:$C$18,3,0)</f>
        <v>T-310</v>
      </c>
      <c r="Y495" s="19" t="str">
        <f>+VLOOKUP(Ingresos_Historicos[[#This Row],[contenido]],Estructura!$E$4:$G$18,3,0)</f>
        <v>C-303</v>
      </c>
      <c r="Z495" s="19" t="str">
        <f>+VLOOKUP(Ingresos_Historicos[[#This Row],[Filtro Integrado]],Estructura!$M$4:$O$367,3,0)</f>
        <v>FI-303</v>
      </c>
      <c r="AA495" s="19" t="str">
        <f>+VLOOKUP(Ingresos_Historicos[[#This Row],[Muestra]],Estructura!$Q$4:$S$194,3,0)</f>
        <v>M-310</v>
      </c>
    </row>
    <row r="496" spans="1:27" ht="91.8" x14ac:dyDescent="0.3">
      <c r="A496" s="71" t="s">
        <v>882</v>
      </c>
      <c r="B496" s="12">
        <f t="shared" si="101"/>
        <v>300</v>
      </c>
      <c r="C496" s="13" t="str">
        <f t="shared" si="101"/>
        <v>Violencia contra la mujer</v>
      </c>
      <c r="D496" s="13" t="str">
        <f t="shared" si="101"/>
        <v>Mujeres</v>
      </c>
      <c r="E496" s="39">
        <v>74</v>
      </c>
      <c r="F496" s="13" t="s">
        <v>7581</v>
      </c>
      <c r="G496" s="13" t="s">
        <v>7576</v>
      </c>
      <c r="H496" s="38" t="s">
        <v>17</v>
      </c>
      <c r="I496" s="37" t="s">
        <v>300</v>
      </c>
      <c r="J496" s="12" t="s">
        <v>398</v>
      </c>
      <c r="K496" s="12" t="str">
        <f t="shared" si="103"/>
        <v>Sentencias Dictadas por Delitos Vinculados a la Mujer</v>
      </c>
      <c r="L496" s="75" t="str">
        <f t="shared" si="103"/>
        <v>Periodo 2013-2019</v>
      </c>
      <c r="M496" s="12" t="str">
        <f t="shared" si="103"/>
        <v>Número de sentencias</v>
      </c>
      <c r="N496" s="33" t="s">
        <v>5964</v>
      </c>
      <c r="O496"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6" s="42" t="s">
        <v>6339</v>
      </c>
      <c r="Q496" s="14" t="str">
        <f t="shared" si="102"/>
        <v>Gráfico de Evolución</v>
      </c>
      <c r="R496" s="27" t="s">
        <v>6266</v>
      </c>
      <c r="S496" s="15" t="s">
        <v>6891</v>
      </c>
      <c r="T496" s="65" t="s">
        <v>5919</v>
      </c>
      <c r="U496" s="24" t="s">
        <v>397</v>
      </c>
      <c r="V496" s="19" t="str">
        <f>+Ingresos_Historicos[[#This Row],[idcoleccion]]&amp;"-"&amp;Ingresos_Historicos[[#This Row],[id]]</f>
        <v>300-0486</v>
      </c>
      <c r="W496" s="19" t="e">
        <f>+VLOOKUP(Ingresos_Historicos[[#This Row],[Filtro URL]],Estructura!$X$4:$Y$366,2,0)</f>
        <v>#N/A</v>
      </c>
      <c r="X496" s="19" t="str">
        <f>+VLOOKUP(Ingresos_Historicos[[#This Row],[tema]],Estructura!$A$4:$C$18,3,0)</f>
        <v>T-310</v>
      </c>
      <c r="Y496" s="19" t="str">
        <f>+VLOOKUP(Ingresos_Historicos[[#This Row],[contenido]],Estructura!$E$4:$G$18,3,0)</f>
        <v>C-303</v>
      </c>
      <c r="Z496" s="19" t="str">
        <f>+VLOOKUP(Ingresos_Historicos[[#This Row],[Filtro Integrado]],Estructura!$M$4:$O$367,3,0)</f>
        <v>FI-303</v>
      </c>
      <c r="AA496" s="19" t="str">
        <f>+VLOOKUP(Ingresos_Historicos[[#This Row],[Muestra]],Estructura!$Q$4:$S$194,3,0)</f>
        <v>M-310</v>
      </c>
    </row>
    <row r="497" spans="1:27" ht="91.8" x14ac:dyDescent="0.3">
      <c r="A497" s="71" t="s">
        <v>883</v>
      </c>
      <c r="B497" s="12">
        <f t="shared" si="101"/>
        <v>300</v>
      </c>
      <c r="C497" s="13" t="str">
        <f t="shared" si="101"/>
        <v>Violencia contra la mujer</v>
      </c>
      <c r="D497" s="13" t="str">
        <f t="shared" si="101"/>
        <v>Mujeres</v>
      </c>
      <c r="E497" s="39">
        <v>75</v>
      </c>
      <c r="F497" s="13" t="s">
        <v>7581</v>
      </c>
      <c r="G497" s="13" t="s">
        <v>7576</v>
      </c>
      <c r="H497" s="38" t="s">
        <v>17</v>
      </c>
      <c r="I497" s="37" t="s">
        <v>300</v>
      </c>
      <c r="J497" s="12" t="s">
        <v>398</v>
      </c>
      <c r="K497" s="12" t="str">
        <f t="shared" si="103"/>
        <v>Sentencias Dictadas por Delitos Vinculados a la Mujer</v>
      </c>
      <c r="L497" s="75" t="str">
        <f t="shared" si="103"/>
        <v>Periodo 2013-2019</v>
      </c>
      <c r="M497" s="12" t="str">
        <f t="shared" si="103"/>
        <v>Número de sentencias</v>
      </c>
      <c r="N497" s="33" t="s">
        <v>5964</v>
      </c>
      <c r="O497"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Santiago para el Periodo 2013-2019</v>
      </c>
      <c r="P497" s="42" t="s">
        <v>6340</v>
      </c>
      <c r="Q497" s="14" t="str">
        <f t="shared" si="102"/>
        <v>Gráfico de Evolución</v>
      </c>
      <c r="R497" s="27" t="s">
        <v>6266</v>
      </c>
      <c r="S497" s="15" t="s">
        <v>6892</v>
      </c>
      <c r="T497" s="65" t="s">
        <v>5919</v>
      </c>
      <c r="U497" s="24" t="s">
        <v>397</v>
      </c>
      <c r="V497" s="19" t="str">
        <f>+Ingresos_Historicos[[#This Row],[idcoleccion]]&amp;"-"&amp;Ingresos_Historicos[[#This Row],[id]]</f>
        <v>300-0487</v>
      </c>
      <c r="W497" s="19" t="e">
        <f>+VLOOKUP(Ingresos_Historicos[[#This Row],[Filtro URL]],Estructura!$X$4:$Y$366,2,0)</f>
        <v>#N/A</v>
      </c>
      <c r="X497" s="19" t="str">
        <f>+VLOOKUP(Ingresos_Historicos[[#This Row],[tema]],Estructura!$A$4:$C$18,3,0)</f>
        <v>T-310</v>
      </c>
      <c r="Y497" s="19" t="str">
        <f>+VLOOKUP(Ingresos_Historicos[[#This Row],[contenido]],Estructura!$E$4:$G$18,3,0)</f>
        <v>C-303</v>
      </c>
      <c r="Z497" s="19" t="str">
        <f>+VLOOKUP(Ingresos_Historicos[[#This Row],[Filtro Integrado]],Estructura!$M$4:$O$367,3,0)</f>
        <v>FI-303</v>
      </c>
      <c r="AA497" s="19" t="str">
        <f>+VLOOKUP(Ingresos_Historicos[[#This Row],[Muestra]],Estructura!$Q$4:$S$194,3,0)</f>
        <v>M-310</v>
      </c>
    </row>
    <row r="498" spans="1:27" ht="91.8" x14ac:dyDescent="0.3">
      <c r="A498" s="71" t="s">
        <v>884</v>
      </c>
      <c r="B498" s="12">
        <f t="shared" si="101"/>
        <v>300</v>
      </c>
      <c r="C498" s="13" t="str">
        <f t="shared" si="101"/>
        <v>Violencia contra la mujer</v>
      </c>
      <c r="D498" s="13" t="str">
        <f t="shared" si="101"/>
        <v>Mujeres</v>
      </c>
      <c r="E498" s="39">
        <v>76</v>
      </c>
      <c r="F498" s="13" t="s">
        <v>7581</v>
      </c>
      <c r="G498" s="13" t="s">
        <v>7576</v>
      </c>
      <c r="H498" s="38" t="s">
        <v>17</v>
      </c>
      <c r="I498" s="37" t="s">
        <v>28</v>
      </c>
      <c r="J498" s="12" t="s">
        <v>398</v>
      </c>
      <c r="K498" s="12" t="str">
        <f t="shared" si="103"/>
        <v>Sentencias Dictadas por Delitos Vinculados a la Mujer</v>
      </c>
      <c r="L498" s="75" t="str">
        <f t="shared" si="103"/>
        <v>Periodo 2013-2019</v>
      </c>
      <c r="M498" s="12" t="str">
        <f t="shared" si="103"/>
        <v>Número de sentencias</v>
      </c>
      <c r="N498" s="33" t="s">
        <v>5964</v>
      </c>
      <c r="O498"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Los Lagos para el Periodo 2013-2019</v>
      </c>
      <c r="P498" s="42" t="s">
        <v>6341</v>
      </c>
      <c r="Q498" s="14" t="str">
        <f t="shared" si="102"/>
        <v>Gráfico de Evolución</v>
      </c>
      <c r="R498" s="27" t="s">
        <v>6266</v>
      </c>
      <c r="S498" s="15" t="s">
        <v>6893</v>
      </c>
      <c r="T498" s="65" t="s">
        <v>5920</v>
      </c>
      <c r="U498" s="24" t="s">
        <v>397</v>
      </c>
      <c r="V498" s="19" t="str">
        <f>+Ingresos_Historicos[[#This Row],[idcoleccion]]&amp;"-"&amp;Ingresos_Historicos[[#This Row],[id]]</f>
        <v>300-0488</v>
      </c>
      <c r="W498" s="19" t="e">
        <f>+VLOOKUP(Ingresos_Historicos[[#This Row],[Filtro URL]],Estructura!$X$4:$Y$366,2,0)</f>
        <v>#N/A</v>
      </c>
      <c r="X498" s="19" t="str">
        <f>+VLOOKUP(Ingresos_Historicos[[#This Row],[tema]],Estructura!$A$4:$C$18,3,0)</f>
        <v>T-310</v>
      </c>
      <c r="Y498" s="19" t="str">
        <f>+VLOOKUP(Ingresos_Historicos[[#This Row],[contenido]],Estructura!$E$4:$G$18,3,0)</f>
        <v>C-303</v>
      </c>
      <c r="Z498" s="19" t="str">
        <f>+VLOOKUP(Ingresos_Historicos[[#This Row],[Filtro Integrado]],Estructura!$M$4:$O$367,3,0)</f>
        <v>FI-303</v>
      </c>
      <c r="AA498" s="19" t="str">
        <f>+VLOOKUP(Ingresos_Historicos[[#This Row],[Muestra]],Estructura!$Q$4:$S$194,3,0)</f>
        <v>M-310</v>
      </c>
    </row>
    <row r="499" spans="1:27" ht="91.8" x14ac:dyDescent="0.3">
      <c r="A499" s="71" t="s">
        <v>885</v>
      </c>
      <c r="B499" s="12">
        <f t="shared" si="101"/>
        <v>300</v>
      </c>
      <c r="C499" s="13" t="str">
        <f t="shared" si="101"/>
        <v>Violencia contra la mujer</v>
      </c>
      <c r="D499" s="13" t="str">
        <f t="shared" si="101"/>
        <v>Mujeres</v>
      </c>
      <c r="E499" s="39">
        <v>77</v>
      </c>
      <c r="F499" s="13" t="s">
        <v>7581</v>
      </c>
      <c r="G499" s="13" t="s">
        <v>7576</v>
      </c>
      <c r="H499" s="38" t="s">
        <v>17</v>
      </c>
      <c r="I499" s="37" t="s">
        <v>355</v>
      </c>
      <c r="J499" s="12" t="s">
        <v>398</v>
      </c>
      <c r="K499" s="12" t="str">
        <f t="shared" si="103"/>
        <v>Sentencias Dictadas por Delitos Vinculados a la Mujer</v>
      </c>
      <c r="L499" s="75" t="str">
        <f t="shared" si="103"/>
        <v>Periodo 2013-2019</v>
      </c>
      <c r="M499" s="12" t="str">
        <f t="shared" si="103"/>
        <v>Número de sentencias</v>
      </c>
      <c r="N499" s="33" t="s">
        <v>5964</v>
      </c>
      <c r="O499"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Mariquina para el Periodo 2013-2019</v>
      </c>
      <c r="P499" s="42" t="s">
        <v>6342</v>
      </c>
      <c r="Q499" s="14" t="str">
        <f t="shared" si="102"/>
        <v>Gráfico de Evolución</v>
      </c>
      <c r="R499" s="27" t="s">
        <v>6266</v>
      </c>
      <c r="S499" s="15" t="s">
        <v>6894</v>
      </c>
      <c r="T499" s="65" t="s">
        <v>5920</v>
      </c>
      <c r="U499" s="24" t="s">
        <v>397</v>
      </c>
      <c r="V499" s="19" t="str">
        <f>+Ingresos_Historicos[[#This Row],[idcoleccion]]&amp;"-"&amp;Ingresos_Historicos[[#This Row],[id]]</f>
        <v>300-0489</v>
      </c>
      <c r="W499" s="19" t="e">
        <f>+VLOOKUP(Ingresos_Historicos[[#This Row],[Filtro URL]],Estructura!$X$4:$Y$366,2,0)</f>
        <v>#N/A</v>
      </c>
      <c r="X499" s="19" t="str">
        <f>+VLOOKUP(Ingresos_Historicos[[#This Row],[tema]],Estructura!$A$4:$C$18,3,0)</f>
        <v>T-310</v>
      </c>
      <c r="Y499" s="19" t="str">
        <f>+VLOOKUP(Ingresos_Historicos[[#This Row],[contenido]],Estructura!$E$4:$G$18,3,0)</f>
        <v>C-303</v>
      </c>
      <c r="Z499" s="19" t="str">
        <f>+VLOOKUP(Ingresos_Historicos[[#This Row],[Filtro Integrado]],Estructura!$M$4:$O$367,3,0)</f>
        <v>FI-303</v>
      </c>
      <c r="AA499" s="19" t="str">
        <f>+VLOOKUP(Ingresos_Historicos[[#This Row],[Muestra]],Estructura!$Q$4:$S$194,3,0)</f>
        <v>M-310</v>
      </c>
    </row>
    <row r="500" spans="1:27" ht="91.8" x14ac:dyDescent="0.3">
      <c r="A500" s="71" t="s">
        <v>886</v>
      </c>
      <c r="B500" s="12">
        <f t="shared" si="101"/>
        <v>300</v>
      </c>
      <c r="C500" s="13" t="str">
        <f t="shared" si="101"/>
        <v>Violencia contra la mujer</v>
      </c>
      <c r="D500" s="13" t="str">
        <f t="shared" si="101"/>
        <v>Mujeres</v>
      </c>
      <c r="E500" s="39">
        <v>78</v>
      </c>
      <c r="F500" s="13" t="s">
        <v>7581</v>
      </c>
      <c r="G500" s="13" t="s">
        <v>7576</v>
      </c>
      <c r="H500" s="38" t="s">
        <v>17</v>
      </c>
      <c r="I500" s="37" t="s">
        <v>351</v>
      </c>
      <c r="J500" s="12" t="s">
        <v>398</v>
      </c>
      <c r="K500" s="12" t="str">
        <f t="shared" si="103"/>
        <v>Sentencias Dictadas por Delitos Vinculados a la Mujer</v>
      </c>
      <c r="L500" s="75" t="str">
        <f t="shared" si="103"/>
        <v>Periodo 2013-2019</v>
      </c>
      <c r="M500" s="12" t="str">
        <f t="shared" si="103"/>
        <v>Número de sentencias</v>
      </c>
      <c r="N500" s="33" t="s">
        <v>5964</v>
      </c>
      <c r="O500"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Valdivia para el Periodo 2013-2019</v>
      </c>
      <c r="P500" s="42" t="s">
        <v>6343</v>
      </c>
      <c r="Q500" s="14" t="str">
        <f t="shared" si="102"/>
        <v>Gráfico de Evolución</v>
      </c>
      <c r="R500" s="27" t="s">
        <v>6266</v>
      </c>
      <c r="S500" s="15" t="s">
        <v>6895</v>
      </c>
      <c r="T500" s="65" t="s">
        <v>5920</v>
      </c>
      <c r="U500" s="24" t="s">
        <v>397</v>
      </c>
      <c r="V500" s="19" t="str">
        <f>+Ingresos_Historicos[[#This Row],[idcoleccion]]&amp;"-"&amp;Ingresos_Historicos[[#This Row],[id]]</f>
        <v>300-0490</v>
      </c>
      <c r="W500" s="19" t="e">
        <f>+VLOOKUP(Ingresos_Historicos[[#This Row],[Filtro URL]],Estructura!$X$4:$Y$366,2,0)</f>
        <v>#N/A</v>
      </c>
      <c r="X500" s="19" t="str">
        <f>+VLOOKUP(Ingresos_Historicos[[#This Row],[tema]],Estructura!$A$4:$C$18,3,0)</f>
        <v>T-310</v>
      </c>
      <c r="Y500" s="19" t="str">
        <f>+VLOOKUP(Ingresos_Historicos[[#This Row],[contenido]],Estructura!$E$4:$G$18,3,0)</f>
        <v>C-303</v>
      </c>
      <c r="Z500" s="19" t="str">
        <f>+VLOOKUP(Ingresos_Historicos[[#This Row],[Filtro Integrado]],Estructura!$M$4:$O$367,3,0)</f>
        <v>FI-303</v>
      </c>
      <c r="AA500" s="19" t="str">
        <f>+VLOOKUP(Ingresos_Historicos[[#This Row],[Muestra]],Estructura!$Q$4:$S$194,3,0)</f>
        <v>M-310</v>
      </c>
    </row>
    <row r="501" spans="1:27" ht="91.8" x14ac:dyDescent="0.3">
      <c r="A501" s="71" t="s">
        <v>887</v>
      </c>
      <c r="B501" s="12">
        <f t="shared" si="101"/>
        <v>300</v>
      </c>
      <c r="C501" s="13" t="str">
        <f t="shared" si="101"/>
        <v>Violencia contra la mujer</v>
      </c>
      <c r="D501" s="13" t="str">
        <f t="shared" si="101"/>
        <v>Mujeres</v>
      </c>
      <c r="E501" s="39">
        <v>79</v>
      </c>
      <c r="F501" s="13" t="s">
        <v>7581</v>
      </c>
      <c r="G501" s="13" t="s">
        <v>7576</v>
      </c>
      <c r="H501" s="38" t="s">
        <v>17</v>
      </c>
      <c r="I501" s="37" t="s">
        <v>362</v>
      </c>
      <c r="J501" s="12" t="s">
        <v>398</v>
      </c>
      <c r="K501" s="12" t="str">
        <f t="shared" si="103"/>
        <v>Sentencias Dictadas por Delitos Vinculados a la Mujer</v>
      </c>
      <c r="L501" s="75" t="str">
        <f t="shared" si="103"/>
        <v>Periodo 2013-2019</v>
      </c>
      <c r="M501" s="12" t="str">
        <f t="shared" si="103"/>
        <v>Número de sentencias</v>
      </c>
      <c r="N501" s="33" t="s">
        <v>5964</v>
      </c>
      <c r="O501"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Arica para el Periodo 2013-2019</v>
      </c>
      <c r="P501" s="42" t="s">
        <v>6344</v>
      </c>
      <c r="Q501" s="14" t="str">
        <f t="shared" si="102"/>
        <v>Gráfico de Evolución</v>
      </c>
      <c r="R501" s="27" t="s">
        <v>6266</v>
      </c>
      <c r="S501" s="15" t="s">
        <v>6896</v>
      </c>
      <c r="T501" s="65" t="s">
        <v>5921</v>
      </c>
      <c r="U501" s="24" t="s">
        <v>397</v>
      </c>
      <c r="V501" s="19" t="str">
        <f>+Ingresos_Historicos[[#This Row],[idcoleccion]]&amp;"-"&amp;Ingresos_Historicos[[#This Row],[id]]</f>
        <v>300-0491</v>
      </c>
      <c r="W501" s="19" t="e">
        <f>+VLOOKUP(Ingresos_Historicos[[#This Row],[Filtro URL]],Estructura!$X$4:$Y$366,2,0)</f>
        <v>#N/A</v>
      </c>
      <c r="X501" s="19" t="str">
        <f>+VLOOKUP(Ingresos_Historicos[[#This Row],[tema]],Estructura!$A$4:$C$18,3,0)</f>
        <v>T-310</v>
      </c>
      <c r="Y501" s="19" t="str">
        <f>+VLOOKUP(Ingresos_Historicos[[#This Row],[contenido]],Estructura!$E$4:$G$18,3,0)</f>
        <v>C-303</v>
      </c>
      <c r="Z501" s="19" t="str">
        <f>+VLOOKUP(Ingresos_Historicos[[#This Row],[Filtro Integrado]],Estructura!$M$4:$O$367,3,0)</f>
        <v>FI-303</v>
      </c>
      <c r="AA501" s="19" t="str">
        <f>+VLOOKUP(Ingresos_Historicos[[#This Row],[Muestra]],Estructura!$Q$4:$S$194,3,0)</f>
        <v>M-310</v>
      </c>
    </row>
    <row r="502" spans="1:27" ht="91.8" x14ac:dyDescent="0.3">
      <c r="A502" s="71" t="s">
        <v>888</v>
      </c>
      <c r="B502" s="12">
        <f t="shared" ref="B502:D517" si="104">+B501</f>
        <v>300</v>
      </c>
      <c r="C502" s="13" t="str">
        <f t="shared" si="104"/>
        <v>Violencia contra la mujer</v>
      </c>
      <c r="D502" s="13" t="str">
        <f t="shared" si="104"/>
        <v>Mujeres</v>
      </c>
      <c r="E502" s="39">
        <v>80</v>
      </c>
      <c r="F502" s="13" t="s">
        <v>7581</v>
      </c>
      <c r="G502" s="13" t="s">
        <v>7576</v>
      </c>
      <c r="H502" s="38" t="s">
        <v>17</v>
      </c>
      <c r="I502" s="37" t="s">
        <v>6082</v>
      </c>
      <c r="J502" s="12" t="s">
        <v>398</v>
      </c>
      <c r="K502" s="12" t="str">
        <f t="shared" si="103"/>
        <v>Sentencias Dictadas por Delitos Vinculados a la Mujer</v>
      </c>
      <c r="L502" s="75" t="str">
        <f t="shared" si="103"/>
        <v>Periodo 2013-2019</v>
      </c>
      <c r="M502" s="12" t="str">
        <f t="shared" si="103"/>
        <v>Número de sentencias</v>
      </c>
      <c r="N502" s="33" t="s">
        <v>5964</v>
      </c>
      <c r="O502"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Chillan para el Periodo 2013-2019</v>
      </c>
      <c r="P502" s="42" t="s">
        <v>6345</v>
      </c>
      <c r="Q502" s="14" t="str">
        <f t="shared" si="102"/>
        <v>Gráfico de Evolución</v>
      </c>
      <c r="R502" s="27" t="s">
        <v>6266</v>
      </c>
      <c r="S502" s="15" t="s">
        <v>6897</v>
      </c>
      <c r="T502" s="65" t="s">
        <v>5958</v>
      </c>
      <c r="U502" s="24" t="s">
        <v>397</v>
      </c>
      <c r="V502" s="19" t="str">
        <f>+Ingresos_Historicos[[#This Row],[idcoleccion]]&amp;"-"&amp;Ingresos_Historicos[[#This Row],[id]]</f>
        <v>300-0492</v>
      </c>
      <c r="W502" s="19" t="e">
        <f>+VLOOKUP(Ingresos_Historicos[[#This Row],[Filtro URL]],Estructura!$X$4:$Y$366,2,0)</f>
        <v>#N/A</v>
      </c>
      <c r="X502" s="19" t="str">
        <f>+VLOOKUP(Ingresos_Historicos[[#This Row],[tema]],Estructura!$A$4:$C$18,3,0)</f>
        <v>T-310</v>
      </c>
      <c r="Y502" s="19" t="str">
        <f>+VLOOKUP(Ingresos_Historicos[[#This Row],[contenido]],Estructura!$E$4:$G$18,3,0)</f>
        <v>C-303</v>
      </c>
      <c r="Z502" s="19" t="str">
        <f>+VLOOKUP(Ingresos_Historicos[[#This Row],[Filtro Integrado]],Estructura!$M$4:$O$367,3,0)</f>
        <v>FI-303</v>
      </c>
      <c r="AA502" s="19" t="str">
        <f>+VLOOKUP(Ingresos_Historicos[[#This Row],[Muestra]],Estructura!$Q$4:$S$194,3,0)</f>
        <v>M-310</v>
      </c>
    </row>
    <row r="503" spans="1:27" ht="91.8" x14ac:dyDescent="0.3">
      <c r="A503" s="71" t="s">
        <v>889</v>
      </c>
      <c r="B503" s="12">
        <f t="shared" si="104"/>
        <v>300</v>
      </c>
      <c r="C503" s="13" t="str">
        <f t="shared" si="104"/>
        <v>Violencia contra la mujer</v>
      </c>
      <c r="D503" s="13" t="str">
        <f t="shared" si="104"/>
        <v>Mujeres</v>
      </c>
      <c r="E503" s="39">
        <v>81</v>
      </c>
      <c r="F503" s="13" t="s">
        <v>7581</v>
      </c>
      <c r="G503" s="13" t="s">
        <v>7576</v>
      </c>
      <c r="H503" s="38" t="s">
        <v>17</v>
      </c>
      <c r="I503" s="37" t="s">
        <v>213</v>
      </c>
      <c r="J503" s="12" t="s">
        <v>398</v>
      </c>
      <c r="K503" s="12" t="str">
        <f t="shared" si="103"/>
        <v>Sentencias Dictadas por Delitos Vinculados a la Mujer</v>
      </c>
      <c r="L503" s="75" t="str">
        <f t="shared" si="103"/>
        <v>Periodo 2013-2019</v>
      </c>
      <c r="M503" s="12" t="str">
        <f t="shared" si="103"/>
        <v>Número de sentencias</v>
      </c>
      <c r="N503" s="33" t="s">
        <v>5964</v>
      </c>
      <c r="O503"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San Carlos para el Periodo 2013-2019</v>
      </c>
      <c r="P503" s="42" t="s">
        <v>6346</v>
      </c>
      <c r="Q503" s="14" t="str">
        <f t="shared" si="102"/>
        <v>Gráfico de Evolución</v>
      </c>
      <c r="R503" s="27" t="s">
        <v>6266</v>
      </c>
      <c r="S503" s="15" t="s">
        <v>6898</v>
      </c>
      <c r="T503" s="65" t="s">
        <v>5958</v>
      </c>
      <c r="U503" s="24" t="s">
        <v>397</v>
      </c>
      <c r="V503" s="19" t="str">
        <f>+Ingresos_Historicos[[#This Row],[idcoleccion]]&amp;"-"&amp;Ingresos_Historicos[[#This Row],[id]]</f>
        <v>300-0493</v>
      </c>
      <c r="W503" s="19" t="e">
        <f>+VLOOKUP(Ingresos_Historicos[[#This Row],[Filtro URL]],Estructura!$X$4:$Y$366,2,0)</f>
        <v>#N/A</v>
      </c>
      <c r="X503" s="19" t="str">
        <f>+VLOOKUP(Ingresos_Historicos[[#This Row],[tema]],Estructura!$A$4:$C$18,3,0)</f>
        <v>T-310</v>
      </c>
      <c r="Y503" s="19" t="str">
        <f>+VLOOKUP(Ingresos_Historicos[[#This Row],[contenido]],Estructura!$E$4:$G$18,3,0)</f>
        <v>C-303</v>
      </c>
      <c r="Z503" s="19" t="str">
        <f>+VLOOKUP(Ingresos_Historicos[[#This Row],[Filtro Integrado]],Estructura!$M$4:$O$367,3,0)</f>
        <v>FI-303</v>
      </c>
      <c r="AA503" s="19" t="str">
        <f>+VLOOKUP(Ingresos_Historicos[[#This Row],[Muestra]],Estructura!$Q$4:$S$194,3,0)</f>
        <v>M-310</v>
      </c>
    </row>
    <row r="504" spans="1:27" ht="91.8" x14ac:dyDescent="0.3">
      <c r="A504" s="71" t="s">
        <v>890</v>
      </c>
      <c r="B504" s="12">
        <f t="shared" si="104"/>
        <v>300</v>
      </c>
      <c r="C504" s="13" t="str">
        <f t="shared" si="104"/>
        <v>Violencia contra la mujer</v>
      </c>
      <c r="D504" s="13" t="str">
        <f t="shared" si="104"/>
        <v>Mujeres</v>
      </c>
      <c r="E504" s="39">
        <v>82</v>
      </c>
      <c r="F504" s="13" t="s">
        <v>7581</v>
      </c>
      <c r="G504" s="13" t="s">
        <v>7576</v>
      </c>
      <c r="H504" s="38" t="s">
        <v>17</v>
      </c>
      <c r="I504" s="37" t="s">
        <v>218</v>
      </c>
      <c r="J504" s="12" t="s">
        <v>398</v>
      </c>
      <c r="K504" s="12" t="str">
        <f t="shared" ref="K504:M519" si="105">+K503</f>
        <v>Sentencias Dictadas por Delitos Vinculados a la Mujer</v>
      </c>
      <c r="L504" s="75" t="str">
        <f t="shared" si="105"/>
        <v>Periodo 2013-2019</v>
      </c>
      <c r="M504" s="12" t="str">
        <f t="shared" si="105"/>
        <v>Número de sentencias</v>
      </c>
      <c r="N504" s="33" t="s">
        <v>5964</v>
      </c>
      <c r="O504" s="72" t="str">
        <f>"Sentencias Dictadas por Delitos Vinculados a la Mujer por Tipo de Delito en el Juzgado de Garantía de "&amp;Ingresos_Historicos[[#This Row],[territorio]]&amp;" para el Periodo 2013-2019"</f>
        <v>Sentencias Dictadas por Delitos Vinculados a la Mujer por Tipo de Delito en el Juzgado de Garantía de Yungay para el Periodo 2013-2019</v>
      </c>
      <c r="P504" s="42" t="s">
        <v>6347</v>
      </c>
      <c r="Q504" s="14" t="str">
        <f t="shared" si="102"/>
        <v>Gráfico de Evolución</v>
      </c>
      <c r="R504" s="27" t="s">
        <v>6266</v>
      </c>
      <c r="S504" s="15" t="s">
        <v>6899</v>
      </c>
      <c r="T504" s="65" t="s">
        <v>5958</v>
      </c>
      <c r="U504" s="24" t="s">
        <v>397</v>
      </c>
      <c r="V504" s="19" t="str">
        <f>+Ingresos_Historicos[[#This Row],[idcoleccion]]&amp;"-"&amp;Ingresos_Historicos[[#This Row],[id]]</f>
        <v>300-0494</v>
      </c>
      <c r="W504" s="19" t="e">
        <f>+VLOOKUP(Ingresos_Historicos[[#This Row],[Filtro URL]],Estructura!$X$4:$Y$366,2,0)</f>
        <v>#N/A</v>
      </c>
      <c r="X504" s="19" t="str">
        <f>+VLOOKUP(Ingresos_Historicos[[#This Row],[tema]],Estructura!$A$4:$C$18,3,0)</f>
        <v>T-310</v>
      </c>
      <c r="Y504" s="19" t="str">
        <f>+VLOOKUP(Ingresos_Historicos[[#This Row],[contenido]],Estructura!$E$4:$G$18,3,0)</f>
        <v>C-303</v>
      </c>
      <c r="Z504" s="19" t="str">
        <f>+VLOOKUP(Ingresos_Historicos[[#This Row],[Filtro Integrado]],Estructura!$M$4:$O$367,3,0)</f>
        <v>FI-303</v>
      </c>
      <c r="AA504" s="19" t="str">
        <f>+VLOOKUP(Ingresos_Historicos[[#This Row],[Muestra]],Estructura!$Q$4:$S$194,3,0)</f>
        <v>M-310</v>
      </c>
    </row>
    <row r="505" spans="1:27" ht="51" x14ac:dyDescent="0.3">
      <c r="A505" s="32" t="s">
        <v>891</v>
      </c>
      <c r="B505" s="12">
        <f t="shared" si="104"/>
        <v>300</v>
      </c>
      <c r="C505" s="13" t="str">
        <f t="shared" si="104"/>
        <v>Violencia contra la mujer</v>
      </c>
      <c r="D505" s="13" t="str">
        <f t="shared" si="104"/>
        <v>Mujeres</v>
      </c>
      <c r="E505" s="39">
        <v>1</v>
      </c>
      <c r="F505" s="13" t="s">
        <v>7581</v>
      </c>
      <c r="G505" s="13" t="s">
        <v>7576</v>
      </c>
      <c r="H505" s="38" t="s">
        <v>17</v>
      </c>
      <c r="I505" s="37" t="s">
        <v>29</v>
      </c>
      <c r="J505" s="12" t="s">
        <v>398</v>
      </c>
      <c r="K505" s="12" t="str">
        <f t="shared" si="105"/>
        <v>Sentencias Dictadas por Delitos Vinculados a la Mujer</v>
      </c>
      <c r="L505" s="75" t="str">
        <f t="shared" si="105"/>
        <v>Periodo 2013-2019</v>
      </c>
      <c r="M505" s="12" t="str">
        <f t="shared" si="105"/>
        <v>Número de sentencias</v>
      </c>
      <c r="N505" s="33" t="s">
        <v>5964</v>
      </c>
      <c r="O505" s="72" t="str">
        <f>"Sentencias Dictadas por Delitos Vinculados a la Mujer por Delito en el Juzgado de Garantía de "&amp;Ingresos_Historicos[[#This Row],[territorio]]&amp;" para el Periodo 2013-2019"</f>
        <v>Sentencias Dictadas por Delitos Vinculados a la Mujer por Delito en el Juzgado de Garantía de Iquique para el Periodo 2013-2019</v>
      </c>
      <c r="P50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Iquique para el Periodo 2013-2019 de acuerdo a datos provenientes del Poder Judicial de Chile.</v>
      </c>
      <c r="Q505" s="14" t="str">
        <f t="shared" si="102"/>
        <v>Gráfico de Evolución</v>
      </c>
      <c r="R505" s="27" t="s">
        <v>6348</v>
      </c>
      <c r="S505" s="15" t="s">
        <v>6900</v>
      </c>
      <c r="T505" s="65" t="s">
        <v>5907</v>
      </c>
      <c r="U505" s="24" t="s">
        <v>397</v>
      </c>
      <c r="V505" s="19" t="str">
        <f>+Ingresos_Historicos[[#This Row],[idcoleccion]]&amp;"-"&amp;Ingresos_Historicos[[#This Row],[id]]</f>
        <v>300-0495</v>
      </c>
      <c r="W505" s="19">
        <f>+VLOOKUP(Ingresos_Historicos[[#This Row],[Filtro URL]],Estructura!$X$4:$Y$366,2,0)</f>
        <v>30200001</v>
      </c>
      <c r="X505" s="19" t="str">
        <f>+VLOOKUP(Ingresos_Historicos[[#This Row],[tema]],Estructura!$A$4:$C$18,3,0)</f>
        <v>T-310</v>
      </c>
      <c r="Y505" s="19" t="str">
        <f>+VLOOKUP(Ingresos_Historicos[[#This Row],[contenido]],Estructura!$E$4:$G$18,3,0)</f>
        <v>C-303</v>
      </c>
      <c r="Z505" s="19" t="str">
        <f>+VLOOKUP(Ingresos_Historicos[[#This Row],[Filtro Integrado]],Estructura!$M$4:$O$367,3,0)</f>
        <v>FI-303</v>
      </c>
      <c r="AA505" s="19" t="str">
        <f>+VLOOKUP(Ingresos_Historicos[[#This Row],[Muestra]],Estructura!$Q$4:$S$194,3,0)</f>
        <v>M-310</v>
      </c>
    </row>
    <row r="506" spans="1:27" ht="51" x14ac:dyDescent="0.3">
      <c r="A506" s="71" t="s">
        <v>892</v>
      </c>
      <c r="B506" s="12">
        <f t="shared" si="104"/>
        <v>300</v>
      </c>
      <c r="C506" s="13" t="str">
        <f t="shared" si="104"/>
        <v>Violencia contra la mujer</v>
      </c>
      <c r="D506" s="13" t="str">
        <f t="shared" si="104"/>
        <v>Mujeres</v>
      </c>
      <c r="E506" s="39">
        <v>2</v>
      </c>
      <c r="F506" s="13" t="s">
        <v>7581</v>
      </c>
      <c r="G506" s="13" t="s">
        <v>7576</v>
      </c>
      <c r="H506" s="38" t="s">
        <v>17</v>
      </c>
      <c r="I506" s="37" t="s">
        <v>16</v>
      </c>
      <c r="J506" s="12" t="s">
        <v>398</v>
      </c>
      <c r="K506" s="12" t="str">
        <f t="shared" si="105"/>
        <v>Sentencias Dictadas por Delitos Vinculados a la Mujer</v>
      </c>
      <c r="L506" s="75" t="str">
        <f t="shared" si="105"/>
        <v>Periodo 2013-2019</v>
      </c>
      <c r="M506" s="12" t="str">
        <f t="shared" si="105"/>
        <v>Número de sentencias</v>
      </c>
      <c r="N506" s="33" t="s">
        <v>5964</v>
      </c>
      <c r="O506" s="72" t="str">
        <f>"Sentencias Dictadas por Delitos Vinculados a la Mujer por Delito en el Juzgado de Garantía de "&amp;Ingresos_Historicos[[#This Row],[territorio]]&amp;" para el Periodo 2013-2019"</f>
        <v>Sentencias Dictadas por Delitos Vinculados a la Mujer por Delito en el Juzgado de Garantía de Antofagasta para el Periodo 2013-2019</v>
      </c>
      <c r="P50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Antofagasta para el Periodo 2013-2019 de acuerdo a datos provenientes del Poder Judicial de Chile.</v>
      </c>
      <c r="Q506" s="14" t="str">
        <f t="shared" si="102"/>
        <v>Gráfico de Evolución</v>
      </c>
      <c r="R506" s="27" t="s">
        <v>6348</v>
      </c>
      <c r="S506" s="15" t="s">
        <v>6901</v>
      </c>
      <c r="T506" s="65" t="s">
        <v>5908</v>
      </c>
      <c r="U506" s="24" t="s">
        <v>397</v>
      </c>
      <c r="V506" s="19" t="str">
        <f>+Ingresos_Historicos[[#This Row],[idcoleccion]]&amp;"-"&amp;Ingresos_Historicos[[#This Row],[id]]</f>
        <v>300-0496</v>
      </c>
      <c r="W506" s="19">
        <f>+VLOOKUP(Ingresos_Historicos[[#This Row],[Filtro URL]],Estructura!$X$4:$Y$366,2,0)</f>
        <v>30200002</v>
      </c>
      <c r="X506" s="19" t="str">
        <f>+VLOOKUP(Ingresos_Historicos[[#This Row],[tema]],Estructura!$A$4:$C$18,3,0)</f>
        <v>T-310</v>
      </c>
      <c r="Y506" s="19" t="str">
        <f>+VLOOKUP(Ingresos_Historicos[[#This Row],[contenido]],Estructura!$E$4:$G$18,3,0)</f>
        <v>C-303</v>
      </c>
      <c r="Z506" s="19" t="str">
        <f>+VLOOKUP(Ingresos_Historicos[[#This Row],[Filtro Integrado]],Estructura!$M$4:$O$367,3,0)</f>
        <v>FI-303</v>
      </c>
      <c r="AA506" s="19" t="str">
        <f>+VLOOKUP(Ingresos_Historicos[[#This Row],[Muestra]],Estructura!$Q$4:$S$194,3,0)</f>
        <v>M-310</v>
      </c>
    </row>
    <row r="507" spans="1:27" ht="51" x14ac:dyDescent="0.3">
      <c r="A507" s="71" t="s">
        <v>893</v>
      </c>
      <c r="B507" s="12">
        <f t="shared" si="104"/>
        <v>300</v>
      </c>
      <c r="C507" s="13" t="str">
        <f t="shared" si="104"/>
        <v>Violencia contra la mujer</v>
      </c>
      <c r="D507" s="13" t="str">
        <f t="shared" si="104"/>
        <v>Mujeres</v>
      </c>
      <c r="E507" s="39">
        <v>3</v>
      </c>
      <c r="F507" s="13" t="s">
        <v>7581</v>
      </c>
      <c r="G507" s="13" t="s">
        <v>7576</v>
      </c>
      <c r="H507" s="38" t="s">
        <v>17</v>
      </c>
      <c r="I507" s="37" t="s">
        <v>39</v>
      </c>
      <c r="J507" s="12" t="s">
        <v>398</v>
      </c>
      <c r="K507" s="12" t="str">
        <f t="shared" si="105"/>
        <v>Sentencias Dictadas por Delitos Vinculados a la Mujer</v>
      </c>
      <c r="L507" s="75" t="str">
        <f t="shared" si="105"/>
        <v>Periodo 2013-2019</v>
      </c>
      <c r="M507" s="12" t="str">
        <f t="shared" si="105"/>
        <v>Número de sentencias</v>
      </c>
      <c r="N507" s="33" t="s">
        <v>5964</v>
      </c>
      <c r="O507" s="72" t="str">
        <f>"Sentencias Dictadas por Delitos Vinculados a la Mujer por Delito en el Juzgado de Garantía de "&amp;Ingresos_Historicos[[#This Row],[territorio]]&amp;" para el Periodo 2013-2019"</f>
        <v>Sentencias Dictadas por Delitos Vinculados a la Mujer por Delito en el Juzgado de Garantía de Calama para el Periodo 2013-2019</v>
      </c>
      <c r="P50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Calama para el Periodo 2013-2019 de acuerdo a datos provenientes del Poder Judicial de Chile.</v>
      </c>
      <c r="Q507" s="14" t="str">
        <f t="shared" si="102"/>
        <v>Gráfico de Evolución</v>
      </c>
      <c r="R507" s="27" t="s">
        <v>6348</v>
      </c>
      <c r="S507" s="15" t="s">
        <v>6902</v>
      </c>
      <c r="T507" s="65" t="s">
        <v>5908</v>
      </c>
      <c r="U507" s="24" t="s">
        <v>397</v>
      </c>
      <c r="V507" s="19" t="str">
        <f>+Ingresos_Historicos[[#This Row],[idcoleccion]]&amp;"-"&amp;Ingresos_Historicos[[#This Row],[id]]</f>
        <v>300-0497</v>
      </c>
      <c r="W507" s="19">
        <f>+VLOOKUP(Ingresos_Historicos[[#This Row],[Filtro URL]],Estructura!$X$4:$Y$366,2,0)</f>
        <v>30200003</v>
      </c>
      <c r="X507" s="19" t="str">
        <f>+VLOOKUP(Ingresos_Historicos[[#This Row],[tema]],Estructura!$A$4:$C$18,3,0)</f>
        <v>T-310</v>
      </c>
      <c r="Y507" s="19" t="str">
        <f>+VLOOKUP(Ingresos_Historicos[[#This Row],[contenido]],Estructura!$E$4:$G$18,3,0)</f>
        <v>C-303</v>
      </c>
      <c r="Z507" s="19" t="str">
        <f>+VLOOKUP(Ingresos_Historicos[[#This Row],[Filtro Integrado]],Estructura!$M$4:$O$367,3,0)</f>
        <v>FI-303</v>
      </c>
      <c r="AA507" s="19" t="str">
        <f>+VLOOKUP(Ingresos_Historicos[[#This Row],[Muestra]],Estructura!$Q$4:$S$194,3,0)</f>
        <v>M-310</v>
      </c>
    </row>
    <row r="508" spans="1:27" ht="51" x14ac:dyDescent="0.3">
      <c r="A508" s="71" t="s">
        <v>894</v>
      </c>
      <c r="B508" s="12">
        <f t="shared" si="104"/>
        <v>300</v>
      </c>
      <c r="C508" s="13" t="str">
        <f t="shared" si="104"/>
        <v>Violencia contra la mujer</v>
      </c>
      <c r="D508" s="13" t="str">
        <f t="shared" si="104"/>
        <v>Mujeres</v>
      </c>
      <c r="E508" s="39">
        <v>4</v>
      </c>
      <c r="F508" s="13" t="s">
        <v>7581</v>
      </c>
      <c r="G508" s="13" t="s">
        <v>7576</v>
      </c>
      <c r="H508" s="38" t="s">
        <v>17</v>
      </c>
      <c r="I508" s="37" t="s">
        <v>42</v>
      </c>
      <c r="J508" s="12" t="s">
        <v>398</v>
      </c>
      <c r="K508" s="12" t="str">
        <f t="shared" si="105"/>
        <v>Sentencias Dictadas por Delitos Vinculados a la Mujer</v>
      </c>
      <c r="L508" s="75" t="str">
        <f t="shared" si="105"/>
        <v>Periodo 2013-2019</v>
      </c>
      <c r="M508" s="12" t="str">
        <f t="shared" si="105"/>
        <v>Número de sentencias</v>
      </c>
      <c r="N508" s="33" t="s">
        <v>5964</v>
      </c>
      <c r="O508" s="72" t="str">
        <f>"Sentencias Dictadas por Delitos Vinculados a la Mujer por Delito en el Juzgado de Garantía de "&amp;Ingresos_Historicos[[#This Row],[territorio]]&amp;" para el Periodo 2013-2019"</f>
        <v>Sentencias Dictadas por Delitos Vinculados a la Mujer por Delito en el Juzgado de Garantía de Tocopilla para el Periodo 2013-2019</v>
      </c>
      <c r="P50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Tocopilla para el Periodo 2013-2019 de acuerdo a datos provenientes del Poder Judicial de Chile.</v>
      </c>
      <c r="Q508" s="14" t="str">
        <f t="shared" si="102"/>
        <v>Gráfico de Evolución</v>
      </c>
      <c r="R508" s="27" t="s">
        <v>6348</v>
      </c>
      <c r="S508" s="15" t="s">
        <v>6903</v>
      </c>
      <c r="T508" s="65" t="s">
        <v>5908</v>
      </c>
      <c r="U508" s="24" t="s">
        <v>397</v>
      </c>
      <c r="V508" s="19" t="str">
        <f>+Ingresos_Historicos[[#This Row],[idcoleccion]]&amp;"-"&amp;Ingresos_Historicos[[#This Row],[id]]</f>
        <v>300-0498</v>
      </c>
      <c r="W508" s="19">
        <f>+VLOOKUP(Ingresos_Historicos[[#This Row],[Filtro URL]],Estructura!$X$4:$Y$366,2,0)</f>
        <v>30200004</v>
      </c>
      <c r="X508" s="19" t="str">
        <f>+VLOOKUP(Ingresos_Historicos[[#This Row],[tema]],Estructura!$A$4:$C$18,3,0)</f>
        <v>T-310</v>
      </c>
      <c r="Y508" s="19" t="str">
        <f>+VLOOKUP(Ingresos_Historicos[[#This Row],[contenido]],Estructura!$E$4:$G$18,3,0)</f>
        <v>C-303</v>
      </c>
      <c r="Z508" s="19" t="str">
        <f>+VLOOKUP(Ingresos_Historicos[[#This Row],[Filtro Integrado]],Estructura!$M$4:$O$367,3,0)</f>
        <v>FI-303</v>
      </c>
      <c r="AA508" s="19" t="str">
        <f>+VLOOKUP(Ingresos_Historicos[[#This Row],[Muestra]],Estructura!$Q$4:$S$194,3,0)</f>
        <v>M-310</v>
      </c>
    </row>
    <row r="509" spans="1:27" ht="51" x14ac:dyDescent="0.3">
      <c r="A509" s="71" t="s">
        <v>895</v>
      </c>
      <c r="B509" s="12">
        <f t="shared" si="104"/>
        <v>300</v>
      </c>
      <c r="C509" s="13" t="str">
        <f t="shared" si="104"/>
        <v>Violencia contra la mujer</v>
      </c>
      <c r="D509" s="13" t="str">
        <f t="shared" si="104"/>
        <v>Mujeres</v>
      </c>
      <c r="E509" s="39">
        <v>5</v>
      </c>
      <c r="F509" s="13" t="s">
        <v>7581</v>
      </c>
      <c r="G509" s="13" t="s">
        <v>7576</v>
      </c>
      <c r="H509" s="38" t="s">
        <v>17</v>
      </c>
      <c r="I509" s="37" t="s">
        <v>6010</v>
      </c>
      <c r="J509" s="12" t="s">
        <v>398</v>
      </c>
      <c r="K509" s="12" t="str">
        <f t="shared" si="105"/>
        <v>Sentencias Dictadas por Delitos Vinculados a la Mujer</v>
      </c>
      <c r="L509" s="75" t="str">
        <f t="shared" si="105"/>
        <v>Periodo 2013-2019</v>
      </c>
      <c r="M509" s="12" t="str">
        <f t="shared" si="105"/>
        <v>Número de sentencias</v>
      </c>
      <c r="N509" s="33" t="s">
        <v>5964</v>
      </c>
      <c r="O509" s="72" t="str">
        <f>"Sentencias Dictadas por Delitos Vinculados a la Mujer por Delito en el Juzgado de Garantía de "&amp;Ingresos_Historicos[[#This Row],[territorio]]&amp;" para el Periodo 2013-2019"</f>
        <v>Sentencias Dictadas por Delitos Vinculados a la Mujer por Delito en el Juzgado de Garantía de Copiapo para el Periodo 2013-2019</v>
      </c>
      <c r="P50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Copiapo para el Periodo 2013-2019 de acuerdo a datos provenientes del Poder Judicial de Chile.</v>
      </c>
      <c r="Q509" s="14" t="str">
        <f t="shared" si="102"/>
        <v>Gráfico de Evolución</v>
      </c>
      <c r="R509" s="27" t="s">
        <v>6348</v>
      </c>
      <c r="S509" s="15" t="s">
        <v>6904</v>
      </c>
      <c r="T509" s="65" t="s">
        <v>5909</v>
      </c>
      <c r="U509" s="24" t="s">
        <v>397</v>
      </c>
      <c r="V509" s="19" t="str">
        <f>+Ingresos_Historicos[[#This Row],[idcoleccion]]&amp;"-"&amp;Ingresos_Historicos[[#This Row],[id]]</f>
        <v>300-0499</v>
      </c>
      <c r="W509" s="19">
        <f>+VLOOKUP(Ingresos_Historicos[[#This Row],[Filtro URL]],Estructura!$X$4:$Y$366,2,0)</f>
        <v>30200005</v>
      </c>
      <c r="X509" s="19" t="str">
        <f>+VLOOKUP(Ingresos_Historicos[[#This Row],[tema]],Estructura!$A$4:$C$18,3,0)</f>
        <v>T-310</v>
      </c>
      <c r="Y509" s="19" t="str">
        <f>+VLOOKUP(Ingresos_Historicos[[#This Row],[contenido]],Estructura!$E$4:$G$18,3,0)</f>
        <v>C-303</v>
      </c>
      <c r="Z509" s="19" t="str">
        <f>+VLOOKUP(Ingresos_Historicos[[#This Row],[Filtro Integrado]],Estructura!$M$4:$O$367,3,0)</f>
        <v>FI-303</v>
      </c>
      <c r="AA509" s="19" t="str">
        <f>+VLOOKUP(Ingresos_Historicos[[#This Row],[Muestra]],Estructura!$Q$4:$S$194,3,0)</f>
        <v>M-310</v>
      </c>
    </row>
    <row r="510" spans="1:27" ht="51" x14ac:dyDescent="0.3">
      <c r="A510" s="71" t="s">
        <v>896</v>
      </c>
      <c r="B510" s="12">
        <f t="shared" si="104"/>
        <v>300</v>
      </c>
      <c r="C510" s="13" t="str">
        <f t="shared" si="104"/>
        <v>Violencia contra la mujer</v>
      </c>
      <c r="D510" s="13" t="str">
        <f t="shared" si="104"/>
        <v>Mujeres</v>
      </c>
      <c r="E510" s="39">
        <v>6</v>
      </c>
      <c r="F510" s="13" t="s">
        <v>7581</v>
      </c>
      <c r="G510" s="13" t="s">
        <v>7576</v>
      </c>
      <c r="H510" s="38" t="s">
        <v>17</v>
      </c>
      <c r="I510" s="37" t="s">
        <v>48</v>
      </c>
      <c r="J510" s="12" t="s">
        <v>398</v>
      </c>
      <c r="K510" s="12" t="str">
        <f t="shared" si="105"/>
        <v>Sentencias Dictadas por Delitos Vinculados a la Mujer</v>
      </c>
      <c r="L510" s="75" t="str">
        <f t="shared" si="105"/>
        <v>Periodo 2013-2019</v>
      </c>
      <c r="M510" s="12" t="str">
        <f t="shared" si="105"/>
        <v>Número de sentencias</v>
      </c>
      <c r="N510" s="33" t="s">
        <v>5964</v>
      </c>
      <c r="O510" s="72" t="str">
        <f>"Sentencias Dictadas por Delitos Vinculados a la Mujer por Delito en el Juzgado de Garantía de "&amp;Ingresos_Historicos[[#This Row],[territorio]]&amp;" para el Periodo 2013-2019"</f>
        <v>Sentencias Dictadas por Delitos Vinculados a la Mujer por Delito en el Juzgado de Garantía de Diego de Almagro para el Periodo 2013-2019</v>
      </c>
      <c r="P51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Diego de Almagro para el Periodo 2013-2019 de acuerdo a datos provenientes del Poder Judicial de Chile.</v>
      </c>
      <c r="Q510" s="14" t="str">
        <f t="shared" si="102"/>
        <v>Gráfico de Evolución</v>
      </c>
      <c r="R510" s="27" t="s">
        <v>6348</v>
      </c>
      <c r="S510" s="15" t="s">
        <v>6905</v>
      </c>
      <c r="T510" s="65" t="s">
        <v>5909</v>
      </c>
      <c r="U510" s="24" t="s">
        <v>397</v>
      </c>
      <c r="V510" s="19" t="str">
        <f>+Ingresos_Historicos[[#This Row],[idcoleccion]]&amp;"-"&amp;Ingresos_Historicos[[#This Row],[id]]</f>
        <v>300-0500</v>
      </c>
      <c r="W510" s="19">
        <f>+VLOOKUP(Ingresos_Historicos[[#This Row],[Filtro URL]],Estructura!$X$4:$Y$366,2,0)</f>
        <v>30200006</v>
      </c>
      <c r="X510" s="19" t="str">
        <f>+VLOOKUP(Ingresos_Historicos[[#This Row],[tema]],Estructura!$A$4:$C$18,3,0)</f>
        <v>T-310</v>
      </c>
      <c r="Y510" s="19" t="str">
        <f>+VLOOKUP(Ingresos_Historicos[[#This Row],[contenido]],Estructura!$E$4:$G$18,3,0)</f>
        <v>C-303</v>
      </c>
      <c r="Z510" s="19" t="str">
        <f>+VLOOKUP(Ingresos_Historicos[[#This Row],[Filtro Integrado]],Estructura!$M$4:$O$367,3,0)</f>
        <v>FI-303</v>
      </c>
      <c r="AA510" s="19" t="str">
        <f>+VLOOKUP(Ingresos_Historicos[[#This Row],[Muestra]],Estructura!$Q$4:$S$194,3,0)</f>
        <v>M-310</v>
      </c>
    </row>
    <row r="511" spans="1:27" ht="51" x14ac:dyDescent="0.3">
      <c r="A511" s="71" t="s">
        <v>897</v>
      </c>
      <c r="B511" s="12">
        <f t="shared" si="104"/>
        <v>300</v>
      </c>
      <c r="C511" s="13" t="str">
        <f t="shared" si="104"/>
        <v>Violencia contra la mujer</v>
      </c>
      <c r="D511" s="13" t="str">
        <f t="shared" si="104"/>
        <v>Mujeres</v>
      </c>
      <c r="E511" s="39">
        <v>7</v>
      </c>
      <c r="F511" s="13" t="s">
        <v>7581</v>
      </c>
      <c r="G511" s="13" t="s">
        <v>7576</v>
      </c>
      <c r="H511" s="38" t="s">
        <v>17</v>
      </c>
      <c r="I511" s="37" t="s">
        <v>49</v>
      </c>
      <c r="J511" s="12" t="s">
        <v>398</v>
      </c>
      <c r="K511" s="12" t="str">
        <f t="shared" si="105"/>
        <v>Sentencias Dictadas por Delitos Vinculados a la Mujer</v>
      </c>
      <c r="L511" s="75" t="str">
        <f t="shared" si="105"/>
        <v>Periodo 2013-2019</v>
      </c>
      <c r="M511" s="12" t="str">
        <f t="shared" si="105"/>
        <v>Número de sentencias</v>
      </c>
      <c r="N511" s="33" t="s">
        <v>5964</v>
      </c>
      <c r="O511" s="72" t="str">
        <f>"Sentencias Dictadas por Delitos Vinculados a la Mujer por Delito en el Juzgado de Garantía de "&amp;Ingresos_Historicos[[#This Row],[territorio]]&amp;" para el Periodo 2013-2019"</f>
        <v>Sentencias Dictadas por Delitos Vinculados a la Mujer por Delito en el Juzgado de Garantía de Vallenar para el Periodo 2013-2019</v>
      </c>
      <c r="P51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Vallenar para el Periodo 2013-2019 de acuerdo a datos provenientes del Poder Judicial de Chile.</v>
      </c>
      <c r="Q511" s="14" t="str">
        <f t="shared" si="102"/>
        <v>Gráfico de Evolución</v>
      </c>
      <c r="R511" s="27" t="s">
        <v>6348</v>
      </c>
      <c r="S511" s="15" t="s">
        <v>6906</v>
      </c>
      <c r="T511" s="65" t="s">
        <v>5909</v>
      </c>
      <c r="U511" s="24" t="s">
        <v>397</v>
      </c>
      <c r="V511" s="19" t="str">
        <f>+Ingresos_Historicos[[#This Row],[idcoleccion]]&amp;"-"&amp;Ingresos_Historicos[[#This Row],[id]]</f>
        <v>300-0501</v>
      </c>
      <c r="W511" s="19">
        <f>+VLOOKUP(Ingresos_Historicos[[#This Row],[Filtro URL]],Estructura!$X$4:$Y$366,2,0)</f>
        <v>30200007</v>
      </c>
      <c r="X511" s="19" t="str">
        <f>+VLOOKUP(Ingresos_Historicos[[#This Row],[tema]],Estructura!$A$4:$C$18,3,0)</f>
        <v>T-310</v>
      </c>
      <c r="Y511" s="19" t="str">
        <f>+VLOOKUP(Ingresos_Historicos[[#This Row],[contenido]],Estructura!$E$4:$G$18,3,0)</f>
        <v>C-303</v>
      </c>
      <c r="Z511" s="19" t="str">
        <f>+VLOOKUP(Ingresos_Historicos[[#This Row],[Filtro Integrado]],Estructura!$M$4:$O$367,3,0)</f>
        <v>FI-303</v>
      </c>
      <c r="AA511" s="19" t="str">
        <f>+VLOOKUP(Ingresos_Historicos[[#This Row],[Muestra]],Estructura!$Q$4:$S$194,3,0)</f>
        <v>M-310</v>
      </c>
    </row>
    <row r="512" spans="1:27" ht="51" x14ac:dyDescent="0.3">
      <c r="A512" s="71" t="s">
        <v>898</v>
      </c>
      <c r="B512" s="12">
        <f t="shared" si="104"/>
        <v>300</v>
      </c>
      <c r="C512" s="13" t="str">
        <f t="shared" si="104"/>
        <v>Violencia contra la mujer</v>
      </c>
      <c r="D512" s="13" t="str">
        <f t="shared" si="104"/>
        <v>Mujeres</v>
      </c>
      <c r="E512" s="39">
        <v>8</v>
      </c>
      <c r="F512" s="13" t="s">
        <v>7581</v>
      </c>
      <c r="G512" s="13" t="s">
        <v>7576</v>
      </c>
      <c r="H512" s="38" t="s">
        <v>17</v>
      </c>
      <c r="I512" s="37" t="s">
        <v>25</v>
      </c>
      <c r="J512" s="12" t="s">
        <v>398</v>
      </c>
      <c r="K512" s="12" t="str">
        <f t="shared" si="105"/>
        <v>Sentencias Dictadas por Delitos Vinculados a la Mujer</v>
      </c>
      <c r="L512" s="75" t="str">
        <f t="shared" si="105"/>
        <v>Periodo 2013-2019</v>
      </c>
      <c r="M512" s="12" t="str">
        <f t="shared" si="105"/>
        <v>Número de sentencias</v>
      </c>
      <c r="N512" s="33" t="s">
        <v>5964</v>
      </c>
      <c r="O512" s="72" t="str">
        <f>"Sentencias Dictadas por Delitos Vinculados a la Mujer por Delito en el Juzgado de Garantía de "&amp;Ingresos_Historicos[[#This Row],[territorio]]&amp;" para el Periodo 2013-2019"</f>
        <v>Sentencias Dictadas por Delitos Vinculados a la Mujer por Delito en el Juzgado de Garantía de Coquimbo para el Periodo 2013-2019</v>
      </c>
      <c r="P51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Coquimbo para el Periodo 2013-2019 de acuerdo a datos provenientes del Poder Judicial de Chile.</v>
      </c>
      <c r="Q512" s="14" t="str">
        <f t="shared" si="102"/>
        <v>Gráfico de Evolución</v>
      </c>
      <c r="R512" s="27" t="s">
        <v>6348</v>
      </c>
      <c r="S512" s="15" t="s">
        <v>6907</v>
      </c>
      <c r="T512" s="65" t="s">
        <v>5910</v>
      </c>
      <c r="U512" s="24" t="s">
        <v>397</v>
      </c>
      <c r="V512" s="19" t="str">
        <f>+Ingresos_Historicos[[#This Row],[idcoleccion]]&amp;"-"&amp;Ingresos_Historicos[[#This Row],[id]]</f>
        <v>300-0502</v>
      </c>
      <c r="W512" s="19">
        <f>+VLOOKUP(Ingresos_Historicos[[#This Row],[Filtro URL]],Estructura!$X$4:$Y$366,2,0)</f>
        <v>30200008</v>
      </c>
      <c r="X512" s="19" t="str">
        <f>+VLOOKUP(Ingresos_Historicos[[#This Row],[tema]],Estructura!$A$4:$C$18,3,0)</f>
        <v>T-310</v>
      </c>
      <c r="Y512" s="19" t="str">
        <f>+VLOOKUP(Ingresos_Historicos[[#This Row],[contenido]],Estructura!$E$4:$G$18,3,0)</f>
        <v>C-303</v>
      </c>
      <c r="Z512" s="19" t="str">
        <f>+VLOOKUP(Ingresos_Historicos[[#This Row],[Filtro Integrado]],Estructura!$M$4:$O$367,3,0)</f>
        <v>FI-303</v>
      </c>
      <c r="AA512" s="19" t="str">
        <f>+VLOOKUP(Ingresos_Historicos[[#This Row],[Muestra]],Estructura!$Q$4:$S$194,3,0)</f>
        <v>M-310</v>
      </c>
    </row>
    <row r="513" spans="1:27" ht="51" x14ac:dyDescent="0.3">
      <c r="A513" s="71" t="s">
        <v>899</v>
      </c>
      <c r="B513" s="12">
        <f t="shared" si="104"/>
        <v>300</v>
      </c>
      <c r="C513" s="13" t="str">
        <f t="shared" si="104"/>
        <v>Violencia contra la mujer</v>
      </c>
      <c r="D513" s="13" t="str">
        <f t="shared" si="104"/>
        <v>Mujeres</v>
      </c>
      <c r="E513" s="39">
        <v>9</v>
      </c>
      <c r="F513" s="13" t="s">
        <v>7581</v>
      </c>
      <c r="G513" s="13" t="s">
        <v>7576</v>
      </c>
      <c r="H513" s="38" t="s">
        <v>17</v>
      </c>
      <c r="I513" s="37" t="s">
        <v>58</v>
      </c>
      <c r="J513" s="12" t="s">
        <v>398</v>
      </c>
      <c r="K513" s="12" t="str">
        <f t="shared" si="105"/>
        <v>Sentencias Dictadas por Delitos Vinculados a la Mujer</v>
      </c>
      <c r="L513" s="75" t="str">
        <f t="shared" si="105"/>
        <v>Periodo 2013-2019</v>
      </c>
      <c r="M513" s="12" t="str">
        <f t="shared" si="105"/>
        <v>Número de sentencias</v>
      </c>
      <c r="N513" s="33" t="s">
        <v>5964</v>
      </c>
      <c r="O513" s="72" t="str">
        <f>"Sentencias Dictadas por Delitos Vinculados a la Mujer por Delito en el Juzgado de Garantía de "&amp;Ingresos_Historicos[[#This Row],[territorio]]&amp;" para el Periodo 2013-2019"</f>
        <v>Sentencias Dictadas por Delitos Vinculados a la Mujer por Delito en el Juzgado de Garantía de Illapel para el Periodo 2013-2019</v>
      </c>
      <c r="P51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Illapel para el Periodo 2013-2019 de acuerdo a datos provenientes del Poder Judicial de Chile.</v>
      </c>
      <c r="Q513" s="14" t="str">
        <f t="shared" si="102"/>
        <v>Gráfico de Evolución</v>
      </c>
      <c r="R513" s="27" t="s">
        <v>6348</v>
      </c>
      <c r="S513" s="15" t="s">
        <v>6908</v>
      </c>
      <c r="T513" s="65" t="s">
        <v>5910</v>
      </c>
      <c r="U513" s="24" t="s">
        <v>397</v>
      </c>
      <c r="V513" s="19" t="str">
        <f>+Ingresos_Historicos[[#This Row],[idcoleccion]]&amp;"-"&amp;Ingresos_Historicos[[#This Row],[id]]</f>
        <v>300-0503</v>
      </c>
      <c r="W513" s="19">
        <f>+VLOOKUP(Ingresos_Historicos[[#This Row],[Filtro URL]],Estructura!$X$4:$Y$366,2,0)</f>
        <v>30200009</v>
      </c>
      <c r="X513" s="19" t="str">
        <f>+VLOOKUP(Ingresos_Historicos[[#This Row],[tema]],Estructura!$A$4:$C$18,3,0)</f>
        <v>T-310</v>
      </c>
      <c r="Y513" s="19" t="str">
        <f>+VLOOKUP(Ingresos_Historicos[[#This Row],[contenido]],Estructura!$E$4:$G$18,3,0)</f>
        <v>C-303</v>
      </c>
      <c r="Z513" s="19" t="str">
        <f>+VLOOKUP(Ingresos_Historicos[[#This Row],[Filtro Integrado]],Estructura!$M$4:$O$367,3,0)</f>
        <v>FI-303</v>
      </c>
      <c r="AA513" s="19" t="str">
        <f>+VLOOKUP(Ingresos_Historicos[[#This Row],[Muestra]],Estructura!$Q$4:$S$194,3,0)</f>
        <v>M-310</v>
      </c>
    </row>
    <row r="514" spans="1:27" ht="51" x14ac:dyDescent="0.3">
      <c r="A514" s="71" t="s">
        <v>900</v>
      </c>
      <c r="B514" s="12">
        <f t="shared" si="104"/>
        <v>300</v>
      </c>
      <c r="C514" s="13" t="str">
        <f t="shared" si="104"/>
        <v>Violencia contra la mujer</v>
      </c>
      <c r="D514" s="13" t="str">
        <f t="shared" si="104"/>
        <v>Mujeres</v>
      </c>
      <c r="E514" s="39">
        <v>10</v>
      </c>
      <c r="F514" s="13" t="s">
        <v>7581</v>
      </c>
      <c r="G514" s="13" t="s">
        <v>7576</v>
      </c>
      <c r="H514" s="38" t="s">
        <v>17</v>
      </c>
      <c r="I514" s="37" t="s">
        <v>53</v>
      </c>
      <c r="J514" s="12" t="s">
        <v>398</v>
      </c>
      <c r="K514" s="12" t="str">
        <f t="shared" si="105"/>
        <v>Sentencias Dictadas por Delitos Vinculados a la Mujer</v>
      </c>
      <c r="L514" s="75" t="str">
        <f t="shared" si="105"/>
        <v>Periodo 2013-2019</v>
      </c>
      <c r="M514" s="12" t="str">
        <f t="shared" si="105"/>
        <v>Número de sentencias</v>
      </c>
      <c r="N514" s="33" t="s">
        <v>5964</v>
      </c>
      <c r="O514" s="72" t="str">
        <f>"Sentencias Dictadas por Delitos Vinculados a la Mujer por Delito en el Juzgado de Garantía de "&amp;Ingresos_Historicos[[#This Row],[territorio]]&amp;" para el Periodo 2013-2019"</f>
        <v>Sentencias Dictadas por Delitos Vinculados a la Mujer por Delito en el Juzgado de Garantía de La Serena para el Periodo 2013-2019</v>
      </c>
      <c r="P51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La Serena para el Periodo 2013-2019 de acuerdo a datos provenientes del Poder Judicial de Chile.</v>
      </c>
      <c r="Q514" s="14" t="str">
        <f t="shared" si="102"/>
        <v>Gráfico de Evolución</v>
      </c>
      <c r="R514" s="27" t="s">
        <v>6348</v>
      </c>
      <c r="S514" s="15" t="s">
        <v>6909</v>
      </c>
      <c r="T514" s="65" t="s">
        <v>5910</v>
      </c>
      <c r="U514" s="24" t="s">
        <v>397</v>
      </c>
      <c r="V514" s="19" t="str">
        <f>+Ingresos_Historicos[[#This Row],[idcoleccion]]&amp;"-"&amp;Ingresos_Historicos[[#This Row],[id]]</f>
        <v>300-0504</v>
      </c>
      <c r="W514" s="19">
        <f>+VLOOKUP(Ingresos_Historicos[[#This Row],[Filtro URL]],Estructura!$X$4:$Y$366,2,0)</f>
        <v>30200010</v>
      </c>
      <c r="X514" s="19" t="str">
        <f>+VLOOKUP(Ingresos_Historicos[[#This Row],[tema]],Estructura!$A$4:$C$18,3,0)</f>
        <v>T-310</v>
      </c>
      <c r="Y514" s="19" t="str">
        <f>+VLOOKUP(Ingresos_Historicos[[#This Row],[contenido]],Estructura!$E$4:$G$18,3,0)</f>
        <v>C-303</v>
      </c>
      <c r="Z514" s="19" t="str">
        <f>+VLOOKUP(Ingresos_Historicos[[#This Row],[Filtro Integrado]],Estructura!$M$4:$O$367,3,0)</f>
        <v>FI-303</v>
      </c>
      <c r="AA514" s="19" t="str">
        <f>+VLOOKUP(Ingresos_Historicos[[#This Row],[Muestra]],Estructura!$Q$4:$S$194,3,0)</f>
        <v>M-310</v>
      </c>
    </row>
    <row r="515" spans="1:27" ht="51" x14ac:dyDescent="0.3">
      <c r="A515" s="71" t="s">
        <v>901</v>
      </c>
      <c r="B515" s="12">
        <f t="shared" si="104"/>
        <v>300</v>
      </c>
      <c r="C515" s="13" t="str">
        <f t="shared" si="104"/>
        <v>Violencia contra la mujer</v>
      </c>
      <c r="D515" s="13" t="str">
        <f t="shared" si="104"/>
        <v>Mujeres</v>
      </c>
      <c r="E515" s="39">
        <v>11</v>
      </c>
      <c r="F515" s="13" t="s">
        <v>7581</v>
      </c>
      <c r="G515" s="13" t="s">
        <v>7576</v>
      </c>
      <c r="H515" s="38" t="s">
        <v>17</v>
      </c>
      <c r="I515" s="37" t="s">
        <v>21</v>
      </c>
      <c r="J515" s="12" t="s">
        <v>398</v>
      </c>
      <c r="K515" s="12" t="str">
        <f t="shared" si="105"/>
        <v>Sentencias Dictadas por Delitos Vinculados a la Mujer</v>
      </c>
      <c r="L515" s="75" t="str">
        <f t="shared" si="105"/>
        <v>Periodo 2013-2019</v>
      </c>
      <c r="M515" s="12" t="str">
        <f t="shared" si="105"/>
        <v>Número de sentencias</v>
      </c>
      <c r="N515" s="33" t="s">
        <v>5964</v>
      </c>
      <c r="O515" s="72" t="str">
        <f>"Sentencias Dictadas por Delitos Vinculados a la Mujer por Delito en el Juzgado de Garantía de "&amp;Ingresos_Historicos[[#This Row],[territorio]]&amp;" para el Periodo 2013-2019"</f>
        <v>Sentencias Dictadas por Delitos Vinculados a la Mujer por Delito en el Juzgado de Garantía de Ovalle para el Periodo 2013-2019</v>
      </c>
      <c r="P51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Ovalle para el Periodo 2013-2019 de acuerdo a datos provenientes del Poder Judicial de Chile.</v>
      </c>
      <c r="Q515" s="14" t="str">
        <f t="shared" si="102"/>
        <v>Gráfico de Evolución</v>
      </c>
      <c r="R515" s="27" t="s">
        <v>6348</v>
      </c>
      <c r="S515" s="15" t="s">
        <v>6910</v>
      </c>
      <c r="T515" s="65" t="s">
        <v>5910</v>
      </c>
      <c r="U515" s="24" t="s">
        <v>397</v>
      </c>
      <c r="V515" s="19" t="str">
        <f>+Ingresos_Historicos[[#This Row],[idcoleccion]]&amp;"-"&amp;Ingresos_Historicos[[#This Row],[id]]</f>
        <v>300-0505</v>
      </c>
      <c r="W515" s="19">
        <f>+VLOOKUP(Ingresos_Historicos[[#This Row],[Filtro URL]],Estructura!$X$4:$Y$366,2,0)</f>
        <v>30200011</v>
      </c>
      <c r="X515" s="19" t="str">
        <f>+VLOOKUP(Ingresos_Historicos[[#This Row],[tema]],Estructura!$A$4:$C$18,3,0)</f>
        <v>T-310</v>
      </c>
      <c r="Y515" s="19" t="str">
        <f>+VLOOKUP(Ingresos_Historicos[[#This Row],[contenido]],Estructura!$E$4:$G$18,3,0)</f>
        <v>C-303</v>
      </c>
      <c r="Z515" s="19" t="str">
        <f>+VLOOKUP(Ingresos_Historicos[[#This Row],[Filtro Integrado]],Estructura!$M$4:$O$367,3,0)</f>
        <v>FI-303</v>
      </c>
      <c r="AA515" s="19" t="str">
        <f>+VLOOKUP(Ingresos_Historicos[[#This Row],[Muestra]],Estructura!$Q$4:$S$194,3,0)</f>
        <v>M-310</v>
      </c>
    </row>
    <row r="516" spans="1:27" ht="51" x14ac:dyDescent="0.3">
      <c r="A516" s="71" t="s">
        <v>902</v>
      </c>
      <c r="B516" s="12">
        <f t="shared" si="104"/>
        <v>300</v>
      </c>
      <c r="C516" s="13" t="str">
        <f t="shared" si="104"/>
        <v>Violencia contra la mujer</v>
      </c>
      <c r="D516" s="13" t="str">
        <f t="shared" si="104"/>
        <v>Mujeres</v>
      </c>
      <c r="E516" s="39">
        <v>12</v>
      </c>
      <c r="F516" s="13" t="s">
        <v>7581</v>
      </c>
      <c r="G516" s="13" t="s">
        <v>7576</v>
      </c>
      <c r="H516" s="38" t="s">
        <v>17</v>
      </c>
      <c r="I516" s="37" t="s">
        <v>57</v>
      </c>
      <c r="J516" s="12" t="s">
        <v>398</v>
      </c>
      <c r="K516" s="12" t="str">
        <f t="shared" si="105"/>
        <v>Sentencias Dictadas por Delitos Vinculados a la Mujer</v>
      </c>
      <c r="L516" s="75" t="str">
        <f t="shared" si="105"/>
        <v>Periodo 2013-2019</v>
      </c>
      <c r="M516" s="12" t="str">
        <f t="shared" si="105"/>
        <v>Número de sentencias</v>
      </c>
      <c r="N516" s="33" t="s">
        <v>5964</v>
      </c>
      <c r="O516" s="72" t="str">
        <f>"Sentencias Dictadas por Delitos Vinculados a la Mujer por Delito en el Juzgado de Garantía de "&amp;Ingresos_Historicos[[#This Row],[territorio]]&amp;" para el Periodo 2013-2019"</f>
        <v>Sentencias Dictadas por Delitos Vinculados a la Mujer por Delito en el Juzgado de Garantía de Vicuña para el Periodo 2013-2019</v>
      </c>
      <c r="P51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Vicuña para el Periodo 2013-2019 de acuerdo a datos provenientes del Poder Judicial de Chile.</v>
      </c>
      <c r="Q516" s="14" t="str">
        <f t="shared" si="102"/>
        <v>Gráfico de Evolución</v>
      </c>
      <c r="R516" s="27" t="s">
        <v>6348</v>
      </c>
      <c r="S516" s="15" t="s">
        <v>6911</v>
      </c>
      <c r="T516" s="65" t="s">
        <v>5910</v>
      </c>
      <c r="U516" s="24" t="s">
        <v>397</v>
      </c>
      <c r="V516" s="19" t="str">
        <f>+Ingresos_Historicos[[#This Row],[idcoleccion]]&amp;"-"&amp;Ingresos_Historicos[[#This Row],[id]]</f>
        <v>300-0506</v>
      </c>
      <c r="W516" s="19">
        <f>+VLOOKUP(Ingresos_Historicos[[#This Row],[Filtro URL]],Estructura!$X$4:$Y$366,2,0)</f>
        <v>30200012</v>
      </c>
      <c r="X516" s="19" t="str">
        <f>+VLOOKUP(Ingresos_Historicos[[#This Row],[tema]],Estructura!$A$4:$C$18,3,0)</f>
        <v>T-310</v>
      </c>
      <c r="Y516" s="19" t="str">
        <f>+VLOOKUP(Ingresos_Historicos[[#This Row],[contenido]],Estructura!$E$4:$G$18,3,0)</f>
        <v>C-303</v>
      </c>
      <c r="Z516" s="19" t="str">
        <f>+VLOOKUP(Ingresos_Historicos[[#This Row],[Filtro Integrado]],Estructura!$M$4:$O$367,3,0)</f>
        <v>FI-303</v>
      </c>
      <c r="AA516" s="19" t="str">
        <f>+VLOOKUP(Ingresos_Historicos[[#This Row],[Muestra]],Estructura!$Q$4:$S$194,3,0)</f>
        <v>M-310</v>
      </c>
    </row>
    <row r="517" spans="1:27" ht="51" x14ac:dyDescent="0.3">
      <c r="A517" s="71" t="s">
        <v>903</v>
      </c>
      <c r="B517" s="12">
        <f t="shared" si="104"/>
        <v>300</v>
      </c>
      <c r="C517" s="13" t="str">
        <f t="shared" si="104"/>
        <v>Violencia contra la mujer</v>
      </c>
      <c r="D517" s="13" t="str">
        <f t="shared" si="104"/>
        <v>Mujeres</v>
      </c>
      <c r="E517" s="39">
        <v>13</v>
      </c>
      <c r="F517" s="13" t="s">
        <v>7581</v>
      </c>
      <c r="G517" s="13" t="s">
        <v>7576</v>
      </c>
      <c r="H517" s="38" t="s">
        <v>17</v>
      </c>
      <c r="I517" s="37" t="s">
        <v>83</v>
      </c>
      <c r="J517" s="12" t="s">
        <v>398</v>
      </c>
      <c r="K517" s="12" t="str">
        <f t="shared" si="105"/>
        <v>Sentencias Dictadas por Delitos Vinculados a la Mujer</v>
      </c>
      <c r="L517" s="75" t="str">
        <f t="shared" si="105"/>
        <v>Periodo 2013-2019</v>
      </c>
      <c r="M517" s="12" t="str">
        <f t="shared" si="105"/>
        <v>Número de sentencias</v>
      </c>
      <c r="N517" s="33" t="s">
        <v>5964</v>
      </c>
      <c r="O517" s="72" t="str">
        <f>"Sentencias Dictadas por Delitos Vinculados a la Mujer por Delito en el Juzgado de Garantía de "&amp;Ingresos_Historicos[[#This Row],[territorio]]&amp;" para el Periodo 2013-2019"</f>
        <v>Sentencias Dictadas por Delitos Vinculados a la Mujer por Delito en el Juzgado de Garantía de Calera para el Periodo 2013-2019</v>
      </c>
      <c r="P51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Calera para el Periodo 2013-2019 de acuerdo a datos provenientes del Poder Judicial de Chile.</v>
      </c>
      <c r="Q517" s="14" t="str">
        <f t="shared" si="102"/>
        <v>Gráfico de Evolución</v>
      </c>
      <c r="R517" s="27" t="s">
        <v>6348</v>
      </c>
      <c r="S517" s="15" t="s">
        <v>6912</v>
      </c>
      <c r="T517" s="65" t="s">
        <v>5911</v>
      </c>
      <c r="U517" s="24" t="s">
        <v>397</v>
      </c>
      <c r="V517" s="19" t="str">
        <f>+Ingresos_Historicos[[#This Row],[idcoleccion]]&amp;"-"&amp;Ingresos_Historicos[[#This Row],[id]]</f>
        <v>300-0507</v>
      </c>
      <c r="W517" s="19">
        <f>+VLOOKUP(Ingresos_Historicos[[#This Row],[Filtro URL]],Estructura!$X$4:$Y$366,2,0)</f>
        <v>30200013</v>
      </c>
      <c r="X517" s="19" t="str">
        <f>+VLOOKUP(Ingresos_Historicos[[#This Row],[tema]],Estructura!$A$4:$C$18,3,0)</f>
        <v>T-310</v>
      </c>
      <c r="Y517" s="19" t="str">
        <f>+VLOOKUP(Ingresos_Historicos[[#This Row],[contenido]],Estructura!$E$4:$G$18,3,0)</f>
        <v>C-303</v>
      </c>
      <c r="Z517" s="19" t="str">
        <f>+VLOOKUP(Ingresos_Historicos[[#This Row],[Filtro Integrado]],Estructura!$M$4:$O$367,3,0)</f>
        <v>FI-303</v>
      </c>
      <c r="AA517" s="19" t="str">
        <f>+VLOOKUP(Ingresos_Historicos[[#This Row],[Muestra]],Estructura!$Q$4:$S$194,3,0)</f>
        <v>M-310</v>
      </c>
    </row>
    <row r="518" spans="1:27" ht="51" x14ac:dyDescent="0.3">
      <c r="A518" s="71" t="s">
        <v>904</v>
      </c>
      <c r="B518" s="12">
        <f t="shared" ref="B518:D533" si="106">+B517</f>
        <v>300</v>
      </c>
      <c r="C518" s="13" t="str">
        <f t="shared" si="106"/>
        <v>Violencia contra la mujer</v>
      </c>
      <c r="D518" s="13" t="str">
        <f t="shared" si="106"/>
        <v>Mujeres</v>
      </c>
      <c r="E518" s="39">
        <v>14</v>
      </c>
      <c r="F518" s="13" t="s">
        <v>7581</v>
      </c>
      <c r="G518" s="13" t="s">
        <v>7576</v>
      </c>
      <c r="H518" s="38" t="s">
        <v>17</v>
      </c>
      <c r="I518" s="37" t="s">
        <v>77</v>
      </c>
      <c r="J518" s="12" t="s">
        <v>398</v>
      </c>
      <c r="K518" s="12" t="str">
        <f t="shared" si="105"/>
        <v>Sentencias Dictadas por Delitos Vinculados a la Mujer</v>
      </c>
      <c r="L518" s="75" t="str">
        <f t="shared" si="105"/>
        <v>Periodo 2013-2019</v>
      </c>
      <c r="M518" s="12" t="str">
        <f t="shared" si="105"/>
        <v>Número de sentencias</v>
      </c>
      <c r="N518" s="33" t="s">
        <v>5964</v>
      </c>
      <c r="O518" s="72" t="str">
        <f>"Sentencias Dictadas por Delitos Vinculados a la Mujer por Delito en el Juzgado de Garantía de "&amp;Ingresos_Historicos[[#This Row],[territorio]]&amp;" para el Periodo 2013-2019"</f>
        <v>Sentencias Dictadas por Delitos Vinculados a la Mujer por Delito en el Juzgado de Garantía de La Ligua para el Periodo 2013-2019</v>
      </c>
      <c r="P51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La Ligua para el Periodo 2013-2019 de acuerdo a datos provenientes del Poder Judicial de Chile.</v>
      </c>
      <c r="Q518" s="14" t="str">
        <f t="shared" si="102"/>
        <v>Gráfico de Evolución</v>
      </c>
      <c r="R518" s="27" t="s">
        <v>6348</v>
      </c>
      <c r="S518" s="15" t="s">
        <v>6913</v>
      </c>
      <c r="T518" s="65" t="s">
        <v>5911</v>
      </c>
      <c r="U518" s="24" t="s">
        <v>397</v>
      </c>
      <c r="V518" s="19" t="str">
        <f>+Ingresos_Historicos[[#This Row],[idcoleccion]]&amp;"-"&amp;Ingresos_Historicos[[#This Row],[id]]</f>
        <v>300-0508</v>
      </c>
      <c r="W518" s="19">
        <f>+VLOOKUP(Ingresos_Historicos[[#This Row],[Filtro URL]],Estructura!$X$4:$Y$366,2,0)</f>
        <v>30200014</v>
      </c>
      <c r="X518" s="19" t="str">
        <f>+VLOOKUP(Ingresos_Historicos[[#This Row],[tema]],Estructura!$A$4:$C$18,3,0)</f>
        <v>T-310</v>
      </c>
      <c r="Y518" s="19" t="str">
        <f>+VLOOKUP(Ingresos_Historicos[[#This Row],[contenido]],Estructura!$E$4:$G$18,3,0)</f>
        <v>C-303</v>
      </c>
      <c r="Z518" s="19" t="str">
        <f>+VLOOKUP(Ingresos_Historicos[[#This Row],[Filtro Integrado]],Estructura!$M$4:$O$367,3,0)</f>
        <v>FI-303</v>
      </c>
      <c r="AA518" s="19" t="str">
        <f>+VLOOKUP(Ingresos_Historicos[[#This Row],[Muestra]],Estructura!$Q$4:$S$194,3,0)</f>
        <v>M-310</v>
      </c>
    </row>
    <row r="519" spans="1:27" ht="51" x14ac:dyDescent="0.3">
      <c r="A519" s="71" t="s">
        <v>905</v>
      </c>
      <c r="B519" s="12">
        <f t="shared" si="106"/>
        <v>300</v>
      </c>
      <c r="C519" s="13" t="str">
        <f t="shared" si="106"/>
        <v>Violencia contra la mujer</v>
      </c>
      <c r="D519" s="13" t="str">
        <f t="shared" si="106"/>
        <v>Mujeres</v>
      </c>
      <c r="E519" s="39">
        <v>15</v>
      </c>
      <c r="F519" s="13" t="s">
        <v>7581</v>
      </c>
      <c r="G519" s="13" t="s">
        <v>7576</v>
      </c>
      <c r="H519" s="38" t="s">
        <v>17</v>
      </c>
      <c r="I519" s="37" t="s">
        <v>100</v>
      </c>
      <c r="J519" s="12" t="s">
        <v>398</v>
      </c>
      <c r="K519" s="12" t="str">
        <f t="shared" si="105"/>
        <v>Sentencias Dictadas por Delitos Vinculados a la Mujer</v>
      </c>
      <c r="L519" s="75" t="str">
        <f t="shared" si="105"/>
        <v>Periodo 2013-2019</v>
      </c>
      <c r="M519" s="12" t="str">
        <f t="shared" si="105"/>
        <v>Número de sentencias</v>
      </c>
      <c r="N519" s="33" t="s">
        <v>5964</v>
      </c>
      <c r="O519" s="72" t="str">
        <f>"Sentencias Dictadas por Delitos Vinculados a la Mujer por Delito en el Juzgado de Garantía de "&amp;Ingresos_Historicos[[#This Row],[territorio]]&amp;" para el Periodo 2013-2019"</f>
        <v>Sentencias Dictadas por Delitos Vinculados a la Mujer por Delito en el Juzgado de Garantía de Limache para el Periodo 2013-2019</v>
      </c>
      <c r="P51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Limache para el Periodo 2013-2019 de acuerdo a datos provenientes del Poder Judicial de Chile.</v>
      </c>
      <c r="Q519" s="14" t="str">
        <f t="shared" si="102"/>
        <v>Gráfico de Evolución</v>
      </c>
      <c r="R519" s="27" t="s">
        <v>6348</v>
      </c>
      <c r="S519" s="15" t="s">
        <v>6914</v>
      </c>
      <c r="T519" s="65" t="s">
        <v>5911</v>
      </c>
      <c r="U519" s="24" t="s">
        <v>397</v>
      </c>
      <c r="V519" s="19" t="str">
        <f>+Ingresos_Historicos[[#This Row],[idcoleccion]]&amp;"-"&amp;Ingresos_Historicos[[#This Row],[id]]</f>
        <v>300-0509</v>
      </c>
      <c r="W519" s="19">
        <f>+VLOOKUP(Ingresos_Historicos[[#This Row],[Filtro URL]],Estructura!$X$4:$Y$366,2,0)</f>
        <v>30200015</v>
      </c>
      <c r="X519" s="19" t="str">
        <f>+VLOOKUP(Ingresos_Historicos[[#This Row],[tema]],Estructura!$A$4:$C$18,3,0)</f>
        <v>T-310</v>
      </c>
      <c r="Y519" s="19" t="str">
        <f>+VLOOKUP(Ingresos_Historicos[[#This Row],[contenido]],Estructura!$E$4:$G$18,3,0)</f>
        <v>C-303</v>
      </c>
      <c r="Z519" s="19" t="str">
        <f>+VLOOKUP(Ingresos_Historicos[[#This Row],[Filtro Integrado]],Estructura!$M$4:$O$367,3,0)</f>
        <v>FI-303</v>
      </c>
      <c r="AA519" s="19" t="str">
        <f>+VLOOKUP(Ingresos_Historicos[[#This Row],[Muestra]],Estructura!$Q$4:$S$194,3,0)</f>
        <v>M-310</v>
      </c>
    </row>
    <row r="520" spans="1:27" ht="51" x14ac:dyDescent="0.3">
      <c r="A520" s="71" t="s">
        <v>906</v>
      </c>
      <c r="B520" s="12">
        <f t="shared" si="106"/>
        <v>300</v>
      </c>
      <c r="C520" s="13" t="str">
        <f t="shared" si="106"/>
        <v>Violencia contra la mujer</v>
      </c>
      <c r="D520" s="13" t="str">
        <f t="shared" si="106"/>
        <v>Mujeres</v>
      </c>
      <c r="E520" s="39">
        <v>16</v>
      </c>
      <c r="F520" s="13" t="s">
        <v>7581</v>
      </c>
      <c r="G520" s="13" t="s">
        <v>7576</v>
      </c>
      <c r="H520" s="38" t="s">
        <v>17</v>
      </c>
      <c r="I520" s="37" t="s">
        <v>73</v>
      </c>
      <c r="J520" s="12" t="s">
        <v>398</v>
      </c>
      <c r="K520" s="12" t="str">
        <f t="shared" ref="K520:M535" si="107">+K519</f>
        <v>Sentencias Dictadas por Delitos Vinculados a la Mujer</v>
      </c>
      <c r="L520" s="75" t="str">
        <f t="shared" si="107"/>
        <v>Periodo 2013-2019</v>
      </c>
      <c r="M520" s="12" t="str">
        <f t="shared" si="107"/>
        <v>Número de sentencias</v>
      </c>
      <c r="N520" s="33" t="s">
        <v>5964</v>
      </c>
      <c r="O520" s="72" t="str">
        <f>"Sentencias Dictadas por Delitos Vinculados a la Mujer por Delito en el Juzgado de Garantía de "&amp;Ingresos_Historicos[[#This Row],[territorio]]&amp;" para el Periodo 2013-2019"</f>
        <v>Sentencias Dictadas por Delitos Vinculados a la Mujer por Delito en el Juzgado de Garantía de Los Andes para el Periodo 2013-2019</v>
      </c>
      <c r="P52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Los Andes para el Periodo 2013-2019 de acuerdo a datos provenientes del Poder Judicial de Chile.</v>
      </c>
      <c r="Q520" s="14" t="str">
        <f t="shared" si="102"/>
        <v>Gráfico de Evolución</v>
      </c>
      <c r="R520" s="27" t="s">
        <v>6348</v>
      </c>
      <c r="S520" s="15" t="s">
        <v>6915</v>
      </c>
      <c r="T520" s="65" t="s">
        <v>5911</v>
      </c>
      <c r="U520" s="24" t="s">
        <v>397</v>
      </c>
      <c r="V520" s="19" t="str">
        <f>+Ingresos_Historicos[[#This Row],[idcoleccion]]&amp;"-"&amp;Ingresos_Historicos[[#This Row],[id]]</f>
        <v>300-0510</v>
      </c>
      <c r="W520" s="19">
        <f>+VLOOKUP(Ingresos_Historicos[[#This Row],[Filtro URL]],Estructura!$X$4:$Y$366,2,0)</f>
        <v>30200016</v>
      </c>
      <c r="X520" s="19" t="str">
        <f>+VLOOKUP(Ingresos_Historicos[[#This Row],[tema]],Estructura!$A$4:$C$18,3,0)</f>
        <v>T-310</v>
      </c>
      <c r="Y520" s="19" t="str">
        <f>+VLOOKUP(Ingresos_Historicos[[#This Row],[contenido]],Estructura!$E$4:$G$18,3,0)</f>
        <v>C-303</v>
      </c>
      <c r="Z520" s="19" t="str">
        <f>+VLOOKUP(Ingresos_Historicos[[#This Row],[Filtro Integrado]],Estructura!$M$4:$O$367,3,0)</f>
        <v>FI-303</v>
      </c>
      <c r="AA520" s="19" t="str">
        <f>+VLOOKUP(Ingresos_Historicos[[#This Row],[Muestra]],Estructura!$Q$4:$S$194,3,0)</f>
        <v>M-310</v>
      </c>
    </row>
    <row r="521" spans="1:27" ht="51" x14ac:dyDescent="0.3">
      <c r="A521" s="71" t="s">
        <v>907</v>
      </c>
      <c r="B521" s="12">
        <f t="shared" si="106"/>
        <v>300</v>
      </c>
      <c r="C521" s="13" t="str">
        <f t="shared" si="106"/>
        <v>Violencia contra la mujer</v>
      </c>
      <c r="D521" s="13" t="str">
        <f t="shared" si="106"/>
        <v>Mujeres</v>
      </c>
      <c r="E521" s="39">
        <v>17</v>
      </c>
      <c r="F521" s="13" t="s">
        <v>7581</v>
      </c>
      <c r="G521" s="13" t="s">
        <v>7576</v>
      </c>
      <c r="H521" s="38" t="s">
        <v>17</v>
      </c>
      <c r="I521" s="37" t="s">
        <v>82</v>
      </c>
      <c r="J521" s="12" t="s">
        <v>398</v>
      </c>
      <c r="K521" s="12" t="str">
        <f t="shared" si="107"/>
        <v>Sentencias Dictadas por Delitos Vinculados a la Mujer</v>
      </c>
      <c r="L521" s="75" t="str">
        <f t="shared" si="107"/>
        <v>Periodo 2013-2019</v>
      </c>
      <c r="M521" s="12" t="str">
        <f t="shared" si="107"/>
        <v>Número de sentencias</v>
      </c>
      <c r="N521" s="33" t="s">
        <v>5964</v>
      </c>
      <c r="O521" s="72" t="str">
        <f>"Sentencias Dictadas por Delitos Vinculados a la Mujer por Delito en el Juzgado de Garantía de "&amp;Ingresos_Historicos[[#This Row],[territorio]]&amp;" para el Periodo 2013-2019"</f>
        <v>Sentencias Dictadas por Delitos Vinculados a la Mujer por Delito en el Juzgado de Garantía de Quillota para el Periodo 2013-2019</v>
      </c>
      <c r="P52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Quillota para el Periodo 2013-2019 de acuerdo a datos provenientes del Poder Judicial de Chile.</v>
      </c>
      <c r="Q521" s="14" t="str">
        <f t="shared" si="102"/>
        <v>Gráfico de Evolución</v>
      </c>
      <c r="R521" s="27" t="s">
        <v>6348</v>
      </c>
      <c r="S521" s="15" t="s">
        <v>6916</v>
      </c>
      <c r="T521" s="65" t="s">
        <v>5911</v>
      </c>
      <c r="U521" s="24" t="s">
        <v>397</v>
      </c>
      <c r="V521" s="19" t="str">
        <f>+Ingresos_Historicos[[#This Row],[idcoleccion]]&amp;"-"&amp;Ingresos_Historicos[[#This Row],[id]]</f>
        <v>300-0511</v>
      </c>
      <c r="W521" s="19" t="e">
        <f>+VLOOKUP(Ingresos_Historicos[[#This Row],[Filtro URL]],Estructura!$X$4:$Y$366,2,0)</f>
        <v>#N/A</v>
      </c>
      <c r="X521" s="19" t="str">
        <f>+VLOOKUP(Ingresos_Historicos[[#This Row],[tema]],Estructura!$A$4:$C$18,3,0)</f>
        <v>T-310</v>
      </c>
      <c r="Y521" s="19" t="str">
        <f>+VLOOKUP(Ingresos_Historicos[[#This Row],[contenido]],Estructura!$E$4:$G$18,3,0)</f>
        <v>C-303</v>
      </c>
      <c r="Z521" s="19" t="str">
        <f>+VLOOKUP(Ingresos_Historicos[[#This Row],[Filtro Integrado]],Estructura!$M$4:$O$367,3,0)</f>
        <v>FI-303</v>
      </c>
      <c r="AA521" s="19" t="str">
        <f>+VLOOKUP(Ingresos_Historicos[[#This Row],[Muestra]],Estructura!$Q$4:$S$194,3,0)</f>
        <v>M-310</v>
      </c>
    </row>
    <row r="522" spans="1:27" ht="51" x14ac:dyDescent="0.3">
      <c r="A522" s="71" t="s">
        <v>908</v>
      </c>
      <c r="B522" s="12">
        <f t="shared" si="106"/>
        <v>300</v>
      </c>
      <c r="C522" s="13" t="str">
        <f t="shared" si="106"/>
        <v>Violencia contra la mujer</v>
      </c>
      <c r="D522" s="13" t="str">
        <f t="shared" si="106"/>
        <v>Mujeres</v>
      </c>
      <c r="E522" s="39">
        <v>18</v>
      </c>
      <c r="F522" s="13" t="s">
        <v>7581</v>
      </c>
      <c r="G522" s="13" t="s">
        <v>7576</v>
      </c>
      <c r="H522" s="38" t="s">
        <v>17</v>
      </c>
      <c r="I522" s="37" t="s">
        <v>6024</v>
      </c>
      <c r="J522" s="12" t="s">
        <v>398</v>
      </c>
      <c r="K522" s="12" t="str">
        <f t="shared" si="107"/>
        <v>Sentencias Dictadas por Delitos Vinculados a la Mujer</v>
      </c>
      <c r="L522" s="75" t="str">
        <f t="shared" si="107"/>
        <v>Periodo 2013-2019</v>
      </c>
      <c r="M522" s="12" t="str">
        <f t="shared" si="107"/>
        <v>Número de sentencias</v>
      </c>
      <c r="N522" s="33" t="s">
        <v>5964</v>
      </c>
      <c r="O522" s="72" t="str">
        <f>"Sentencias Dictadas por Delitos Vinculados a la Mujer por Delito en el Juzgado de Garantía de "&amp;Ingresos_Historicos[[#This Row],[territorio]]&amp;" para el Periodo 2013-2019"</f>
        <v>Sentencias Dictadas por Delitos Vinculados a la Mujer por Delito en el Juzgado de Garantía de Quilpue para el Periodo 2013-2019</v>
      </c>
      <c r="P52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Quilpue para el Periodo 2013-2019 de acuerdo a datos provenientes del Poder Judicial de Chile.</v>
      </c>
      <c r="Q522" s="14" t="str">
        <f t="shared" si="102"/>
        <v>Gráfico de Evolución</v>
      </c>
      <c r="R522" s="27" t="s">
        <v>6348</v>
      </c>
      <c r="S522" s="15" t="s">
        <v>6917</v>
      </c>
      <c r="T522" s="65" t="s">
        <v>5911</v>
      </c>
      <c r="U522" s="24" t="s">
        <v>397</v>
      </c>
      <c r="V522" s="19" t="str">
        <f>+Ingresos_Historicos[[#This Row],[idcoleccion]]&amp;"-"&amp;Ingresos_Historicos[[#This Row],[id]]</f>
        <v>300-0512</v>
      </c>
      <c r="W522" s="19" t="e">
        <f>+VLOOKUP(Ingresos_Historicos[[#This Row],[Filtro URL]],Estructura!$X$4:$Y$366,2,0)</f>
        <v>#N/A</v>
      </c>
      <c r="X522" s="19" t="str">
        <f>+VLOOKUP(Ingresos_Historicos[[#This Row],[tema]],Estructura!$A$4:$C$18,3,0)</f>
        <v>T-310</v>
      </c>
      <c r="Y522" s="19" t="str">
        <f>+VLOOKUP(Ingresos_Historicos[[#This Row],[contenido]],Estructura!$E$4:$G$18,3,0)</f>
        <v>C-303</v>
      </c>
      <c r="Z522" s="19" t="str">
        <f>+VLOOKUP(Ingresos_Historicos[[#This Row],[Filtro Integrado]],Estructura!$M$4:$O$367,3,0)</f>
        <v>FI-303</v>
      </c>
      <c r="AA522" s="19" t="str">
        <f>+VLOOKUP(Ingresos_Historicos[[#This Row],[Muestra]],Estructura!$Q$4:$S$194,3,0)</f>
        <v>M-310</v>
      </c>
    </row>
    <row r="523" spans="1:27" ht="51" x14ac:dyDescent="0.3">
      <c r="A523" s="71" t="s">
        <v>909</v>
      </c>
      <c r="B523" s="12">
        <f t="shared" si="106"/>
        <v>300</v>
      </c>
      <c r="C523" s="13" t="str">
        <f t="shared" si="106"/>
        <v>Violencia contra la mujer</v>
      </c>
      <c r="D523" s="13" t="str">
        <f t="shared" si="106"/>
        <v>Mujeres</v>
      </c>
      <c r="E523" s="39">
        <v>19</v>
      </c>
      <c r="F523" s="13" t="s">
        <v>7581</v>
      </c>
      <c r="G523" s="13" t="s">
        <v>7576</v>
      </c>
      <c r="H523" s="38" t="s">
        <v>17</v>
      </c>
      <c r="I523" s="37" t="s">
        <v>93</v>
      </c>
      <c r="J523" s="12" t="s">
        <v>398</v>
      </c>
      <c r="K523" s="12" t="str">
        <f t="shared" si="107"/>
        <v>Sentencias Dictadas por Delitos Vinculados a la Mujer</v>
      </c>
      <c r="L523" s="75" t="str">
        <f t="shared" si="107"/>
        <v>Periodo 2013-2019</v>
      </c>
      <c r="M523" s="12" t="str">
        <f t="shared" si="107"/>
        <v>Número de sentencias</v>
      </c>
      <c r="N523" s="33" t="s">
        <v>5964</v>
      </c>
      <c r="O523" s="72" t="str">
        <f>"Sentencias Dictadas por Delitos Vinculados a la Mujer por Delito en el Juzgado de Garantía de "&amp;Ingresos_Historicos[[#This Row],[territorio]]&amp;" para el Periodo 2013-2019"</f>
        <v>Sentencias Dictadas por Delitos Vinculados a la Mujer por Delito en el Juzgado de Garantía de San Felipe para el Periodo 2013-2019</v>
      </c>
      <c r="P52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 Felipe para el Periodo 2013-2019 de acuerdo a datos provenientes del Poder Judicial de Chile.</v>
      </c>
      <c r="Q523" s="14" t="str">
        <f t="shared" si="102"/>
        <v>Gráfico de Evolución</v>
      </c>
      <c r="R523" s="27" t="s">
        <v>6348</v>
      </c>
      <c r="S523" s="15" t="s">
        <v>6918</v>
      </c>
      <c r="T523" s="65" t="s">
        <v>5911</v>
      </c>
      <c r="U523" s="24" t="s">
        <v>397</v>
      </c>
      <c r="V523" s="19" t="str">
        <f>+Ingresos_Historicos[[#This Row],[idcoleccion]]&amp;"-"&amp;Ingresos_Historicos[[#This Row],[id]]</f>
        <v>300-0513</v>
      </c>
      <c r="W523" s="19" t="e">
        <f>+VLOOKUP(Ingresos_Historicos[[#This Row],[Filtro URL]],Estructura!$X$4:$Y$366,2,0)</f>
        <v>#N/A</v>
      </c>
      <c r="X523" s="19" t="str">
        <f>+VLOOKUP(Ingresos_Historicos[[#This Row],[tema]],Estructura!$A$4:$C$18,3,0)</f>
        <v>T-310</v>
      </c>
      <c r="Y523" s="19" t="str">
        <f>+VLOOKUP(Ingresos_Historicos[[#This Row],[contenido]],Estructura!$E$4:$G$18,3,0)</f>
        <v>C-303</v>
      </c>
      <c r="Z523" s="19" t="str">
        <f>+VLOOKUP(Ingresos_Historicos[[#This Row],[Filtro Integrado]],Estructura!$M$4:$O$367,3,0)</f>
        <v>FI-303</v>
      </c>
      <c r="AA523" s="19" t="str">
        <f>+VLOOKUP(Ingresos_Historicos[[#This Row],[Muestra]],Estructura!$Q$4:$S$194,3,0)</f>
        <v>M-310</v>
      </c>
    </row>
    <row r="524" spans="1:27" ht="51" x14ac:dyDescent="0.3">
      <c r="A524" s="71" t="s">
        <v>910</v>
      </c>
      <c r="B524" s="12">
        <f t="shared" si="106"/>
        <v>300</v>
      </c>
      <c r="C524" s="13" t="str">
        <f t="shared" si="106"/>
        <v>Violencia contra la mujer</v>
      </c>
      <c r="D524" s="13" t="str">
        <f t="shared" si="106"/>
        <v>Mujeres</v>
      </c>
      <c r="E524" s="39">
        <v>20</v>
      </c>
      <c r="F524" s="13" t="s">
        <v>7581</v>
      </c>
      <c r="G524" s="13" t="s">
        <v>7576</v>
      </c>
      <c r="H524" s="38" t="s">
        <v>17</v>
      </c>
      <c r="I524" s="37" t="s">
        <v>6027</v>
      </c>
      <c r="J524" s="12" t="s">
        <v>398</v>
      </c>
      <c r="K524" s="12" t="str">
        <f t="shared" si="107"/>
        <v>Sentencias Dictadas por Delitos Vinculados a la Mujer</v>
      </c>
      <c r="L524" s="75" t="str">
        <f t="shared" si="107"/>
        <v>Periodo 2013-2019</v>
      </c>
      <c r="M524" s="12" t="str">
        <f t="shared" si="107"/>
        <v>Número de sentencias</v>
      </c>
      <c r="N524" s="33" t="s">
        <v>5964</v>
      </c>
      <c r="O524" s="72" t="str">
        <f>"Sentencias Dictadas por Delitos Vinculados a la Mujer por Delito en el Juzgado de Garantía de "&amp;Ingresos_Historicos[[#This Row],[territorio]]&amp;" para el Periodo 2013-2019"</f>
        <v>Sentencias Dictadas por Delitos Vinculados a la Mujer por Delito en el Juzgado de Garantía de Valparaiso para el Periodo 2013-2019</v>
      </c>
      <c r="P52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Valparaiso para el Periodo 2013-2019 de acuerdo a datos provenientes del Poder Judicial de Chile.</v>
      </c>
      <c r="Q524" s="14" t="str">
        <f t="shared" si="102"/>
        <v>Gráfico de Evolución</v>
      </c>
      <c r="R524" s="27" t="s">
        <v>6348</v>
      </c>
      <c r="S524" s="15" t="s">
        <v>6919</v>
      </c>
      <c r="T524" s="65" t="s">
        <v>5911</v>
      </c>
      <c r="U524" s="24" t="s">
        <v>397</v>
      </c>
      <c r="V524" s="19" t="str">
        <f>+Ingresos_Historicos[[#This Row],[idcoleccion]]&amp;"-"&amp;Ingresos_Historicos[[#This Row],[id]]</f>
        <v>300-0514</v>
      </c>
      <c r="W524" s="19" t="e">
        <f>+VLOOKUP(Ingresos_Historicos[[#This Row],[Filtro URL]],Estructura!$X$4:$Y$366,2,0)</f>
        <v>#N/A</v>
      </c>
      <c r="X524" s="19" t="str">
        <f>+VLOOKUP(Ingresos_Historicos[[#This Row],[tema]],Estructura!$A$4:$C$18,3,0)</f>
        <v>T-310</v>
      </c>
      <c r="Y524" s="19" t="str">
        <f>+VLOOKUP(Ingresos_Historicos[[#This Row],[contenido]],Estructura!$E$4:$G$18,3,0)</f>
        <v>C-303</v>
      </c>
      <c r="Z524" s="19" t="str">
        <f>+VLOOKUP(Ingresos_Historicos[[#This Row],[Filtro Integrado]],Estructura!$M$4:$O$367,3,0)</f>
        <v>FI-303</v>
      </c>
      <c r="AA524" s="19" t="str">
        <f>+VLOOKUP(Ingresos_Historicos[[#This Row],[Muestra]],Estructura!$Q$4:$S$194,3,0)</f>
        <v>M-310</v>
      </c>
    </row>
    <row r="525" spans="1:27" ht="51" x14ac:dyDescent="0.3">
      <c r="A525" s="71" t="s">
        <v>911</v>
      </c>
      <c r="B525" s="12">
        <f t="shared" si="106"/>
        <v>300</v>
      </c>
      <c r="C525" s="13" t="str">
        <f t="shared" si="106"/>
        <v>Violencia contra la mujer</v>
      </c>
      <c r="D525" s="13" t="str">
        <f t="shared" si="106"/>
        <v>Mujeres</v>
      </c>
      <c r="E525" s="39">
        <v>21</v>
      </c>
      <c r="F525" s="13" t="s">
        <v>7581</v>
      </c>
      <c r="G525" s="13" t="s">
        <v>7576</v>
      </c>
      <c r="H525" s="38" t="s">
        <v>17</v>
      </c>
      <c r="I525" s="37" t="s">
        <v>102</v>
      </c>
      <c r="J525" s="12" t="s">
        <v>398</v>
      </c>
      <c r="K525" s="12" t="str">
        <f t="shared" si="107"/>
        <v>Sentencias Dictadas por Delitos Vinculados a la Mujer</v>
      </c>
      <c r="L525" s="75" t="str">
        <f t="shared" si="107"/>
        <v>Periodo 2013-2019</v>
      </c>
      <c r="M525" s="12" t="str">
        <f t="shared" si="107"/>
        <v>Número de sentencias</v>
      </c>
      <c r="N525" s="33" t="s">
        <v>5964</v>
      </c>
      <c r="O525" s="72" t="str">
        <f>"Sentencias Dictadas por Delitos Vinculados a la Mujer por Delito en el Juzgado de Garantía de "&amp;Ingresos_Historicos[[#This Row],[territorio]]&amp;" para el Periodo 2013-2019"</f>
        <v>Sentencias Dictadas por Delitos Vinculados a la Mujer por Delito en el Juzgado de Garantía de Villa Alemana para el Periodo 2013-2019</v>
      </c>
      <c r="P52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Villa Alemana para el Periodo 2013-2019 de acuerdo a datos provenientes del Poder Judicial de Chile.</v>
      </c>
      <c r="Q525" s="14" t="str">
        <f t="shared" si="102"/>
        <v>Gráfico de Evolución</v>
      </c>
      <c r="R525" s="27" t="s">
        <v>6348</v>
      </c>
      <c r="S525" s="15" t="s">
        <v>6920</v>
      </c>
      <c r="T525" s="65" t="s">
        <v>5911</v>
      </c>
      <c r="U525" s="24" t="s">
        <v>397</v>
      </c>
      <c r="V525" s="19" t="str">
        <f>+Ingresos_Historicos[[#This Row],[idcoleccion]]&amp;"-"&amp;Ingresos_Historicos[[#This Row],[id]]</f>
        <v>300-0515</v>
      </c>
      <c r="W525" s="19" t="e">
        <f>+VLOOKUP(Ingresos_Historicos[[#This Row],[Filtro URL]],Estructura!$X$4:$Y$366,2,0)</f>
        <v>#N/A</v>
      </c>
      <c r="X525" s="19" t="str">
        <f>+VLOOKUP(Ingresos_Historicos[[#This Row],[tema]],Estructura!$A$4:$C$18,3,0)</f>
        <v>T-310</v>
      </c>
      <c r="Y525" s="19" t="str">
        <f>+VLOOKUP(Ingresos_Historicos[[#This Row],[contenido]],Estructura!$E$4:$G$18,3,0)</f>
        <v>C-303</v>
      </c>
      <c r="Z525" s="19" t="str">
        <f>+VLOOKUP(Ingresos_Historicos[[#This Row],[Filtro Integrado]],Estructura!$M$4:$O$367,3,0)</f>
        <v>FI-303</v>
      </c>
      <c r="AA525" s="19" t="str">
        <f>+VLOOKUP(Ingresos_Historicos[[#This Row],[Muestra]],Estructura!$Q$4:$S$194,3,0)</f>
        <v>M-310</v>
      </c>
    </row>
    <row r="526" spans="1:27" ht="51" x14ac:dyDescent="0.3">
      <c r="A526" s="71" t="s">
        <v>912</v>
      </c>
      <c r="B526" s="12">
        <f t="shared" si="106"/>
        <v>300</v>
      </c>
      <c r="C526" s="13" t="str">
        <f t="shared" si="106"/>
        <v>Violencia contra la mujer</v>
      </c>
      <c r="D526" s="13" t="str">
        <f t="shared" si="106"/>
        <v>Mujeres</v>
      </c>
      <c r="E526" s="39">
        <v>22</v>
      </c>
      <c r="F526" s="13" t="s">
        <v>7581</v>
      </c>
      <c r="G526" s="13" t="s">
        <v>7576</v>
      </c>
      <c r="H526" s="38" t="s">
        <v>17</v>
      </c>
      <c r="I526" s="37" t="s">
        <v>6030</v>
      </c>
      <c r="J526" s="12" t="s">
        <v>398</v>
      </c>
      <c r="K526" s="12" t="str">
        <f t="shared" si="107"/>
        <v>Sentencias Dictadas por Delitos Vinculados a la Mujer</v>
      </c>
      <c r="L526" s="75" t="str">
        <f t="shared" si="107"/>
        <v>Periodo 2013-2019</v>
      </c>
      <c r="M526" s="12" t="str">
        <f t="shared" si="107"/>
        <v>Número de sentencias</v>
      </c>
      <c r="N526" s="33" t="s">
        <v>5964</v>
      </c>
      <c r="O526" s="72" t="str">
        <f>"Sentencias Dictadas por Delitos Vinculados a la Mujer por Delito en el Juzgado de Garantía de "&amp;Ingresos_Historicos[[#This Row],[territorio]]&amp;" para el Periodo 2013-2019"</f>
        <v>Sentencias Dictadas por Delitos Vinculados a la Mujer por Delito en el Juzgado de Garantía de Viña Del Mar para el Periodo 2013-2019</v>
      </c>
      <c r="P52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Viña Del Mar para el Periodo 2013-2019 de acuerdo a datos provenientes del Poder Judicial de Chile.</v>
      </c>
      <c r="Q526" s="14" t="str">
        <f t="shared" si="102"/>
        <v>Gráfico de Evolución</v>
      </c>
      <c r="R526" s="27" t="s">
        <v>6348</v>
      </c>
      <c r="S526" s="15" t="s">
        <v>6921</v>
      </c>
      <c r="T526" s="65" t="s">
        <v>5911</v>
      </c>
      <c r="U526" s="24" t="s">
        <v>397</v>
      </c>
      <c r="V526" s="19" t="str">
        <f>+Ingresos_Historicos[[#This Row],[idcoleccion]]&amp;"-"&amp;Ingresos_Historicos[[#This Row],[id]]</f>
        <v>300-0516</v>
      </c>
      <c r="W526" s="19" t="e">
        <f>+VLOOKUP(Ingresos_Historicos[[#This Row],[Filtro URL]],Estructura!$X$4:$Y$366,2,0)</f>
        <v>#N/A</v>
      </c>
      <c r="X526" s="19" t="str">
        <f>+VLOOKUP(Ingresos_Historicos[[#This Row],[tema]],Estructura!$A$4:$C$18,3,0)</f>
        <v>T-310</v>
      </c>
      <c r="Y526" s="19" t="str">
        <f>+VLOOKUP(Ingresos_Historicos[[#This Row],[contenido]],Estructura!$E$4:$G$18,3,0)</f>
        <v>C-303</v>
      </c>
      <c r="Z526" s="19" t="str">
        <f>+VLOOKUP(Ingresos_Historicos[[#This Row],[Filtro Integrado]],Estructura!$M$4:$O$367,3,0)</f>
        <v>FI-303</v>
      </c>
      <c r="AA526" s="19" t="str">
        <f>+VLOOKUP(Ingresos_Historicos[[#This Row],[Muestra]],Estructura!$Q$4:$S$194,3,0)</f>
        <v>M-310</v>
      </c>
    </row>
    <row r="527" spans="1:27" ht="51" x14ac:dyDescent="0.3">
      <c r="A527" s="71" t="s">
        <v>913</v>
      </c>
      <c r="B527" s="12">
        <f t="shared" si="106"/>
        <v>300</v>
      </c>
      <c r="C527" s="13" t="str">
        <f t="shared" si="106"/>
        <v>Violencia contra la mujer</v>
      </c>
      <c r="D527" s="13" t="str">
        <f t="shared" si="106"/>
        <v>Mujeres</v>
      </c>
      <c r="E527" s="39">
        <v>23</v>
      </c>
      <c r="F527" s="13" t="s">
        <v>7581</v>
      </c>
      <c r="G527" s="13" t="s">
        <v>7576</v>
      </c>
      <c r="H527" s="38" t="s">
        <v>17</v>
      </c>
      <c r="I527" s="37" t="s">
        <v>108</v>
      </c>
      <c r="J527" s="12" t="s">
        <v>398</v>
      </c>
      <c r="K527" s="12" t="str">
        <f t="shared" si="107"/>
        <v>Sentencias Dictadas por Delitos Vinculados a la Mujer</v>
      </c>
      <c r="L527" s="75" t="str">
        <f t="shared" si="107"/>
        <v>Periodo 2013-2019</v>
      </c>
      <c r="M527" s="12" t="str">
        <f t="shared" si="107"/>
        <v>Número de sentencias</v>
      </c>
      <c r="N527" s="33" t="s">
        <v>5964</v>
      </c>
      <c r="O527" s="72" t="str">
        <f>"Sentencias Dictadas por Delitos Vinculados a la Mujer por Delito en el Juzgado de Garantía de "&amp;Ingresos_Historicos[[#This Row],[territorio]]&amp;" para el Periodo 2013-2019"</f>
        <v>Sentencias Dictadas por Delitos Vinculados a la Mujer por Delito en el Juzgado de Garantía de Graneros para el Periodo 2013-2019</v>
      </c>
      <c r="P52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Graneros para el Periodo 2013-2019 de acuerdo a datos provenientes del Poder Judicial de Chile.</v>
      </c>
      <c r="Q527" s="14" t="str">
        <f t="shared" si="102"/>
        <v>Gráfico de Evolución</v>
      </c>
      <c r="R527" s="27" t="s">
        <v>6348</v>
      </c>
      <c r="S527" s="15" t="s">
        <v>6922</v>
      </c>
      <c r="T527" s="65" t="s">
        <v>5912</v>
      </c>
      <c r="U527" s="24" t="s">
        <v>397</v>
      </c>
      <c r="V527" s="19" t="str">
        <f>+Ingresos_Historicos[[#This Row],[idcoleccion]]&amp;"-"&amp;Ingresos_Historicos[[#This Row],[id]]</f>
        <v>300-0517</v>
      </c>
      <c r="W527" s="19" t="e">
        <f>+VLOOKUP(Ingresos_Historicos[[#This Row],[Filtro URL]],Estructura!$X$4:$Y$366,2,0)</f>
        <v>#N/A</v>
      </c>
      <c r="X527" s="19" t="str">
        <f>+VLOOKUP(Ingresos_Historicos[[#This Row],[tema]],Estructura!$A$4:$C$18,3,0)</f>
        <v>T-310</v>
      </c>
      <c r="Y527" s="19" t="str">
        <f>+VLOOKUP(Ingresos_Historicos[[#This Row],[contenido]],Estructura!$E$4:$G$18,3,0)</f>
        <v>C-303</v>
      </c>
      <c r="Z527" s="19" t="str">
        <f>+VLOOKUP(Ingresos_Historicos[[#This Row],[Filtro Integrado]],Estructura!$M$4:$O$367,3,0)</f>
        <v>FI-303</v>
      </c>
      <c r="AA527" s="19" t="str">
        <f>+VLOOKUP(Ingresos_Historicos[[#This Row],[Muestra]],Estructura!$Q$4:$S$194,3,0)</f>
        <v>M-310</v>
      </c>
    </row>
    <row r="528" spans="1:27" ht="51" x14ac:dyDescent="0.3">
      <c r="A528" s="71" t="s">
        <v>914</v>
      </c>
      <c r="B528" s="12">
        <f t="shared" si="106"/>
        <v>300</v>
      </c>
      <c r="C528" s="13" t="str">
        <f t="shared" si="106"/>
        <v>Violencia contra la mujer</v>
      </c>
      <c r="D528" s="13" t="str">
        <f t="shared" si="106"/>
        <v>Mujeres</v>
      </c>
      <c r="E528" s="39">
        <v>24</v>
      </c>
      <c r="F528" s="13" t="s">
        <v>7581</v>
      </c>
      <c r="G528" s="13" t="s">
        <v>7576</v>
      </c>
      <c r="H528" s="38" t="s">
        <v>17</v>
      </c>
      <c r="I528" s="37" t="s">
        <v>103</v>
      </c>
      <c r="J528" s="12" t="s">
        <v>398</v>
      </c>
      <c r="K528" s="12" t="str">
        <f t="shared" si="107"/>
        <v>Sentencias Dictadas por Delitos Vinculados a la Mujer</v>
      </c>
      <c r="L528" s="75" t="str">
        <f t="shared" si="107"/>
        <v>Periodo 2013-2019</v>
      </c>
      <c r="M528" s="12" t="str">
        <f t="shared" si="107"/>
        <v>Número de sentencias</v>
      </c>
      <c r="N528" s="33" t="s">
        <v>5964</v>
      </c>
      <c r="O528" s="72" t="str">
        <f>"Sentencias Dictadas por Delitos Vinculados a la Mujer por Delito en el Juzgado de Garantía de "&amp;Ingresos_Historicos[[#This Row],[territorio]]&amp;" para el Periodo 2013-2019"</f>
        <v>Sentencias Dictadas por Delitos Vinculados a la Mujer por Delito en el Juzgado de Garantía de Rancagua para el Periodo 2013-2019</v>
      </c>
      <c r="P52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Rancagua para el Periodo 2013-2019 de acuerdo a datos provenientes del Poder Judicial de Chile.</v>
      </c>
      <c r="Q528" s="14" t="str">
        <f t="shared" si="102"/>
        <v>Gráfico de Evolución</v>
      </c>
      <c r="R528" s="27" t="s">
        <v>6348</v>
      </c>
      <c r="S528" s="15" t="s">
        <v>6923</v>
      </c>
      <c r="T528" s="65" t="s">
        <v>5912</v>
      </c>
      <c r="U528" s="24" t="s">
        <v>397</v>
      </c>
      <c r="V528" s="19" t="str">
        <f>+Ingresos_Historicos[[#This Row],[idcoleccion]]&amp;"-"&amp;Ingresos_Historicos[[#This Row],[id]]</f>
        <v>300-0518</v>
      </c>
      <c r="W528" s="19" t="e">
        <f>+VLOOKUP(Ingresos_Historicos[[#This Row],[Filtro URL]],Estructura!$X$4:$Y$366,2,0)</f>
        <v>#N/A</v>
      </c>
      <c r="X528" s="19" t="str">
        <f>+VLOOKUP(Ingresos_Historicos[[#This Row],[tema]],Estructura!$A$4:$C$18,3,0)</f>
        <v>T-310</v>
      </c>
      <c r="Y528" s="19" t="str">
        <f>+VLOOKUP(Ingresos_Historicos[[#This Row],[contenido]],Estructura!$E$4:$G$18,3,0)</f>
        <v>C-303</v>
      </c>
      <c r="Z528" s="19" t="str">
        <f>+VLOOKUP(Ingresos_Historicos[[#This Row],[Filtro Integrado]],Estructura!$M$4:$O$367,3,0)</f>
        <v>FI-303</v>
      </c>
      <c r="AA528" s="19" t="str">
        <f>+VLOOKUP(Ingresos_Historicos[[#This Row],[Muestra]],Estructura!$Q$4:$S$194,3,0)</f>
        <v>M-310</v>
      </c>
    </row>
    <row r="529" spans="1:27" ht="51" x14ac:dyDescent="0.3">
      <c r="A529" s="71" t="s">
        <v>915</v>
      </c>
      <c r="B529" s="12">
        <f t="shared" si="106"/>
        <v>300</v>
      </c>
      <c r="C529" s="13" t="str">
        <f t="shared" si="106"/>
        <v>Violencia contra la mujer</v>
      </c>
      <c r="D529" s="13" t="str">
        <f t="shared" si="106"/>
        <v>Mujeres</v>
      </c>
      <c r="E529" s="39">
        <v>25</v>
      </c>
      <c r="F529" s="13" t="s">
        <v>7581</v>
      </c>
      <c r="G529" s="13" t="s">
        <v>7576</v>
      </c>
      <c r="H529" s="38" t="s">
        <v>17</v>
      </c>
      <c r="I529" s="37" t="s">
        <v>117</v>
      </c>
      <c r="J529" s="12" t="s">
        <v>398</v>
      </c>
      <c r="K529" s="12" t="str">
        <f t="shared" si="107"/>
        <v>Sentencias Dictadas por Delitos Vinculados a la Mujer</v>
      </c>
      <c r="L529" s="75" t="str">
        <f t="shared" si="107"/>
        <v>Periodo 2013-2019</v>
      </c>
      <c r="M529" s="12" t="str">
        <f t="shared" si="107"/>
        <v>Número de sentencias</v>
      </c>
      <c r="N529" s="33" t="s">
        <v>5964</v>
      </c>
      <c r="O529" s="72" t="str">
        <f>"Sentencias Dictadas por Delitos Vinculados a la Mujer por Delito en el Juzgado de Garantía de "&amp;Ingresos_Historicos[[#This Row],[territorio]]&amp;" para el Periodo 2013-2019"</f>
        <v>Sentencias Dictadas por Delitos Vinculados a la Mujer por Delito en el Juzgado de Garantía de Rengo para el Periodo 2013-2019</v>
      </c>
      <c r="P52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Rengo para el Periodo 2013-2019 de acuerdo a datos provenientes del Poder Judicial de Chile.</v>
      </c>
      <c r="Q529" s="14" t="str">
        <f t="shared" si="102"/>
        <v>Gráfico de Evolución</v>
      </c>
      <c r="R529" s="27" t="s">
        <v>6348</v>
      </c>
      <c r="S529" s="15" t="s">
        <v>6924</v>
      </c>
      <c r="T529" s="65" t="s">
        <v>5912</v>
      </c>
      <c r="U529" s="24" t="s">
        <v>397</v>
      </c>
      <c r="V529" s="19" t="str">
        <f>+Ingresos_Historicos[[#This Row],[idcoleccion]]&amp;"-"&amp;Ingresos_Historicos[[#This Row],[id]]</f>
        <v>300-0519</v>
      </c>
      <c r="W529" s="19" t="e">
        <f>+VLOOKUP(Ingresos_Historicos[[#This Row],[Filtro URL]],Estructura!$X$4:$Y$366,2,0)</f>
        <v>#N/A</v>
      </c>
      <c r="X529" s="19" t="str">
        <f>+VLOOKUP(Ingresos_Historicos[[#This Row],[tema]],Estructura!$A$4:$C$18,3,0)</f>
        <v>T-310</v>
      </c>
      <c r="Y529" s="19" t="str">
        <f>+VLOOKUP(Ingresos_Historicos[[#This Row],[contenido]],Estructura!$E$4:$G$18,3,0)</f>
        <v>C-303</v>
      </c>
      <c r="Z529" s="19" t="str">
        <f>+VLOOKUP(Ingresos_Historicos[[#This Row],[Filtro Integrado]],Estructura!$M$4:$O$367,3,0)</f>
        <v>FI-303</v>
      </c>
      <c r="AA529" s="19" t="str">
        <f>+VLOOKUP(Ingresos_Historicos[[#This Row],[Muestra]],Estructura!$Q$4:$S$194,3,0)</f>
        <v>M-310</v>
      </c>
    </row>
    <row r="530" spans="1:27" ht="51" x14ac:dyDescent="0.3">
      <c r="A530" s="71" t="s">
        <v>916</v>
      </c>
      <c r="B530" s="12">
        <f t="shared" si="106"/>
        <v>300</v>
      </c>
      <c r="C530" s="13" t="str">
        <f t="shared" si="106"/>
        <v>Violencia contra la mujer</v>
      </c>
      <c r="D530" s="13" t="str">
        <f t="shared" si="106"/>
        <v>Mujeres</v>
      </c>
      <c r="E530" s="39">
        <v>26</v>
      </c>
      <c r="F530" s="13" t="s">
        <v>7581</v>
      </c>
      <c r="G530" s="13" t="s">
        <v>7576</v>
      </c>
      <c r="H530" s="38" t="s">
        <v>17</v>
      </c>
      <c r="I530" s="37" t="s">
        <v>126</v>
      </c>
      <c r="J530" s="12" t="s">
        <v>398</v>
      </c>
      <c r="K530" s="12" t="str">
        <f t="shared" si="107"/>
        <v>Sentencias Dictadas por Delitos Vinculados a la Mujer</v>
      </c>
      <c r="L530" s="75" t="str">
        <f t="shared" si="107"/>
        <v>Periodo 2013-2019</v>
      </c>
      <c r="M530" s="12" t="str">
        <f t="shared" si="107"/>
        <v>Número de sentencias</v>
      </c>
      <c r="N530" s="33" t="s">
        <v>5964</v>
      </c>
      <c r="O530" s="72" t="str">
        <f>"Sentencias Dictadas por Delitos Vinculados a la Mujer por Delito en el Juzgado de Garantía de "&amp;Ingresos_Historicos[[#This Row],[territorio]]&amp;" para el Periodo 2013-2019"</f>
        <v>Sentencias Dictadas por Delitos Vinculados a la Mujer por Delito en el Juzgado de Garantía de San Fernando para el Periodo 2013-2019</v>
      </c>
      <c r="P53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 Fernando para el Periodo 2013-2019 de acuerdo a datos provenientes del Poder Judicial de Chile.</v>
      </c>
      <c r="Q530" s="14" t="str">
        <f t="shared" si="102"/>
        <v>Gráfico de Evolución</v>
      </c>
      <c r="R530" s="27" t="s">
        <v>6348</v>
      </c>
      <c r="S530" s="15" t="s">
        <v>6925</v>
      </c>
      <c r="T530" s="65" t="s">
        <v>5912</v>
      </c>
      <c r="U530" s="24" t="s">
        <v>397</v>
      </c>
      <c r="V530" s="19" t="str">
        <f>+Ingresos_Historicos[[#This Row],[idcoleccion]]&amp;"-"&amp;Ingresos_Historicos[[#This Row],[id]]</f>
        <v>300-0520</v>
      </c>
      <c r="W530" s="19" t="e">
        <f>+VLOOKUP(Ingresos_Historicos[[#This Row],[Filtro URL]],Estructura!$X$4:$Y$366,2,0)</f>
        <v>#N/A</v>
      </c>
      <c r="X530" s="19" t="str">
        <f>+VLOOKUP(Ingresos_Historicos[[#This Row],[tema]],Estructura!$A$4:$C$18,3,0)</f>
        <v>T-310</v>
      </c>
      <c r="Y530" s="19" t="str">
        <f>+VLOOKUP(Ingresos_Historicos[[#This Row],[contenido]],Estructura!$E$4:$G$18,3,0)</f>
        <v>C-303</v>
      </c>
      <c r="Z530" s="19" t="str">
        <f>+VLOOKUP(Ingresos_Historicos[[#This Row],[Filtro Integrado]],Estructura!$M$4:$O$367,3,0)</f>
        <v>FI-303</v>
      </c>
      <c r="AA530" s="19" t="str">
        <f>+VLOOKUP(Ingresos_Historicos[[#This Row],[Muestra]],Estructura!$Q$4:$S$194,3,0)</f>
        <v>M-310</v>
      </c>
    </row>
    <row r="531" spans="1:27" ht="51" x14ac:dyDescent="0.3">
      <c r="A531" s="71" t="s">
        <v>917</v>
      </c>
      <c r="B531" s="12">
        <f t="shared" si="106"/>
        <v>300</v>
      </c>
      <c r="C531" s="13" t="str">
        <f t="shared" si="106"/>
        <v>Violencia contra la mujer</v>
      </c>
      <c r="D531" s="13" t="str">
        <f t="shared" si="106"/>
        <v>Mujeres</v>
      </c>
      <c r="E531" s="39">
        <v>27</v>
      </c>
      <c r="F531" s="13" t="s">
        <v>7581</v>
      </c>
      <c r="G531" s="13" t="s">
        <v>7576</v>
      </c>
      <c r="H531" s="38" t="s">
        <v>17</v>
      </c>
      <c r="I531" s="37" t="s">
        <v>119</v>
      </c>
      <c r="J531" s="12" t="s">
        <v>398</v>
      </c>
      <c r="K531" s="12" t="str">
        <f t="shared" si="107"/>
        <v>Sentencias Dictadas por Delitos Vinculados a la Mujer</v>
      </c>
      <c r="L531" s="75" t="str">
        <f t="shared" si="107"/>
        <v>Periodo 2013-2019</v>
      </c>
      <c r="M531" s="12" t="str">
        <f t="shared" si="107"/>
        <v>Número de sentencias</v>
      </c>
      <c r="N531" s="33" t="s">
        <v>5964</v>
      </c>
      <c r="O531" s="72" t="str">
        <f>"Sentencias Dictadas por Delitos Vinculados a la Mujer por Delito en el Juzgado de Garantía de "&amp;Ingresos_Historicos[[#This Row],[territorio]]&amp;" para el Periodo 2013-2019"</f>
        <v>Sentencias Dictadas por Delitos Vinculados a la Mujer por Delito en el Juzgado de Garantía de San Vicente para el Periodo 2013-2019</v>
      </c>
      <c r="P53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 Vicente para el Periodo 2013-2019 de acuerdo a datos provenientes del Poder Judicial de Chile.</v>
      </c>
      <c r="Q531" s="14" t="str">
        <f t="shared" si="102"/>
        <v>Gráfico de Evolución</v>
      </c>
      <c r="R531" s="27" t="s">
        <v>6348</v>
      </c>
      <c r="S531" s="15" t="s">
        <v>6926</v>
      </c>
      <c r="T531" s="65" t="s">
        <v>5912</v>
      </c>
      <c r="U531" s="24" t="s">
        <v>397</v>
      </c>
      <c r="V531" s="19" t="str">
        <f>+Ingresos_Historicos[[#This Row],[idcoleccion]]&amp;"-"&amp;Ingresos_Historicos[[#This Row],[id]]</f>
        <v>300-0521</v>
      </c>
      <c r="W531" s="19" t="e">
        <f>+VLOOKUP(Ingresos_Historicos[[#This Row],[Filtro URL]],Estructura!$X$4:$Y$366,2,0)</f>
        <v>#N/A</v>
      </c>
      <c r="X531" s="19" t="str">
        <f>+VLOOKUP(Ingresos_Historicos[[#This Row],[tema]],Estructura!$A$4:$C$18,3,0)</f>
        <v>T-310</v>
      </c>
      <c r="Y531" s="19" t="str">
        <f>+VLOOKUP(Ingresos_Historicos[[#This Row],[contenido]],Estructura!$E$4:$G$18,3,0)</f>
        <v>C-303</v>
      </c>
      <c r="Z531" s="19" t="str">
        <f>+VLOOKUP(Ingresos_Historicos[[#This Row],[Filtro Integrado]],Estructura!$M$4:$O$367,3,0)</f>
        <v>FI-303</v>
      </c>
      <c r="AA531" s="19" t="str">
        <f>+VLOOKUP(Ingresos_Historicos[[#This Row],[Muestra]],Estructura!$Q$4:$S$194,3,0)</f>
        <v>M-310</v>
      </c>
    </row>
    <row r="532" spans="1:27" ht="51" x14ac:dyDescent="0.3">
      <c r="A532" s="71" t="s">
        <v>918</v>
      </c>
      <c r="B532" s="12">
        <f t="shared" si="106"/>
        <v>300</v>
      </c>
      <c r="C532" s="13" t="str">
        <f t="shared" si="106"/>
        <v>Violencia contra la mujer</v>
      </c>
      <c r="D532" s="13" t="str">
        <f t="shared" si="106"/>
        <v>Mujeres</v>
      </c>
      <c r="E532" s="39">
        <v>28</v>
      </c>
      <c r="F532" s="13" t="s">
        <v>7581</v>
      </c>
      <c r="G532" s="13" t="s">
        <v>7576</v>
      </c>
      <c r="H532" s="38" t="s">
        <v>17</v>
      </c>
      <c r="I532" s="37" t="s">
        <v>135</v>
      </c>
      <c r="J532" s="12" t="s">
        <v>398</v>
      </c>
      <c r="K532" s="12" t="str">
        <f t="shared" si="107"/>
        <v>Sentencias Dictadas por Delitos Vinculados a la Mujer</v>
      </c>
      <c r="L532" s="75" t="str">
        <f t="shared" si="107"/>
        <v>Periodo 2013-2019</v>
      </c>
      <c r="M532" s="12" t="str">
        <f t="shared" si="107"/>
        <v>Número de sentencias</v>
      </c>
      <c r="N532" s="33" t="s">
        <v>5964</v>
      </c>
      <c r="O532" s="72" t="str">
        <f>"Sentencias Dictadas por Delitos Vinculados a la Mujer por Delito en el Juzgado de Garantía de "&amp;Ingresos_Historicos[[#This Row],[territorio]]&amp;" para el Periodo 2013-2019"</f>
        <v>Sentencias Dictadas por Delitos Vinculados a la Mujer por Delito en el Juzgado de Garantía de Santa Cruz para el Periodo 2013-2019</v>
      </c>
      <c r="P53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Santa Cruz para el Periodo 2013-2019 de acuerdo a datos provenientes del Poder Judicial de Chile.</v>
      </c>
      <c r="Q532" s="14" t="str">
        <f t="shared" si="102"/>
        <v>Gráfico de Evolución</v>
      </c>
      <c r="R532" s="27" t="s">
        <v>6348</v>
      </c>
      <c r="S532" s="15" t="s">
        <v>6927</v>
      </c>
      <c r="T532" s="65" t="s">
        <v>5912</v>
      </c>
      <c r="U532" s="24" t="s">
        <v>397</v>
      </c>
      <c r="V532" s="19" t="str">
        <f>+Ingresos_Historicos[[#This Row],[idcoleccion]]&amp;"-"&amp;Ingresos_Historicos[[#This Row],[id]]</f>
        <v>300-0522</v>
      </c>
      <c r="W532" s="19" t="e">
        <f>+VLOOKUP(Ingresos_Historicos[[#This Row],[Filtro URL]],Estructura!$X$4:$Y$366,2,0)</f>
        <v>#N/A</v>
      </c>
      <c r="X532" s="19" t="str">
        <f>+VLOOKUP(Ingresos_Historicos[[#This Row],[tema]],Estructura!$A$4:$C$18,3,0)</f>
        <v>T-310</v>
      </c>
      <c r="Y532" s="19" t="str">
        <f>+VLOOKUP(Ingresos_Historicos[[#This Row],[contenido]],Estructura!$E$4:$G$18,3,0)</f>
        <v>C-303</v>
      </c>
      <c r="Z532" s="19" t="str">
        <f>+VLOOKUP(Ingresos_Historicos[[#This Row],[Filtro Integrado]],Estructura!$M$4:$O$367,3,0)</f>
        <v>FI-303</v>
      </c>
      <c r="AA532" s="19" t="str">
        <f>+VLOOKUP(Ingresos_Historicos[[#This Row],[Muestra]],Estructura!$Q$4:$S$194,3,0)</f>
        <v>M-310</v>
      </c>
    </row>
    <row r="533" spans="1:27" ht="51" x14ac:dyDescent="0.3">
      <c r="A533" s="71" t="s">
        <v>919</v>
      </c>
      <c r="B533" s="12">
        <f t="shared" si="106"/>
        <v>300</v>
      </c>
      <c r="C533" s="13" t="str">
        <f t="shared" si="106"/>
        <v>Violencia contra la mujer</v>
      </c>
      <c r="D533" s="13" t="str">
        <f t="shared" si="106"/>
        <v>Mujeres</v>
      </c>
      <c r="E533" s="39">
        <v>29</v>
      </c>
      <c r="F533" s="13" t="s">
        <v>7581</v>
      </c>
      <c r="G533" s="13" t="s">
        <v>7576</v>
      </c>
      <c r="H533" s="38" t="s">
        <v>17</v>
      </c>
      <c r="I533" s="37" t="s">
        <v>145</v>
      </c>
      <c r="J533" s="12" t="s">
        <v>398</v>
      </c>
      <c r="K533" s="12" t="str">
        <f t="shared" si="107"/>
        <v>Sentencias Dictadas por Delitos Vinculados a la Mujer</v>
      </c>
      <c r="L533" s="75" t="str">
        <f t="shared" si="107"/>
        <v>Periodo 2013-2019</v>
      </c>
      <c r="M533" s="12" t="str">
        <f t="shared" si="107"/>
        <v>Número de sentencias</v>
      </c>
      <c r="N533" s="33" t="s">
        <v>5964</v>
      </c>
      <c r="O533" s="72" t="str">
        <f>"Sentencias Dictadas por Delitos Vinculados a la Mujer por Delito en el Juzgado de Garantía de "&amp;Ingresos_Historicos[[#This Row],[territorio]]&amp;" para el Periodo 2013-2019"</f>
        <v>Sentencias Dictadas por Delitos Vinculados a la Mujer por Delito en el Juzgado de Garantía de Cauquenes para el Periodo 2013-2019</v>
      </c>
      <c r="P53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Cauquenes para el Periodo 2013-2019 de acuerdo a datos provenientes del Poder Judicial de Chile.</v>
      </c>
      <c r="Q533" s="14" t="str">
        <f t="shared" si="102"/>
        <v>Gráfico de Evolución</v>
      </c>
      <c r="R533" s="27" t="s">
        <v>6348</v>
      </c>
      <c r="S533" s="15" t="s">
        <v>6928</v>
      </c>
      <c r="T533" s="65" t="s">
        <v>5913</v>
      </c>
      <c r="U533" s="24" t="s">
        <v>397</v>
      </c>
      <c r="V533" s="19" t="str">
        <f>+Ingresos_Historicos[[#This Row],[idcoleccion]]&amp;"-"&amp;Ingresos_Historicos[[#This Row],[id]]</f>
        <v>300-0523</v>
      </c>
      <c r="W533" s="19" t="e">
        <f>+VLOOKUP(Ingresos_Historicos[[#This Row],[Filtro URL]],Estructura!$X$4:$Y$366,2,0)</f>
        <v>#N/A</v>
      </c>
      <c r="X533" s="19" t="str">
        <f>+VLOOKUP(Ingresos_Historicos[[#This Row],[tema]],Estructura!$A$4:$C$18,3,0)</f>
        <v>T-310</v>
      </c>
      <c r="Y533" s="19" t="str">
        <f>+VLOOKUP(Ingresos_Historicos[[#This Row],[contenido]],Estructura!$E$4:$G$18,3,0)</f>
        <v>C-303</v>
      </c>
      <c r="Z533" s="19" t="str">
        <f>+VLOOKUP(Ingresos_Historicos[[#This Row],[Filtro Integrado]],Estructura!$M$4:$O$367,3,0)</f>
        <v>FI-303</v>
      </c>
      <c r="AA533" s="19" t="str">
        <f>+VLOOKUP(Ingresos_Historicos[[#This Row],[Muestra]],Estructura!$Q$4:$S$194,3,0)</f>
        <v>M-310</v>
      </c>
    </row>
    <row r="534" spans="1:27" ht="51" x14ac:dyDescent="0.3">
      <c r="A534" s="71" t="s">
        <v>920</v>
      </c>
      <c r="B534" s="12">
        <f t="shared" ref="B534:D549" si="108">+B533</f>
        <v>300</v>
      </c>
      <c r="C534" s="13" t="str">
        <f t="shared" si="108"/>
        <v>Violencia contra la mujer</v>
      </c>
      <c r="D534" s="13" t="str">
        <f t="shared" si="108"/>
        <v>Mujeres</v>
      </c>
      <c r="E534" s="39">
        <v>30</v>
      </c>
      <c r="F534" s="13" t="s">
        <v>7581</v>
      </c>
      <c r="G534" s="13" t="s">
        <v>7576</v>
      </c>
      <c r="H534" s="38" t="s">
        <v>17</v>
      </c>
      <c r="I534" s="37" t="s">
        <v>6039</v>
      </c>
      <c r="J534" s="12" t="s">
        <v>398</v>
      </c>
      <c r="K534" s="12" t="str">
        <f t="shared" si="107"/>
        <v>Sentencias Dictadas por Delitos Vinculados a la Mujer</v>
      </c>
      <c r="L534" s="75" t="str">
        <f t="shared" si="107"/>
        <v>Periodo 2013-2019</v>
      </c>
      <c r="M534" s="12" t="str">
        <f t="shared" si="107"/>
        <v>Número de sentencias</v>
      </c>
      <c r="N534" s="33" t="s">
        <v>5964</v>
      </c>
      <c r="O534" s="72" t="str">
        <f>"Sentencias Dictadas por Delitos Vinculados a la Mujer por Delito en el Juzgado de Garantía de "&amp;Ingresos_Historicos[[#This Row],[territorio]]&amp;" para el Periodo 2013-2019"</f>
        <v>Sentencias Dictadas por Delitos Vinculados a la Mujer por Delito en el Juzgado de Garantía de Constitucion para el Periodo 2013-2019</v>
      </c>
      <c r="P53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Constitucion para el Periodo 2013-2019 de acuerdo a datos provenientes del Poder Judicial de Chile.</v>
      </c>
      <c r="Q534" s="14" t="str">
        <f t="shared" si="102"/>
        <v>Gráfico de Evolución</v>
      </c>
      <c r="R534" s="27" t="s">
        <v>6348</v>
      </c>
      <c r="S534" s="15" t="s">
        <v>6929</v>
      </c>
      <c r="T534" s="65" t="s">
        <v>5913</v>
      </c>
      <c r="U534" s="24" t="s">
        <v>397</v>
      </c>
      <c r="V534" s="19" t="str">
        <f>+Ingresos_Historicos[[#This Row],[idcoleccion]]&amp;"-"&amp;Ingresos_Historicos[[#This Row],[id]]</f>
        <v>300-0524</v>
      </c>
      <c r="W534" s="19" t="e">
        <f>+VLOOKUP(Ingresos_Historicos[[#This Row],[Filtro URL]],Estructura!$X$4:$Y$366,2,0)</f>
        <v>#N/A</v>
      </c>
      <c r="X534" s="19" t="str">
        <f>+VLOOKUP(Ingresos_Historicos[[#This Row],[tema]],Estructura!$A$4:$C$18,3,0)</f>
        <v>T-310</v>
      </c>
      <c r="Y534" s="19" t="str">
        <f>+VLOOKUP(Ingresos_Historicos[[#This Row],[contenido]],Estructura!$E$4:$G$18,3,0)</f>
        <v>C-303</v>
      </c>
      <c r="Z534" s="19" t="str">
        <f>+VLOOKUP(Ingresos_Historicos[[#This Row],[Filtro Integrado]],Estructura!$M$4:$O$367,3,0)</f>
        <v>FI-303</v>
      </c>
      <c r="AA534" s="19" t="str">
        <f>+VLOOKUP(Ingresos_Historicos[[#This Row],[Muestra]],Estructura!$Q$4:$S$194,3,0)</f>
        <v>M-310</v>
      </c>
    </row>
    <row r="535" spans="1:27" ht="51" x14ac:dyDescent="0.3">
      <c r="A535" s="71" t="s">
        <v>921</v>
      </c>
      <c r="B535" s="12">
        <f t="shared" si="108"/>
        <v>300</v>
      </c>
      <c r="C535" s="13" t="str">
        <f t="shared" si="108"/>
        <v>Violencia contra la mujer</v>
      </c>
      <c r="D535" s="13" t="str">
        <f t="shared" si="108"/>
        <v>Mujeres</v>
      </c>
      <c r="E535" s="39">
        <v>31</v>
      </c>
      <c r="F535" s="13" t="s">
        <v>7581</v>
      </c>
      <c r="G535" s="13" t="s">
        <v>7576</v>
      </c>
      <c r="H535" s="38" t="s">
        <v>17</v>
      </c>
      <c r="I535" s="37" t="s">
        <v>6041</v>
      </c>
      <c r="J535" s="12" t="s">
        <v>398</v>
      </c>
      <c r="K535" s="12" t="str">
        <f t="shared" si="107"/>
        <v>Sentencias Dictadas por Delitos Vinculados a la Mujer</v>
      </c>
      <c r="L535" s="75" t="str">
        <f t="shared" si="107"/>
        <v>Periodo 2013-2019</v>
      </c>
      <c r="M535" s="12" t="str">
        <f t="shared" si="107"/>
        <v>Número de sentencias</v>
      </c>
      <c r="N535" s="33" t="s">
        <v>5964</v>
      </c>
      <c r="O535" s="72" t="str">
        <f>"Sentencias Dictadas por Delitos Vinculados a la Mujer por Delito en el Juzgado de Garantía de "&amp;Ingresos_Historicos[[#This Row],[territorio]]&amp;" para el Periodo 2013-2019"</f>
        <v>Sentencias Dictadas por Delitos Vinculados a la Mujer por Delito en el Juzgado de Garantía de Curico para el Periodo 2013-2019</v>
      </c>
      <c r="P53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Curico para el Periodo 2013-2019 de acuerdo a datos provenientes del Poder Judicial de Chile.</v>
      </c>
      <c r="Q535" s="14" t="str">
        <f t="shared" si="102"/>
        <v>Gráfico de Evolución</v>
      </c>
      <c r="R535" s="27" t="s">
        <v>6348</v>
      </c>
      <c r="S535" s="15" t="s">
        <v>6930</v>
      </c>
      <c r="T535" s="65" t="s">
        <v>5913</v>
      </c>
      <c r="U535" s="24" t="s">
        <v>397</v>
      </c>
      <c r="V535" s="19" t="str">
        <f>+Ingresos_Historicos[[#This Row],[idcoleccion]]&amp;"-"&amp;Ingresos_Historicos[[#This Row],[id]]</f>
        <v>300-0525</v>
      </c>
      <c r="W535" s="19" t="e">
        <f>+VLOOKUP(Ingresos_Historicos[[#This Row],[Filtro URL]],Estructura!$X$4:$Y$366,2,0)</f>
        <v>#N/A</v>
      </c>
      <c r="X535" s="19" t="str">
        <f>+VLOOKUP(Ingresos_Historicos[[#This Row],[tema]],Estructura!$A$4:$C$18,3,0)</f>
        <v>T-310</v>
      </c>
      <c r="Y535" s="19" t="str">
        <f>+VLOOKUP(Ingresos_Historicos[[#This Row],[contenido]],Estructura!$E$4:$G$18,3,0)</f>
        <v>C-303</v>
      </c>
      <c r="Z535" s="19" t="str">
        <f>+VLOOKUP(Ingresos_Historicos[[#This Row],[Filtro Integrado]],Estructura!$M$4:$O$367,3,0)</f>
        <v>FI-303</v>
      </c>
      <c r="AA535" s="19" t="str">
        <f>+VLOOKUP(Ingresos_Historicos[[#This Row],[Muestra]],Estructura!$Q$4:$S$194,3,0)</f>
        <v>M-310</v>
      </c>
    </row>
    <row r="536" spans="1:27" ht="51" x14ac:dyDescent="0.3">
      <c r="A536" s="71" t="s">
        <v>922</v>
      </c>
      <c r="B536" s="12">
        <f t="shared" si="108"/>
        <v>300</v>
      </c>
      <c r="C536" s="13" t="str">
        <f t="shared" si="108"/>
        <v>Violencia contra la mujer</v>
      </c>
      <c r="D536" s="13" t="str">
        <f t="shared" si="108"/>
        <v>Mujeres</v>
      </c>
      <c r="E536" s="39">
        <v>32</v>
      </c>
      <c r="F536" s="13" t="s">
        <v>7581</v>
      </c>
      <c r="G536" s="13" t="s">
        <v>7576</v>
      </c>
      <c r="H536" s="38" t="s">
        <v>17</v>
      </c>
      <c r="I536" s="37" t="s">
        <v>157</v>
      </c>
      <c r="J536" s="12" t="s">
        <v>398</v>
      </c>
      <c r="K536" s="12" t="str">
        <f t="shared" ref="K536:M551" si="109">+K535</f>
        <v>Sentencias Dictadas por Delitos Vinculados a la Mujer</v>
      </c>
      <c r="L536" s="75" t="str">
        <f t="shared" si="109"/>
        <v>Periodo 2013-2019</v>
      </c>
      <c r="M536" s="12" t="str">
        <f t="shared" si="109"/>
        <v>Número de sentencias</v>
      </c>
      <c r="N536" s="33" t="s">
        <v>5964</v>
      </c>
      <c r="O536" s="72" t="str">
        <f>"Sentencias Dictadas por Delitos Vinculados a la Mujer por Delito en el Juzgado de Garantía de "&amp;Ingresos_Historicos[[#This Row],[territorio]]&amp;" para el Periodo 2013-2019"</f>
        <v>Sentencias Dictadas por Delitos Vinculados a la Mujer por Delito en el Juzgado de Garantía de Linares para el Periodo 2013-2019</v>
      </c>
      <c r="P53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Linares para el Periodo 2013-2019 de acuerdo a datos provenientes del Poder Judicial de Chile.</v>
      </c>
      <c r="Q536" s="14" t="str">
        <f t="shared" si="102"/>
        <v>Gráfico de Evolución</v>
      </c>
      <c r="R536" s="27" t="s">
        <v>6348</v>
      </c>
      <c r="S536" s="15" t="s">
        <v>6931</v>
      </c>
      <c r="T536" s="65" t="s">
        <v>5913</v>
      </c>
      <c r="U536" s="24" t="s">
        <v>397</v>
      </c>
      <c r="V536" s="19" t="str">
        <f>+Ingresos_Historicos[[#This Row],[idcoleccion]]&amp;"-"&amp;Ingresos_Historicos[[#This Row],[id]]</f>
        <v>300-0526</v>
      </c>
      <c r="W536" s="19" t="e">
        <f>+VLOOKUP(Ingresos_Historicos[[#This Row],[Filtro URL]],Estructura!$X$4:$Y$366,2,0)</f>
        <v>#N/A</v>
      </c>
      <c r="X536" s="19" t="str">
        <f>+VLOOKUP(Ingresos_Historicos[[#This Row],[tema]],Estructura!$A$4:$C$18,3,0)</f>
        <v>T-310</v>
      </c>
      <c r="Y536" s="19" t="str">
        <f>+VLOOKUP(Ingresos_Historicos[[#This Row],[contenido]],Estructura!$E$4:$G$18,3,0)</f>
        <v>C-303</v>
      </c>
      <c r="Z536" s="19" t="str">
        <f>+VLOOKUP(Ingresos_Historicos[[#This Row],[Filtro Integrado]],Estructura!$M$4:$O$367,3,0)</f>
        <v>FI-303</v>
      </c>
      <c r="AA536" s="19" t="str">
        <f>+VLOOKUP(Ingresos_Historicos[[#This Row],[Muestra]],Estructura!$Q$4:$S$194,3,0)</f>
        <v>M-310</v>
      </c>
    </row>
    <row r="537" spans="1:27" ht="51" x14ac:dyDescent="0.3">
      <c r="A537" s="71" t="s">
        <v>923</v>
      </c>
      <c r="B537" s="12">
        <f t="shared" si="108"/>
        <v>300</v>
      </c>
      <c r="C537" s="13" t="str">
        <f t="shared" si="108"/>
        <v>Violencia contra la mujer</v>
      </c>
      <c r="D537" s="13" t="str">
        <f t="shared" si="108"/>
        <v>Mujeres</v>
      </c>
      <c r="E537" s="39">
        <v>33</v>
      </c>
      <c r="F537" s="13" t="s">
        <v>7581</v>
      </c>
      <c r="G537" s="13" t="s">
        <v>7576</v>
      </c>
      <c r="H537" s="38" t="s">
        <v>17</v>
      </c>
      <c r="I537" s="37" t="s">
        <v>151</v>
      </c>
      <c r="J537" s="12" t="s">
        <v>398</v>
      </c>
      <c r="K537" s="12" t="str">
        <f t="shared" si="109"/>
        <v>Sentencias Dictadas por Delitos Vinculados a la Mujer</v>
      </c>
      <c r="L537" s="75" t="str">
        <f t="shared" si="109"/>
        <v>Periodo 2013-2019</v>
      </c>
      <c r="M537" s="12" t="str">
        <f t="shared" si="109"/>
        <v>Número de sentencias</v>
      </c>
      <c r="N537" s="33" t="s">
        <v>5964</v>
      </c>
      <c r="O537" s="72" t="str">
        <f>"Sentencias Dictadas por Delitos Vinculados a la Mujer por Delito en el Juzgado de Garantía de "&amp;Ingresos_Historicos[[#This Row],[territorio]]&amp;" para el Periodo 2013-2019"</f>
        <v>Sentencias Dictadas por Delitos Vinculados a la Mujer por Delito en el Juzgado de Garantía de Molina para el Periodo 2013-2019</v>
      </c>
      <c r="P53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Molina para el Periodo 2013-2019 de acuerdo a datos provenientes del Poder Judicial de Chile.</v>
      </c>
      <c r="Q537" s="14" t="str">
        <f t="shared" si="102"/>
        <v>Gráfico de Evolución</v>
      </c>
      <c r="R537" s="27" t="s">
        <v>6348</v>
      </c>
      <c r="S537" s="15" t="s">
        <v>6932</v>
      </c>
      <c r="T537" s="65" t="s">
        <v>5913</v>
      </c>
      <c r="U537" s="24" t="s">
        <v>397</v>
      </c>
      <c r="V537" s="19" t="str">
        <f>+Ingresos_Historicos[[#This Row],[idcoleccion]]&amp;"-"&amp;Ingresos_Historicos[[#This Row],[id]]</f>
        <v>300-0527</v>
      </c>
      <c r="W537" s="19" t="e">
        <f>+VLOOKUP(Ingresos_Historicos[[#This Row],[Filtro URL]],Estructura!$X$4:$Y$366,2,0)</f>
        <v>#N/A</v>
      </c>
      <c r="X537" s="19" t="str">
        <f>+VLOOKUP(Ingresos_Historicos[[#This Row],[tema]],Estructura!$A$4:$C$18,3,0)</f>
        <v>T-310</v>
      </c>
      <c r="Y537" s="19" t="str">
        <f>+VLOOKUP(Ingresos_Historicos[[#This Row],[contenido]],Estructura!$E$4:$G$18,3,0)</f>
        <v>C-303</v>
      </c>
      <c r="Z537" s="19" t="str">
        <f>+VLOOKUP(Ingresos_Historicos[[#This Row],[Filtro Integrado]],Estructura!$M$4:$O$367,3,0)</f>
        <v>FI-303</v>
      </c>
      <c r="AA537" s="19" t="str">
        <f>+VLOOKUP(Ingresos_Historicos[[#This Row],[Muestra]],Estructura!$Q$4:$S$194,3,0)</f>
        <v>M-310</v>
      </c>
    </row>
    <row r="538" spans="1:27" ht="51" x14ac:dyDescent="0.3">
      <c r="A538" s="71" t="s">
        <v>924</v>
      </c>
      <c r="B538" s="12">
        <f t="shared" si="108"/>
        <v>300</v>
      </c>
      <c r="C538" s="13" t="str">
        <f t="shared" si="108"/>
        <v>Violencia contra la mujer</v>
      </c>
      <c r="D538" s="13" t="str">
        <f t="shared" si="108"/>
        <v>Mujeres</v>
      </c>
      <c r="E538" s="39">
        <v>34</v>
      </c>
      <c r="F538" s="13" t="s">
        <v>7581</v>
      </c>
      <c r="G538" s="13" t="s">
        <v>7576</v>
      </c>
      <c r="H538" s="38" t="s">
        <v>17</v>
      </c>
      <c r="I538" s="37" t="s">
        <v>160</v>
      </c>
      <c r="J538" s="12" t="s">
        <v>398</v>
      </c>
      <c r="K538" s="12" t="str">
        <f t="shared" si="109"/>
        <v>Sentencias Dictadas por Delitos Vinculados a la Mujer</v>
      </c>
      <c r="L538" s="75" t="str">
        <f t="shared" si="109"/>
        <v>Periodo 2013-2019</v>
      </c>
      <c r="M538" s="12" t="str">
        <f t="shared" si="109"/>
        <v>Número de sentencias</v>
      </c>
      <c r="N538" s="33" t="s">
        <v>5964</v>
      </c>
      <c r="O538" s="72" t="str">
        <f>"Sentencias Dictadas por Delitos Vinculados a la Mujer por Delito en el Juzgado de Garantía de "&amp;Ingresos_Historicos[[#This Row],[territorio]]&amp;" para el Periodo 2013-2019"</f>
        <v>Sentencias Dictadas por Delitos Vinculados a la Mujer por Delito en el Juzgado de Garantía de Parral para el Periodo 2013-2019</v>
      </c>
      <c r="P53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Parral para el Periodo 2013-2019 de acuerdo a datos provenientes del Poder Judicial de Chile.</v>
      </c>
      <c r="Q538" s="14" t="str">
        <f t="shared" si="102"/>
        <v>Gráfico de Evolución</v>
      </c>
      <c r="R538" s="27" t="s">
        <v>6348</v>
      </c>
      <c r="S538" s="15" t="s">
        <v>6933</v>
      </c>
      <c r="T538" s="65" t="s">
        <v>5913</v>
      </c>
      <c r="U538" s="24" t="s">
        <v>397</v>
      </c>
      <c r="V538" s="19" t="str">
        <f>+Ingresos_Historicos[[#This Row],[idcoleccion]]&amp;"-"&amp;Ingresos_Historicos[[#This Row],[id]]</f>
        <v>300-0528</v>
      </c>
      <c r="W538" s="19" t="e">
        <f>+VLOOKUP(Ingresos_Historicos[[#This Row],[Filtro URL]],Estructura!$X$4:$Y$366,2,0)</f>
        <v>#N/A</v>
      </c>
      <c r="X538" s="19" t="str">
        <f>+VLOOKUP(Ingresos_Historicos[[#This Row],[tema]],Estructura!$A$4:$C$18,3,0)</f>
        <v>T-310</v>
      </c>
      <c r="Y538" s="19" t="str">
        <f>+VLOOKUP(Ingresos_Historicos[[#This Row],[contenido]],Estructura!$E$4:$G$18,3,0)</f>
        <v>C-303</v>
      </c>
      <c r="Z538" s="19" t="str">
        <f>+VLOOKUP(Ingresos_Historicos[[#This Row],[Filtro Integrado]],Estructura!$M$4:$O$367,3,0)</f>
        <v>FI-303</v>
      </c>
      <c r="AA538" s="19" t="str">
        <f>+VLOOKUP(Ingresos_Historicos[[#This Row],[Muestra]],Estructura!$Q$4:$S$194,3,0)</f>
        <v>M-310</v>
      </c>
    </row>
    <row r="539" spans="1:27" ht="51" x14ac:dyDescent="0.3">
      <c r="A539" s="71" t="s">
        <v>925</v>
      </c>
      <c r="B539" s="12">
        <f t="shared" si="108"/>
        <v>300</v>
      </c>
      <c r="C539" s="13" t="str">
        <f t="shared" si="108"/>
        <v>Violencia contra la mujer</v>
      </c>
      <c r="D539" s="13" t="str">
        <f t="shared" si="108"/>
        <v>Mujeres</v>
      </c>
      <c r="E539" s="39">
        <v>35</v>
      </c>
      <c r="F539" s="13" t="s">
        <v>7581</v>
      </c>
      <c r="G539" s="13" t="s">
        <v>7576</v>
      </c>
      <c r="H539" s="38" t="s">
        <v>17</v>
      </c>
      <c r="I539" s="37" t="s">
        <v>162</v>
      </c>
      <c r="J539" s="12" t="s">
        <v>398</v>
      </c>
      <c r="K539" s="12" t="str">
        <f t="shared" si="109"/>
        <v>Sentencias Dictadas por Delitos Vinculados a la Mujer</v>
      </c>
      <c r="L539" s="75" t="str">
        <f t="shared" si="109"/>
        <v>Periodo 2013-2019</v>
      </c>
      <c r="M539" s="12" t="str">
        <f t="shared" si="109"/>
        <v>Número de sentencias</v>
      </c>
      <c r="N539" s="33" t="s">
        <v>5964</v>
      </c>
      <c r="O539" s="72" t="str">
        <f>"Sentencias Dictadas por Delitos Vinculados a la Mujer por Delito en el Juzgado de Garantía de "&amp;Ingresos_Historicos[[#This Row],[territorio]]&amp;" para el Periodo 2013-2019"</f>
        <v>Sentencias Dictadas por Delitos Vinculados a la Mujer por Delito en el Juzgado de Garantía de San Javier para el Periodo 2013-2019</v>
      </c>
      <c r="P53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 Javier para el Periodo 2013-2019 de acuerdo a datos provenientes del Poder Judicial de Chile.</v>
      </c>
      <c r="Q539" s="14" t="str">
        <f t="shared" si="102"/>
        <v>Gráfico de Evolución</v>
      </c>
      <c r="R539" s="27" t="s">
        <v>6348</v>
      </c>
      <c r="S539" s="15" t="s">
        <v>6934</v>
      </c>
      <c r="T539" s="65" t="s">
        <v>5913</v>
      </c>
      <c r="U539" s="24" t="s">
        <v>397</v>
      </c>
      <c r="V539" s="19" t="str">
        <f>+Ingresos_Historicos[[#This Row],[idcoleccion]]&amp;"-"&amp;Ingresos_Historicos[[#This Row],[id]]</f>
        <v>300-0529</v>
      </c>
      <c r="W539" s="19" t="e">
        <f>+VLOOKUP(Ingresos_Historicos[[#This Row],[Filtro URL]],Estructura!$X$4:$Y$366,2,0)</f>
        <v>#N/A</v>
      </c>
      <c r="X539" s="19" t="str">
        <f>+VLOOKUP(Ingresos_Historicos[[#This Row],[tema]],Estructura!$A$4:$C$18,3,0)</f>
        <v>T-310</v>
      </c>
      <c r="Y539" s="19" t="str">
        <f>+VLOOKUP(Ingresos_Historicos[[#This Row],[contenido]],Estructura!$E$4:$G$18,3,0)</f>
        <v>C-303</v>
      </c>
      <c r="Z539" s="19" t="str">
        <f>+VLOOKUP(Ingresos_Historicos[[#This Row],[Filtro Integrado]],Estructura!$M$4:$O$367,3,0)</f>
        <v>FI-303</v>
      </c>
      <c r="AA539" s="19" t="str">
        <f>+VLOOKUP(Ingresos_Historicos[[#This Row],[Muestra]],Estructura!$Q$4:$S$194,3,0)</f>
        <v>M-310</v>
      </c>
    </row>
    <row r="540" spans="1:27" ht="51" x14ac:dyDescent="0.3">
      <c r="A540" s="71" t="s">
        <v>926</v>
      </c>
      <c r="B540" s="12">
        <f t="shared" si="108"/>
        <v>300</v>
      </c>
      <c r="C540" s="13" t="str">
        <f t="shared" si="108"/>
        <v>Violencia contra la mujer</v>
      </c>
      <c r="D540" s="13" t="str">
        <f t="shared" si="108"/>
        <v>Mujeres</v>
      </c>
      <c r="E540" s="39">
        <v>36</v>
      </c>
      <c r="F540" s="13" t="s">
        <v>7581</v>
      </c>
      <c r="G540" s="13" t="s">
        <v>7576</v>
      </c>
      <c r="H540" s="38" t="s">
        <v>17</v>
      </c>
      <c r="I540" s="37" t="s">
        <v>136</v>
      </c>
      <c r="J540" s="12" t="s">
        <v>398</v>
      </c>
      <c r="K540" s="12" t="str">
        <f t="shared" si="109"/>
        <v>Sentencias Dictadas por Delitos Vinculados a la Mujer</v>
      </c>
      <c r="L540" s="75" t="str">
        <f t="shared" si="109"/>
        <v>Periodo 2013-2019</v>
      </c>
      <c r="M540" s="12" t="str">
        <f t="shared" si="109"/>
        <v>Número de sentencias</v>
      </c>
      <c r="N540" s="33" t="s">
        <v>5964</v>
      </c>
      <c r="O540" s="72" t="str">
        <f>"Sentencias Dictadas por Delitos Vinculados a la Mujer por Delito en el Juzgado de Garantía de "&amp;Ingresos_Historicos[[#This Row],[territorio]]&amp;" para el Periodo 2013-2019"</f>
        <v>Sentencias Dictadas por Delitos Vinculados a la Mujer por Delito en el Juzgado de Garantía de Talca para el Periodo 2013-2019</v>
      </c>
      <c r="P54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Talca para el Periodo 2013-2019 de acuerdo a datos provenientes del Poder Judicial de Chile.</v>
      </c>
      <c r="Q540" s="14" t="str">
        <f t="shared" si="102"/>
        <v>Gráfico de Evolución</v>
      </c>
      <c r="R540" s="27" t="s">
        <v>6348</v>
      </c>
      <c r="S540" s="15" t="s">
        <v>6935</v>
      </c>
      <c r="T540" s="65" t="s">
        <v>5913</v>
      </c>
      <c r="U540" s="24" t="s">
        <v>397</v>
      </c>
      <c r="V540" s="19" t="str">
        <f>+Ingresos_Historicos[[#This Row],[idcoleccion]]&amp;"-"&amp;Ingresos_Historicos[[#This Row],[id]]</f>
        <v>300-0530</v>
      </c>
      <c r="W540" s="19" t="e">
        <f>+VLOOKUP(Ingresos_Historicos[[#This Row],[Filtro URL]],Estructura!$X$4:$Y$366,2,0)</f>
        <v>#N/A</v>
      </c>
      <c r="X540" s="19" t="str">
        <f>+VLOOKUP(Ingresos_Historicos[[#This Row],[tema]],Estructura!$A$4:$C$18,3,0)</f>
        <v>T-310</v>
      </c>
      <c r="Y540" s="19" t="str">
        <f>+VLOOKUP(Ingresos_Historicos[[#This Row],[contenido]],Estructura!$E$4:$G$18,3,0)</f>
        <v>C-303</v>
      </c>
      <c r="Z540" s="19" t="str">
        <f>+VLOOKUP(Ingresos_Historicos[[#This Row],[Filtro Integrado]],Estructura!$M$4:$O$367,3,0)</f>
        <v>FI-303</v>
      </c>
      <c r="AA540" s="19" t="str">
        <f>+VLOOKUP(Ingresos_Historicos[[#This Row],[Muestra]],Estructura!$Q$4:$S$194,3,0)</f>
        <v>M-310</v>
      </c>
    </row>
    <row r="541" spans="1:27" ht="51" x14ac:dyDescent="0.3">
      <c r="A541" s="71" t="s">
        <v>927</v>
      </c>
      <c r="B541" s="12">
        <f t="shared" si="108"/>
        <v>300</v>
      </c>
      <c r="C541" s="13" t="str">
        <f t="shared" si="108"/>
        <v>Violencia contra la mujer</v>
      </c>
      <c r="D541" s="13" t="str">
        <f t="shared" si="108"/>
        <v>Mujeres</v>
      </c>
      <c r="E541" s="39">
        <v>37</v>
      </c>
      <c r="F541" s="13" t="s">
        <v>7581</v>
      </c>
      <c r="G541" s="13" t="s">
        <v>7576</v>
      </c>
      <c r="H541" s="38" t="s">
        <v>17</v>
      </c>
      <c r="I541" s="37" t="s">
        <v>178</v>
      </c>
      <c r="J541" s="12" t="s">
        <v>398</v>
      </c>
      <c r="K541" s="12" t="str">
        <f t="shared" si="109"/>
        <v>Sentencias Dictadas por Delitos Vinculados a la Mujer</v>
      </c>
      <c r="L541" s="75" t="str">
        <f t="shared" si="109"/>
        <v>Periodo 2013-2019</v>
      </c>
      <c r="M541" s="12" t="str">
        <f t="shared" si="109"/>
        <v>Número de sentencias</v>
      </c>
      <c r="N541" s="33" t="s">
        <v>5964</v>
      </c>
      <c r="O541" s="72" t="str">
        <f>"Sentencias Dictadas por Delitos Vinculados a la Mujer por Delito en el Juzgado de Garantía de "&amp;Ingresos_Historicos[[#This Row],[territorio]]&amp;" para el Periodo 2013-2019"</f>
        <v>Sentencias Dictadas por Delitos Vinculados a la Mujer por Delito en el Juzgado de Garantía de Arauco para el Periodo 2013-2019</v>
      </c>
      <c r="P54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Arauco para el Periodo 2013-2019 de acuerdo a datos provenientes del Poder Judicial de Chile.</v>
      </c>
      <c r="Q541" s="14" t="str">
        <f t="shared" si="102"/>
        <v>Gráfico de Evolución</v>
      </c>
      <c r="R541" s="27" t="s">
        <v>6348</v>
      </c>
      <c r="S541" s="15" t="s">
        <v>6936</v>
      </c>
      <c r="T541" s="65" t="s">
        <v>5914</v>
      </c>
      <c r="U541" s="24" t="s">
        <v>397</v>
      </c>
      <c r="V541" s="19" t="str">
        <f>+Ingresos_Historicos[[#This Row],[idcoleccion]]&amp;"-"&amp;Ingresos_Historicos[[#This Row],[id]]</f>
        <v>300-0531</v>
      </c>
      <c r="W541" s="19" t="e">
        <f>+VLOOKUP(Ingresos_Historicos[[#This Row],[Filtro URL]],Estructura!$X$4:$Y$366,2,0)</f>
        <v>#N/A</v>
      </c>
      <c r="X541" s="19" t="str">
        <f>+VLOOKUP(Ingresos_Historicos[[#This Row],[tema]],Estructura!$A$4:$C$18,3,0)</f>
        <v>T-310</v>
      </c>
      <c r="Y541" s="19" t="str">
        <f>+VLOOKUP(Ingresos_Historicos[[#This Row],[contenido]],Estructura!$E$4:$G$18,3,0)</f>
        <v>C-303</v>
      </c>
      <c r="Z541" s="19" t="str">
        <f>+VLOOKUP(Ingresos_Historicos[[#This Row],[Filtro Integrado]],Estructura!$M$4:$O$367,3,0)</f>
        <v>FI-303</v>
      </c>
      <c r="AA541" s="19" t="str">
        <f>+VLOOKUP(Ingresos_Historicos[[#This Row],[Muestra]],Estructura!$Q$4:$S$194,3,0)</f>
        <v>M-310</v>
      </c>
    </row>
    <row r="542" spans="1:27" ht="51" x14ac:dyDescent="0.3">
      <c r="A542" s="71" t="s">
        <v>928</v>
      </c>
      <c r="B542" s="12">
        <f t="shared" si="108"/>
        <v>300</v>
      </c>
      <c r="C542" s="13" t="str">
        <f t="shared" si="108"/>
        <v>Violencia contra la mujer</v>
      </c>
      <c r="D542" s="13" t="str">
        <f t="shared" si="108"/>
        <v>Mujeres</v>
      </c>
      <c r="E542" s="39">
        <v>38</v>
      </c>
      <c r="F542" s="13" t="s">
        <v>7581</v>
      </c>
      <c r="G542" s="13" t="s">
        <v>7576</v>
      </c>
      <c r="H542" s="38" t="s">
        <v>17</v>
      </c>
      <c r="I542" s="37" t="s">
        <v>179</v>
      </c>
      <c r="J542" s="12" t="s">
        <v>398</v>
      </c>
      <c r="K542" s="12" t="str">
        <f t="shared" si="109"/>
        <v>Sentencias Dictadas por Delitos Vinculados a la Mujer</v>
      </c>
      <c r="L542" s="75" t="str">
        <f t="shared" si="109"/>
        <v>Periodo 2013-2019</v>
      </c>
      <c r="M542" s="12" t="str">
        <f t="shared" si="109"/>
        <v>Número de sentencias</v>
      </c>
      <c r="N542" s="33" t="s">
        <v>5964</v>
      </c>
      <c r="O542" s="72" t="str">
        <f>"Sentencias Dictadas por Delitos Vinculados a la Mujer por Delito en el Juzgado de Garantía de "&amp;Ingresos_Historicos[[#This Row],[territorio]]&amp;" para el Periodo 2013-2019"</f>
        <v>Sentencias Dictadas por Delitos Vinculados a la Mujer por Delito en el Juzgado de Garantía de Cañete para el Periodo 2013-2019</v>
      </c>
      <c r="P54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Cañete para el Periodo 2013-2019 de acuerdo a datos provenientes del Poder Judicial de Chile.</v>
      </c>
      <c r="Q542" s="14" t="str">
        <f t="shared" si="102"/>
        <v>Gráfico de Evolución</v>
      </c>
      <c r="R542" s="27" t="s">
        <v>6348</v>
      </c>
      <c r="S542" s="15" t="s">
        <v>6937</v>
      </c>
      <c r="T542" s="65" t="s">
        <v>5914</v>
      </c>
      <c r="U542" s="24" t="s">
        <v>397</v>
      </c>
      <c r="V542" s="19" t="str">
        <f>+Ingresos_Historicos[[#This Row],[idcoleccion]]&amp;"-"&amp;Ingresos_Historicos[[#This Row],[id]]</f>
        <v>300-0532</v>
      </c>
      <c r="W542" s="19" t="e">
        <f>+VLOOKUP(Ingresos_Historicos[[#This Row],[Filtro URL]],Estructura!$X$4:$Y$366,2,0)</f>
        <v>#N/A</v>
      </c>
      <c r="X542" s="19" t="str">
        <f>+VLOOKUP(Ingresos_Historicos[[#This Row],[tema]],Estructura!$A$4:$C$18,3,0)</f>
        <v>T-310</v>
      </c>
      <c r="Y542" s="19" t="str">
        <f>+VLOOKUP(Ingresos_Historicos[[#This Row],[contenido]],Estructura!$E$4:$G$18,3,0)</f>
        <v>C-303</v>
      </c>
      <c r="Z542" s="19" t="str">
        <f>+VLOOKUP(Ingresos_Historicos[[#This Row],[Filtro Integrado]],Estructura!$M$4:$O$367,3,0)</f>
        <v>FI-303</v>
      </c>
      <c r="AA542" s="19" t="str">
        <f>+VLOOKUP(Ingresos_Historicos[[#This Row],[Muestra]],Estructura!$Q$4:$S$194,3,0)</f>
        <v>M-310</v>
      </c>
    </row>
    <row r="543" spans="1:27" ht="51" x14ac:dyDescent="0.3">
      <c r="A543" s="71" t="s">
        <v>929</v>
      </c>
      <c r="B543" s="12">
        <f t="shared" si="108"/>
        <v>300</v>
      </c>
      <c r="C543" s="13" t="str">
        <f t="shared" si="108"/>
        <v>Violencia contra la mujer</v>
      </c>
      <c r="D543" s="13" t="str">
        <f t="shared" si="108"/>
        <v>Mujeres</v>
      </c>
      <c r="E543" s="39">
        <v>39</v>
      </c>
      <c r="F543" s="13" t="s">
        <v>7581</v>
      </c>
      <c r="G543" s="13" t="s">
        <v>7576</v>
      </c>
      <c r="H543" s="38" t="s">
        <v>17</v>
      </c>
      <c r="I543" s="37" t="s">
        <v>167</v>
      </c>
      <c r="J543" s="12" t="s">
        <v>398</v>
      </c>
      <c r="K543" s="12" t="str">
        <f t="shared" si="109"/>
        <v>Sentencias Dictadas por Delitos Vinculados a la Mujer</v>
      </c>
      <c r="L543" s="75" t="str">
        <f t="shared" si="109"/>
        <v>Periodo 2013-2019</v>
      </c>
      <c r="M543" s="12" t="str">
        <f t="shared" si="109"/>
        <v>Número de sentencias</v>
      </c>
      <c r="N543" s="33" t="s">
        <v>5964</v>
      </c>
      <c r="O543" s="72" t="str">
        <f>"Sentencias Dictadas por Delitos Vinculados a la Mujer por Delito en el Juzgado de Garantía de "&amp;Ingresos_Historicos[[#This Row],[territorio]]&amp;" para el Periodo 2013-2019"</f>
        <v>Sentencias Dictadas por Delitos Vinculados a la Mujer por Delito en el Juzgado de Garantía de Chiguayante para el Periodo 2013-2019</v>
      </c>
      <c r="P54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Chiguayante para el Periodo 2013-2019 de acuerdo a datos provenientes del Poder Judicial de Chile.</v>
      </c>
      <c r="Q543" s="14" t="str">
        <f t="shared" si="102"/>
        <v>Gráfico de Evolución</v>
      </c>
      <c r="R543" s="27" t="s">
        <v>6348</v>
      </c>
      <c r="S543" s="15" t="s">
        <v>6938</v>
      </c>
      <c r="T543" s="65" t="s">
        <v>5914</v>
      </c>
      <c r="U543" s="24" t="s">
        <v>397</v>
      </c>
      <c r="V543" s="19" t="str">
        <f>+Ingresos_Historicos[[#This Row],[idcoleccion]]&amp;"-"&amp;Ingresos_Historicos[[#This Row],[id]]</f>
        <v>300-0533</v>
      </c>
      <c r="W543" s="19" t="e">
        <f>+VLOOKUP(Ingresos_Historicos[[#This Row],[Filtro URL]],Estructura!$X$4:$Y$366,2,0)</f>
        <v>#N/A</v>
      </c>
      <c r="X543" s="19" t="str">
        <f>+VLOOKUP(Ingresos_Historicos[[#This Row],[tema]],Estructura!$A$4:$C$18,3,0)</f>
        <v>T-310</v>
      </c>
      <c r="Y543" s="19" t="str">
        <f>+VLOOKUP(Ingresos_Historicos[[#This Row],[contenido]],Estructura!$E$4:$G$18,3,0)</f>
        <v>C-303</v>
      </c>
      <c r="Z543" s="19" t="str">
        <f>+VLOOKUP(Ingresos_Historicos[[#This Row],[Filtro Integrado]],Estructura!$M$4:$O$367,3,0)</f>
        <v>FI-303</v>
      </c>
      <c r="AA543" s="19" t="str">
        <f>+VLOOKUP(Ingresos_Historicos[[#This Row],[Muestra]],Estructura!$Q$4:$S$194,3,0)</f>
        <v>M-310</v>
      </c>
    </row>
    <row r="544" spans="1:27" ht="51" x14ac:dyDescent="0.3">
      <c r="A544" s="71" t="s">
        <v>930</v>
      </c>
      <c r="B544" s="12">
        <f t="shared" si="108"/>
        <v>300</v>
      </c>
      <c r="C544" s="13" t="str">
        <f t="shared" si="108"/>
        <v>Violencia contra la mujer</v>
      </c>
      <c r="D544" s="13" t="str">
        <f t="shared" si="108"/>
        <v>Mujeres</v>
      </c>
      <c r="E544" s="39">
        <v>40</v>
      </c>
      <c r="F544" s="13" t="s">
        <v>7581</v>
      </c>
      <c r="G544" s="13" t="s">
        <v>7576</v>
      </c>
      <c r="H544" s="38" t="s">
        <v>17</v>
      </c>
      <c r="I544" s="37" t="s">
        <v>6051</v>
      </c>
      <c r="J544" s="12" t="s">
        <v>398</v>
      </c>
      <c r="K544" s="12" t="str">
        <f t="shared" si="109"/>
        <v>Sentencias Dictadas por Delitos Vinculados a la Mujer</v>
      </c>
      <c r="L544" s="75" t="str">
        <f t="shared" si="109"/>
        <v>Periodo 2013-2019</v>
      </c>
      <c r="M544" s="12" t="str">
        <f t="shared" si="109"/>
        <v>Número de sentencias</v>
      </c>
      <c r="N544" s="33" t="s">
        <v>5964</v>
      </c>
      <c r="O544" s="72" t="str">
        <f>"Sentencias Dictadas por Delitos Vinculados a la Mujer por Delito en el Juzgado de Garantía de "&amp;Ingresos_Historicos[[#This Row],[territorio]]&amp;" para el Periodo 2013-2019"</f>
        <v>Sentencias Dictadas por Delitos Vinculados a la Mujer por Delito en el Juzgado de Garantía de Concepcion para el Periodo 2013-2019</v>
      </c>
      <c r="P54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Concepcion para el Periodo 2013-2019 de acuerdo a datos provenientes del Poder Judicial de Chile.</v>
      </c>
      <c r="Q544" s="14" t="str">
        <f t="shared" si="102"/>
        <v>Gráfico de Evolución</v>
      </c>
      <c r="R544" s="27" t="s">
        <v>6348</v>
      </c>
      <c r="S544" s="15" t="s">
        <v>6939</v>
      </c>
      <c r="T544" s="65" t="s">
        <v>5914</v>
      </c>
      <c r="U544" s="24" t="s">
        <v>397</v>
      </c>
      <c r="V544" s="19" t="str">
        <f>+Ingresos_Historicos[[#This Row],[idcoleccion]]&amp;"-"&amp;Ingresos_Historicos[[#This Row],[id]]</f>
        <v>300-0534</v>
      </c>
      <c r="W544" s="19" t="e">
        <f>+VLOOKUP(Ingresos_Historicos[[#This Row],[Filtro URL]],Estructura!$X$4:$Y$366,2,0)</f>
        <v>#N/A</v>
      </c>
      <c r="X544" s="19" t="str">
        <f>+VLOOKUP(Ingresos_Historicos[[#This Row],[tema]],Estructura!$A$4:$C$18,3,0)</f>
        <v>T-310</v>
      </c>
      <c r="Y544" s="19" t="str">
        <f>+VLOOKUP(Ingresos_Historicos[[#This Row],[contenido]],Estructura!$E$4:$G$18,3,0)</f>
        <v>C-303</v>
      </c>
      <c r="Z544" s="19" t="str">
        <f>+VLOOKUP(Ingresos_Historicos[[#This Row],[Filtro Integrado]],Estructura!$M$4:$O$367,3,0)</f>
        <v>FI-303</v>
      </c>
      <c r="AA544" s="19" t="str">
        <f>+VLOOKUP(Ingresos_Historicos[[#This Row],[Muestra]],Estructura!$Q$4:$S$194,3,0)</f>
        <v>M-310</v>
      </c>
    </row>
    <row r="545" spans="1:27" ht="51" x14ac:dyDescent="0.3">
      <c r="A545" s="71" t="s">
        <v>931</v>
      </c>
      <c r="B545" s="12">
        <f t="shared" si="108"/>
        <v>300</v>
      </c>
      <c r="C545" s="13" t="str">
        <f t="shared" si="108"/>
        <v>Violencia contra la mujer</v>
      </c>
      <c r="D545" s="13" t="str">
        <f t="shared" si="108"/>
        <v>Mujeres</v>
      </c>
      <c r="E545" s="39">
        <v>41</v>
      </c>
      <c r="F545" s="13" t="s">
        <v>7581</v>
      </c>
      <c r="G545" s="13" t="s">
        <v>7576</v>
      </c>
      <c r="H545" s="38" t="s">
        <v>17</v>
      </c>
      <c r="I545" s="37" t="s">
        <v>166</v>
      </c>
      <c r="J545" s="12" t="s">
        <v>398</v>
      </c>
      <c r="K545" s="12" t="str">
        <f t="shared" si="109"/>
        <v>Sentencias Dictadas por Delitos Vinculados a la Mujer</v>
      </c>
      <c r="L545" s="75" t="str">
        <f t="shared" si="109"/>
        <v>Periodo 2013-2019</v>
      </c>
      <c r="M545" s="12" t="str">
        <f t="shared" si="109"/>
        <v>Número de sentencias</v>
      </c>
      <c r="N545" s="33" t="s">
        <v>5964</v>
      </c>
      <c r="O545" s="27" t="str">
        <f>"Sentencias Dictadas por Delitos Vinculados a la Mujer por Delito en el Juzgado de Garantía de "&amp;Ingresos_Historicos[[#This Row],[territorio]]&amp;" para el Periodo 2013-2019"</f>
        <v>Sentencias Dictadas por Delitos Vinculados a la Mujer por Delito en el Juzgado de Garantía de Coronel para el Periodo 2013-2019</v>
      </c>
      <c r="P54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Coronel para el Periodo 2013-2019 de acuerdo a datos provenientes del Poder Judicial de Chile.</v>
      </c>
      <c r="Q545" s="14" t="str">
        <f t="shared" si="102"/>
        <v>Gráfico de Evolución</v>
      </c>
      <c r="R545" s="27" t="s">
        <v>6348</v>
      </c>
      <c r="S545" s="15" t="s">
        <v>6940</v>
      </c>
      <c r="T545" s="65" t="s">
        <v>5914</v>
      </c>
      <c r="U545" s="24" t="s">
        <v>397</v>
      </c>
      <c r="V545" s="19" t="str">
        <f>+Ingresos_Historicos[[#This Row],[idcoleccion]]&amp;"-"&amp;Ingresos_Historicos[[#This Row],[id]]</f>
        <v>300-0535</v>
      </c>
      <c r="W545" s="19" t="e">
        <f>+VLOOKUP(Ingresos_Historicos[[#This Row],[Filtro URL]],Estructura!$X$4:$Y$366,2,0)</f>
        <v>#N/A</v>
      </c>
      <c r="X545" s="19" t="str">
        <f>+VLOOKUP(Ingresos_Historicos[[#This Row],[tema]],Estructura!$A$4:$C$18,3,0)</f>
        <v>T-310</v>
      </c>
      <c r="Y545" s="19" t="str">
        <f>+VLOOKUP(Ingresos_Historicos[[#This Row],[contenido]],Estructura!$E$4:$G$18,3,0)</f>
        <v>C-303</v>
      </c>
      <c r="Z545" s="19" t="str">
        <f>+VLOOKUP(Ingresos_Historicos[[#This Row],[Filtro Integrado]],Estructura!$M$4:$O$367,3,0)</f>
        <v>FI-303</v>
      </c>
      <c r="AA545" s="19" t="str">
        <f>+VLOOKUP(Ingresos_Historicos[[#This Row],[Muestra]],Estructura!$Q$4:$S$194,3,0)</f>
        <v>M-310</v>
      </c>
    </row>
    <row r="546" spans="1:27" ht="51" x14ac:dyDescent="0.3">
      <c r="A546" s="71" t="s">
        <v>932</v>
      </c>
      <c r="B546" s="12">
        <f t="shared" si="108"/>
        <v>300</v>
      </c>
      <c r="C546" s="13" t="str">
        <f t="shared" si="108"/>
        <v>Violencia contra la mujer</v>
      </c>
      <c r="D546" s="13" t="str">
        <f t="shared" si="108"/>
        <v>Mujeres</v>
      </c>
      <c r="E546" s="39">
        <v>42</v>
      </c>
      <c r="F546" s="13" t="s">
        <v>7581</v>
      </c>
      <c r="G546" s="13" t="s">
        <v>7576</v>
      </c>
      <c r="H546" s="38" t="s">
        <v>17</v>
      </c>
      <c r="I546" s="37" t="s">
        <v>184</v>
      </c>
      <c r="J546" s="12" t="s">
        <v>398</v>
      </c>
      <c r="K546" s="12" t="str">
        <f t="shared" si="109"/>
        <v>Sentencias Dictadas por Delitos Vinculados a la Mujer</v>
      </c>
      <c r="L546" s="75" t="str">
        <f t="shared" si="109"/>
        <v>Periodo 2013-2019</v>
      </c>
      <c r="M546" s="12" t="str">
        <f t="shared" si="109"/>
        <v>Número de sentencias</v>
      </c>
      <c r="N546" s="33" t="s">
        <v>5964</v>
      </c>
      <c r="O546" s="27" t="str">
        <f>"Sentencias Dictadas por Delitos Vinculados a la Mujer por Delito en el Juzgado de Garantía de "&amp;Ingresos_Historicos[[#This Row],[territorio]]&amp;" para el Periodo 2013-2019"</f>
        <v>Sentencias Dictadas por Delitos Vinculados a la Mujer por Delito en el Juzgado de Garantía de Los Angeles para el Periodo 2013-2019</v>
      </c>
      <c r="P54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Los Angeles para el Periodo 2013-2019 de acuerdo a datos provenientes del Poder Judicial de Chile.</v>
      </c>
      <c r="Q546" s="14" t="str">
        <f t="shared" si="102"/>
        <v>Gráfico de Evolución</v>
      </c>
      <c r="R546" s="27" t="s">
        <v>6348</v>
      </c>
      <c r="S546" s="15" t="s">
        <v>6941</v>
      </c>
      <c r="T546" s="65" t="s">
        <v>5914</v>
      </c>
      <c r="U546" s="24" t="s">
        <v>397</v>
      </c>
      <c r="V546" s="19" t="str">
        <f>+Ingresos_Historicos[[#This Row],[idcoleccion]]&amp;"-"&amp;Ingresos_Historicos[[#This Row],[id]]</f>
        <v>300-0536</v>
      </c>
      <c r="W546" s="19" t="e">
        <f>+VLOOKUP(Ingresos_Historicos[[#This Row],[Filtro URL]],Estructura!$X$4:$Y$366,2,0)</f>
        <v>#N/A</v>
      </c>
      <c r="X546" s="19" t="str">
        <f>+VLOOKUP(Ingresos_Historicos[[#This Row],[tema]],Estructura!$A$4:$C$18,3,0)</f>
        <v>T-310</v>
      </c>
      <c r="Y546" s="19" t="str">
        <f>+VLOOKUP(Ingresos_Historicos[[#This Row],[contenido]],Estructura!$E$4:$G$18,3,0)</f>
        <v>C-303</v>
      </c>
      <c r="Z546" s="19" t="str">
        <f>+VLOOKUP(Ingresos_Historicos[[#This Row],[Filtro Integrado]],Estructura!$M$4:$O$367,3,0)</f>
        <v>FI-303</v>
      </c>
      <c r="AA546" s="19" t="str">
        <f>+VLOOKUP(Ingresos_Historicos[[#This Row],[Muestra]],Estructura!$Q$4:$S$194,3,0)</f>
        <v>M-310</v>
      </c>
    </row>
    <row r="547" spans="1:27" ht="51" x14ac:dyDescent="0.3">
      <c r="A547" s="71" t="s">
        <v>933</v>
      </c>
      <c r="B547" s="12">
        <f t="shared" si="108"/>
        <v>300</v>
      </c>
      <c r="C547" s="13" t="str">
        <f t="shared" si="108"/>
        <v>Violencia contra la mujer</v>
      </c>
      <c r="D547" s="13" t="str">
        <f t="shared" si="108"/>
        <v>Mujeres</v>
      </c>
      <c r="E547" s="39">
        <v>43</v>
      </c>
      <c r="F547" s="13" t="s">
        <v>7581</v>
      </c>
      <c r="G547" s="13" t="s">
        <v>7576</v>
      </c>
      <c r="H547" s="38" t="s">
        <v>17</v>
      </c>
      <c r="I547" s="37" t="s">
        <v>174</v>
      </c>
      <c r="J547" s="12" t="s">
        <v>398</v>
      </c>
      <c r="K547" s="12" t="str">
        <f t="shared" si="109"/>
        <v>Sentencias Dictadas por Delitos Vinculados a la Mujer</v>
      </c>
      <c r="L547" s="75" t="str">
        <f t="shared" si="109"/>
        <v>Periodo 2013-2019</v>
      </c>
      <c r="M547" s="12" t="str">
        <f t="shared" si="109"/>
        <v>Número de sentencias</v>
      </c>
      <c r="N547" s="33" t="s">
        <v>5964</v>
      </c>
      <c r="O547" s="27" t="str">
        <f>"Sentencias Dictadas por Delitos Vinculados a la Mujer por Delito en el Juzgado de Garantía de "&amp;Ingresos_Historicos[[#This Row],[territorio]]&amp;" para el Periodo 2013-2019"</f>
        <v>Sentencias Dictadas por Delitos Vinculados a la Mujer por Delito en el Juzgado de Garantía de Talcahuano para el Periodo 2013-2019</v>
      </c>
      <c r="P54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Talcahuano para el Periodo 2013-2019 de acuerdo a datos provenientes del Poder Judicial de Chile.</v>
      </c>
      <c r="Q547" s="14" t="str">
        <f t="shared" si="102"/>
        <v>Gráfico de Evolución</v>
      </c>
      <c r="R547" s="27" t="s">
        <v>6348</v>
      </c>
      <c r="S547" s="15" t="s">
        <v>6942</v>
      </c>
      <c r="T547" s="65" t="s">
        <v>5914</v>
      </c>
      <c r="U547" s="24" t="s">
        <v>397</v>
      </c>
      <c r="V547" s="19" t="str">
        <f>+Ingresos_Historicos[[#This Row],[idcoleccion]]&amp;"-"&amp;Ingresos_Historicos[[#This Row],[id]]</f>
        <v>300-0537</v>
      </c>
      <c r="W547" s="19" t="e">
        <f>+VLOOKUP(Ingresos_Historicos[[#This Row],[Filtro URL]],Estructura!$X$4:$Y$366,2,0)</f>
        <v>#N/A</v>
      </c>
      <c r="X547" s="19" t="str">
        <f>+VLOOKUP(Ingresos_Historicos[[#This Row],[tema]],Estructura!$A$4:$C$18,3,0)</f>
        <v>T-310</v>
      </c>
      <c r="Y547" s="19" t="str">
        <f>+VLOOKUP(Ingresos_Historicos[[#This Row],[contenido]],Estructura!$E$4:$G$18,3,0)</f>
        <v>C-303</v>
      </c>
      <c r="Z547" s="19" t="str">
        <f>+VLOOKUP(Ingresos_Historicos[[#This Row],[Filtro Integrado]],Estructura!$M$4:$O$367,3,0)</f>
        <v>FI-303</v>
      </c>
      <c r="AA547" s="19" t="str">
        <f>+VLOOKUP(Ingresos_Historicos[[#This Row],[Muestra]],Estructura!$Q$4:$S$194,3,0)</f>
        <v>M-310</v>
      </c>
    </row>
    <row r="548" spans="1:27" ht="51" x14ac:dyDescent="0.3">
      <c r="A548" s="71" t="s">
        <v>934</v>
      </c>
      <c r="B548" s="12">
        <f t="shared" si="108"/>
        <v>300</v>
      </c>
      <c r="C548" s="13" t="str">
        <f t="shared" si="108"/>
        <v>Violencia contra la mujer</v>
      </c>
      <c r="D548" s="13" t="str">
        <f t="shared" si="108"/>
        <v>Mujeres</v>
      </c>
      <c r="E548" s="39">
        <v>44</v>
      </c>
      <c r="F548" s="13" t="s">
        <v>7581</v>
      </c>
      <c r="G548" s="13" t="s">
        <v>7576</v>
      </c>
      <c r="H548" s="38" t="s">
        <v>17</v>
      </c>
      <c r="I548" s="37" t="s">
        <v>6056</v>
      </c>
      <c r="J548" s="12" t="s">
        <v>398</v>
      </c>
      <c r="K548" s="12" t="str">
        <f t="shared" si="109"/>
        <v>Sentencias Dictadas por Delitos Vinculados a la Mujer</v>
      </c>
      <c r="L548" s="75" t="str">
        <f t="shared" si="109"/>
        <v>Periodo 2013-2019</v>
      </c>
      <c r="M548" s="12" t="str">
        <f t="shared" si="109"/>
        <v>Número de sentencias</v>
      </c>
      <c r="N548" s="33" t="s">
        <v>5964</v>
      </c>
      <c r="O548" s="27" t="str">
        <f>"Sentencias Dictadas por Delitos Vinculados a la Mujer por Delito en el Juzgado de Garantía de "&amp;Ingresos_Historicos[[#This Row],[territorio]]&amp;" para el Periodo 2013-2019"</f>
        <v>Sentencias Dictadas por Delitos Vinculados a la Mujer por Delito en el Juzgado de Garantía de Tome para el Periodo 2013-2019</v>
      </c>
      <c r="P54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Tome para el Periodo 2013-2019 de acuerdo a datos provenientes del Poder Judicial de Chile.</v>
      </c>
      <c r="Q548" s="14" t="str">
        <f t="shared" si="102"/>
        <v>Gráfico de Evolución</v>
      </c>
      <c r="R548" s="27" t="s">
        <v>6348</v>
      </c>
      <c r="S548" s="15" t="s">
        <v>6943</v>
      </c>
      <c r="T548" s="65" t="s">
        <v>5914</v>
      </c>
      <c r="U548" s="24" t="s">
        <v>397</v>
      </c>
      <c r="V548" s="19" t="str">
        <f>+Ingresos_Historicos[[#This Row],[idcoleccion]]&amp;"-"&amp;Ingresos_Historicos[[#This Row],[id]]</f>
        <v>300-0538</v>
      </c>
      <c r="W548" s="19" t="e">
        <f>+VLOOKUP(Ingresos_Historicos[[#This Row],[Filtro URL]],Estructura!$X$4:$Y$366,2,0)</f>
        <v>#N/A</v>
      </c>
      <c r="X548" s="19" t="str">
        <f>+VLOOKUP(Ingresos_Historicos[[#This Row],[tema]],Estructura!$A$4:$C$18,3,0)</f>
        <v>T-310</v>
      </c>
      <c r="Y548" s="19" t="str">
        <f>+VLOOKUP(Ingresos_Historicos[[#This Row],[contenido]],Estructura!$E$4:$G$18,3,0)</f>
        <v>C-303</v>
      </c>
      <c r="Z548" s="19" t="str">
        <f>+VLOOKUP(Ingresos_Historicos[[#This Row],[Filtro Integrado]],Estructura!$M$4:$O$367,3,0)</f>
        <v>FI-303</v>
      </c>
      <c r="AA548" s="19" t="str">
        <f>+VLOOKUP(Ingresos_Historicos[[#This Row],[Muestra]],Estructura!$Q$4:$S$194,3,0)</f>
        <v>M-310</v>
      </c>
    </row>
    <row r="549" spans="1:27" ht="51" x14ac:dyDescent="0.3">
      <c r="A549" s="71" t="s">
        <v>935</v>
      </c>
      <c r="B549" s="12">
        <f t="shared" si="108"/>
        <v>300</v>
      </c>
      <c r="C549" s="13" t="str">
        <f t="shared" si="108"/>
        <v>Violencia contra la mujer</v>
      </c>
      <c r="D549" s="13" t="str">
        <f t="shared" si="108"/>
        <v>Mujeres</v>
      </c>
      <c r="E549" s="39">
        <v>45</v>
      </c>
      <c r="F549" s="13" t="s">
        <v>7581</v>
      </c>
      <c r="G549" s="13" t="s">
        <v>7576</v>
      </c>
      <c r="H549" s="38" t="s">
        <v>17</v>
      </c>
      <c r="I549" s="37" t="s">
        <v>240</v>
      </c>
      <c r="J549" s="12" t="s">
        <v>398</v>
      </c>
      <c r="K549" s="12" t="str">
        <f t="shared" si="109"/>
        <v>Sentencias Dictadas por Delitos Vinculados a la Mujer</v>
      </c>
      <c r="L549" s="75" t="str">
        <f t="shared" si="109"/>
        <v>Periodo 2013-2019</v>
      </c>
      <c r="M549" s="12" t="str">
        <f t="shared" si="109"/>
        <v>Número de sentencias</v>
      </c>
      <c r="N549" s="33" t="s">
        <v>5964</v>
      </c>
      <c r="O549" s="27" t="str">
        <f>"Sentencias Dictadas por Delitos Vinculados a la Mujer por Delito en el Juzgado de Garantía de "&amp;Ingresos_Historicos[[#This Row],[territorio]]&amp;" para el Periodo 2013-2019"</f>
        <v>Sentencias Dictadas por Delitos Vinculados a la Mujer por Delito en el Juzgado de Garantía de Angol para el Periodo 2013-2019</v>
      </c>
      <c r="P54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Angol para el Periodo 2013-2019 de acuerdo a datos provenientes del Poder Judicial de Chile.</v>
      </c>
      <c r="Q549" s="14" t="str">
        <f t="shared" si="102"/>
        <v>Gráfico de Evolución</v>
      </c>
      <c r="R549" s="27" t="s">
        <v>6348</v>
      </c>
      <c r="S549" s="15" t="s">
        <v>6944</v>
      </c>
      <c r="T549" s="65" t="s">
        <v>5915</v>
      </c>
      <c r="U549" s="24" t="s">
        <v>397</v>
      </c>
      <c r="V549" s="19" t="str">
        <f>+Ingresos_Historicos[[#This Row],[idcoleccion]]&amp;"-"&amp;Ingresos_Historicos[[#This Row],[id]]</f>
        <v>300-0539</v>
      </c>
      <c r="W549" s="19" t="e">
        <f>+VLOOKUP(Ingresos_Historicos[[#This Row],[Filtro URL]],Estructura!$X$4:$Y$366,2,0)</f>
        <v>#N/A</v>
      </c>
      <c r="X549" s="19" t="str">
        <f>+VLOOKUP(Ingresos_Historicos[[#This Row],[tema]],Estructura!$A$4:$C$18,3,0)</f>
        <v>T-310</v>
      </c>
      <c r="Y549" s="19" t="str">
        <f>+VLOOKUP(Ingresos_Historicos[[#This Row],[contenido]],Estructura!$E$4:$G$18,3,0)</f>
        <v>C-303</v>
      </c>
      <c r="Z549" s="19" t="str">
        <f>+VLOOKUP(Ingresos_Historicos[[#This Row],[Filtro Integrado]],Estructura!$M$4:$O$367,3,0)</f>
        <v>FI-303</v>
      </c>
      <c r="AA549" s="19" t="str">
        <f>+VLOOKUP(Ingresos_Historicos[[#This Row],[Muestra]],Estructura!$Q$4:$S$194,3,0)</f>
        <v>M-310</v>
      </c>
    </row>
    <row r="550" spans="1:27" ht="51" x14ac:dyDescent="0.3">
      <c r="A550" s="71" t="s">
        <v>936</v>
      </c>
      <c r="B550" s="12">
        <f t="shared" ref="B550:D565" si="110">+B549</f>
        <v>300</v>
      </c>
      <c r="C550" s="13" t="str">
        <f t="shared" si="110"/>
        <v>Violencia contra la mujer</v>
      </c>
      <c r="D550" s="13" t="str">
        <f t="shared" si="110"/>
        <v>Mujeres</v>
      </c>
      <c r="E550" s="39">
        <v>46</v>
      </c>
      <c r="F550" s="13" t="s">
        <v>7581</v>
      </c>
      <c r="G550" s="13" t="s">
        <v>7576</v>
      </c>
      <c r="H550" s="38" t="s">
        <v>17</v>
      </c>
      <c r="I550" s="37" t="s">
        <v>226</v>
      </c>
      <c r="J550" s="12" t="s">
        <v>398</v>
      </c>
      <c r="K550" s="12" t="str">
        <f t="shared" si="109"/>
        <v>Sentencias Dictadas por Delitos Vinculados a la Mujer</v>
      </c>
      <c r="L550" s="75" t="str">
        <f t="shared" si="109"/>
        <v>Periodo 2013-2019</v>
      </c>
      <c r="M550" s="12" t="str">
        <f t="shared" si="109"/>
        <v>Número de sentencias</v>
      </c>
      <c r="N550" s="33" t="s">
        <v>5964</v>
      </c>
      <c r="O550" s="27" t="str">
        <f>"Sentencias Dictadas por Delitos Vinculados a la Mujer por Delito en el Juzgado de Garantía de "&amp;Ingresos_Historicos[[#This Row],[territorio]]&amp;" para el Periodo 2013-2019"</f>
        <v>Sentencias Dictadas por Delitos Vinculados a la Mujer por Delito en el Juzgado de Garantía de Lautaro para el Periodo 2013-2019</v>
      </c>
      <c r="P55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Lautaro para el Periodo 2013-2019 de acuerdo a datos provenientes del Poder Judicial de Chile.</v>
      </c>
      <c r="Q550" s="14" t="str">
        <f t="shared" si="102"/>
        <v>Gráfico de Evolución</v>
      </c>
      <c r="R550" s="27" t="s">
        <v>6348</v>
      </c>
      <c r="S550" s="15" t="s">
        <v>6945</v>
      </c>
      <c r="T550" s="65" t="s">
        <v>5915</v>
      </c>
      <c r="U550" s="24" t="s">
        <v>397</v>
      </c>
      <c r="V550" s="19" t="str">
        <f>+Ingresos_Historicos[[#This Row],[idcoleccion]]&amp;"-"&amp;Ingresos_Historicos[[#This Row],[id]]</f>
        <v>300-0540</v>
      </c>
      <c r="W550" s="19" t="e">
        <f>+VLOOKUP(Ingresos_Historicos[[#This Row],[Filtro URL]],Estructura!$X$4:$Y$366,2,0)</f>
        <v>#N/A</v>
      </c>
      <c r="X550" s="19" t="str">
        <f>+VLOOKUP(Ingresos_Historicos[[#This Row],[tema]],Estructura!$A$4:$C$18,3,0)</f>
        <v>T-310</v>
      </c>
      <c r="Y550" s="19" t="str">
        <f>+VLOOKUP(Ingresos_Historicos[[#This Row],[contenido]],Estructura!$E$4:$G$18,3,0)</f>
        <v>C-303</v>
      </c>
      <c r="Z550" s="19" t="str">
        <f>+VLOOKUP(Ingresos_Historicos[[#This Row],[Filtro Integrado]],Estructura!$M$4:$O$367,3,0)</f>
        <v>FI-303</v>
      </c>
      <c r="AA550" s="19" t="str">
        <f>+VLOOKUP(Ingresos_Historicos[[#This Row],[Muestra]],Estructura!$Q$4:$S$194,3,0)</f>
        <v>M-310</v>
      </c>
    </row>
    <row r="551" spans="1:27" ht="51" x14ac:dyDescent="0.3">
      <c r="A551" s="71" t="s">
        <v>937</v>
      </c>
      <c r="B551" s="12">
        <f t="shared" si="110"/>
        <v>300</v>
      </c>
      <c r="C551" s="13" t="str">
        <f t="shared" si="110"/>
        <v>Violencia contra la mujer</v>
      </c>
      <c r="D551" s="13" t="str">
        <f t="shared" si="110"/>
        <v>Mujeres</v>
      </c>
      <c r="E551" s="39">
        <v>47</v>
      </c>
      <c r="F551" s="13" t="s">
        <v>7581</v>
      </c>
      <c r="G551" s="13" t="s">
        <v>7576</v>
      </c>
      <c r="H551" s="38" t="s">
        <v>17</v>
      </c>
      <c r="I551" s="37" t="s">
        <v>227</v>
      </c>
      <c r="J551" s="12" t="s">
        <v>398</v>
      </c>
      <c r="K551" s="12" t="str">
        <f t="shared" si="109"/>
        <v>Sentencias Dictadas por Delitos Vinculados a la Mujer</v>
      </c>
      <c r="L551" s="75" t="str">
        <f t="shared" si="109"/>
        <v>Periodo 2013-2019</v>
      </c>
      <c r="M551" s="12" t="str">
        <f t="shared" si="109"/>
        <v>Número de sentencias</v>
      </c>
      <c r="N551" s="33" t="s">
        <v>5964</v>
      </c>
      <c r="O551" s="27" t="str">
        <f>"Sentencias Dictadas por Delitos Vinculados a la Mujer por Delito en el Juzgado de Garantía de "&amp;Ingresos_Historicos[[#This Row],[territorio]]&amp;" para el Periodo 2013-2019"</f>
        <v>Sentencias Dictadas por Delitos Vinculados a la Mujer por Delito en el Juzgado de Garantía de Loncoche para el Periodo 2013-2019</v>
      </c>
      <c r="P55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Loncoche para el Periodo 2013-2019 de acuerdo a datos provenientes del Poder Judicial de Chile.</v>
      </c>
      <c r="Q551" s="14" t="str">
        <f t="shared" ref="Q551:Q603" si="111">+Q550</f>
        <v>Gráfico de Evolución</v>
      </c>
      <c r="R551" s="27" t="s">
        <v>6348</v>
      </c>
      <c r="S551" s="15" t="s">
        <v>6946</v>
      </c>
      <c r="T551" s="65" t="s">
        <v>5915</v>
      </c>
      <c r="U551" s="24" t="s">
        <v>397</v>
      </c>
      <c r="V551" s="19" t="str">
        <f>+Ingresos_Historicos[[#This Row],[idcoleccion]]&amp;"-"&amp;Ingresos_Historicos[[#This Row],[id]]</f>
        <v>300-0541</v>
      </c>
      <c r="W551" s="19" t="e">
        <f>+VLOOKUP(Ingresos_Historicos[[#This Row],[Filtro URL]],Estructura!$X$4:$Y$366,2,0)</f>
        <v>#N/A</v>
      </c>
      <c r="X551" s="19" t="str">
        <f>+VLOOKUP(Ingresos_Historicos[[#This Row],[tema]],Estructura!$A$4:$C$18,3,0)</f>
        <v>T-310</v>
      </c>
      <c r="Y551" s="19" t="str">
        <f>+VLOOKUP(Ingresos_Historicos[[#This Row],[contenido]],Estructura!$E$4:$G$18,3,0)</f>
        <v>C-303</v>
      </c>
      <c r="Z551" s="19" t="str">
        <f>+VLOOKUP(Ingresos_Historicos[[#This Row],[Filtro Integrado]],Estructura!$M$4:$O$367,3,0)</f>
        <v>FI-303</v>
      </c>
      <c r="AA551" s="19" t="str">
        <f>+VLOOKUP(Ingresos_Historicos[[#This Row],[Muestra]],Estructura!$Q$4:$S$194,3,0)</f>
        <v>M-310</v>
      </c>
    </row>
    <row r="552" spans="1:27" ht="51" x14ac:dyDescent="0.3">
      <c r="A552" s="71" t="s">
        <v>938</v>
      </c>
      <c r="B552" s="12">
        <f t="shared" si="110"/>
        <v>300</v>
      </c>
      <c r="C552" s="13" t="str">
        <f t="shared" si="110"/>
        <v>Violencia contra la mujer</v>
      </c>
      <c r="D552" s="13" t="str">
        <f t="shared" si="110"/>
        <v>Mujeres</v>
      </c>
      <c r="E552" s="39">
        <v>48</v>
      </c>
      <c r="F552" s="13" t="s">
        <v>7581</v>
      </c>
      <c r="G552" s="13" t="s">
        <v>7576</v>
      </c>
      <c r="H552" s="38" t="s">
        <v>17</v>
      </c>
      <c r="I552" s="37" t="s">
        <v>229</v>
      </c>
      <c r="J552" s="12" t="s">
        <v>398</v>
      </c>
      <c r="K552" s="12" t="str">
        <f t="shared" ref="K552:M567" si="112">+K551</f>
        <v>Sentencias Dictadas por Delitos Vinculados a la Mujer</v>
      </c>
      <c r="L552" s="75" t="str">
        <f t="shared" si="112"/>
        <v>Periodo 2013-2019</v>
      </c>
      <c r="M552" s="12" t="str">
        <f t="shared" si="112"/>
        <v>Número de sentencias</v>
      </c>
      <c r="N552" s="33" t="s">
        <v>5964</v>
      </c>
      <c r="O552" s="27" t="str">
        <f>"Sentencias Dictadas por Delitos Vinculados a la Mujer por Delito en el Juzgado de Garantía de "&amp;Ingresos_Historicos[[#This Row],[territorio]]&amp;" para el Periodo 2013-2019"</f>
        <v>Sentencias Dictadas por Delitos Vinculados a la Mujer por Delito en el Juzgado de Garantía de Nueva Imperial para el Periodo 2013-2019</v>
      </c>
      <c r="P55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Nueva Imperial para el Periodo 2013-2019 de acuerdo a datos provenientes del Poder Judicial de Chile.</v>
      </c>
      <c r="Q552" s="14" t="str">
        <f t="shared" si="111"/>
        <v>Gráfico de Evolución</v>
      </c>
      <c r="R552" s="27" t="s">
        <v>6348</v>
      </c>
      <c r="S552" s="15" t="s">
        <v>6947</v>
      </c>
      <c r="T552" s="65" t="s">
        <v>5915</v>
      </c>
      <c r="U552" s="24" t="s">
        <v>397</v>
      </c>
      <c r="V552" s="19" t="str">
        <f>+Ingresos_Historicos[[#This Row],[idcoleccion]]&amp;"-"&amp;Ingresos_Historicos[[#This Row],[id]]</f>
        <v>300-0542</v>
      </c>
      <c r="W552" s="19" t="e">
        <f>+VLOOKUP(Ingresos_Historicos[[#This Row],[Filtro URL]],Estructura!$X$4:$Y$366,2,0)</f>
        <v>#N/A</v>
      </c>
      <c r="X552" s="19" t="str">
        <f>+VLOOKUP(Ingresos_Historicos[[#This Row],[tema]],Estructura!$A$4:$C$18,3,0)</f>
        <v>T-310</v>
      </c>
      <c r="Y552" s="19" t="str">
        <f>+VLOOKUP(Ingresos_Historicos[[#This Row],[contenido]],Estructura!$E$4:$G$18,3,0)</f>
        <v>C-303</v>
      </c>
      <c r="Z552" s="19" t="str">
        <f>+VLOOKUP(Ingresos_Historicos[[#This Row],[Filtro Integrado]],Estructura!$M$4:$O$367,3,0)</f>
        <v>FI-303</v>
      </c>
      <c r="AA552" s="19" t="str">
        <f>+VLOOKUP(Ingresos_Historicos[[#This Row],[Muestra]],Estructura!$Q$4:$S$194,3,0)</f>
        <v>M-310</v>
      </c>
    </row>
    <row r="553" spans="1:27" ht="51" x14ac:dyDescent="0.3">
      <c r="A553" s="71" t="s">
        <v>939</v>
      </c>
      <c r="B553" s="12">
        <f t="shared" si="110"/>
        <v>300</v>
      </c>
      <c r="C553" s="13" t="str">
        <f t="shared" si="110"/>
        <v>Violencia contra la mujer</v>
      </c>
      <c r="D553" s="13" t="str">
        <f t="shared" si="110"/>
        <v>Mujeres</v>
      </c>
      <c r="E553" s="39">
        <v>49</v>
      </c>
      <c r="F553" s="13" t="s">
        <v>7581</v>
      </c>
      <c r="G553" s="13" t="s">
        <v>7576</v>
      </c>
      <c r="H553" s="38" t="s">
        <v>17</v>
      </c>
      <c r="I553" s="37" t="s">
        <v>6062</v>
      </c>
      <c r="J553" s="12" t="s">
        <v>398</v>
      </c>
      <c r="K553" s="12" t="str">
        <f t="shared" si="112"/>
        <v>Sentencias Dictadas por Delitos Vinculados a la Mujer</v>
      </c>
      <c r="L553" s="75" t="str">
        <f t="shared" si="112"/>
        <v>Periodo 2013-2019</v>
      </c>
      <c r="M553" s="12" t="str">
        <f t="shared" si="112"/>
        <v>Número de sentencias</v>
      </c>
      <c r="N553" s="33" t="s">
        <v>5964</v>
      </c>
      <c r="O553" s="27" t="str">
        <f>"Sentencias Dictadas por Delitos Vinculados a la Mujer por Delito en el Juzgado de Garantía de "&amp;Ingresos_Historicos[[#This Row],[territorio]]&amp;" para el Periodo 2013-2019"</f>
        <v>Sentencias Dictadas por Delitos Vinculados a la Mujer por Delito en el Juzgado de Garantía de Pitrufquen para el Periodo 2013-2019</v>
      </c>
      <c r="P55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Pitrufquen para el Periodo 2013-2019 de acuerdo a datos provenientes del Poder Judicial de Chile.</v>
      </c>
      <c r="Q553" s="14" t="str">
        <f t="shared" si="111"/>
        <v>Gráfico de Evolución</v>
      </c>
      <c r="R553" s="27" t="s">
        <v>6348</v>
      </c>
      <c r="S553" s="15" t="s">
        <v>6948</v>
      </c>
      <c r="T553" s="65" t="s">
        <v>5915</v>
      </c>
      <c r="U553" s="24" t="s">
        <v>397</v>
      </c>
      <c r="V553" s="19" t="str">
        <f>+Ingresos_Historicos[[#This Row],[idcoleccion]]&amp;"-"&amp;Ingresos_Historicos[[#This Row],[id]]</f>
        <v>300-0543</v>
      </c>
      <c r="W553" s="19" t="e">
        <f>+VLOOKUP(Ingresos_Historicos[[#This Row],[Filtro URL]],Estructura!$X$4:$Y$366,2,0)</f>
        <v>#N/A</v>
      </c>
      <c r="X553" s="19" t="str">
        <f>+VLOOKUP(Ingresos_Historicos[[#This Row],[tema]],Estructura!$A$4:$C$18,3,0)</f>
        <v>T-310</v>
      </c>
      <c r="Y553" s="19" t="str">
        <f>+VLOOKUP(Ingresos_Historicos[[#This Row],[contenido]],Estructura!$E$4:$G$18,3,0)</f>
        <v>C-303</v>
      </c>
      <c r="Z553" s="19" t="str">
        <f>+VLOOKUP(Ingresos_Historicos[[#This Row],[Filtro Integrado]],Estructura!$M$4:$O$367,3,0)</f>
        <v>FI-303</v>
      </c>
      <c r="AA553" s="19" t="str">
        <f>+VLOOKUP(Ingresos_Historicos[[#This Row],[Muestra]],Estructura!$Q$4:$S$194,3,0)</f>
        <v>M-310</v>
      </c>
    </row>
    <row r="554" spans="1:27" ht="51" x14ac:dyDescent="0.3">
      <c r="A554" s="71" t="s">
        <v>940</v>
      </c>
      <c r="B554" s="12">
        <f t="shared" si="110"/>
        <v>300</v>
      </c>
      <c r="C554" s="13" t="str">
        <f t="shared" si="110"/>
        <v>Violencia contra la mujer</v>
      </c>
      <c r="D554" s="13" t="str">
        <f t="shared" si="110"/>
        <v>Mujeres</v>
      </c>
      <c r="E554" s="39">
        <v>50</v>
      </c>
      <c r="F554" s="13" t="s">
        <v>7581</v>
      </c>
      <c r="G554" s="13" t="s">
        <v>7576</v>
      </c>
      <c r="H554" s="38" t="s">
        <v>17</v>
      </c>
      <c r="I554" s="37" t="s">
        <v>219</v>
      </c>
      <c r="J554" s="12" t="s">
        <v>398</v>
      </c>
      <c r="K554" s="12" t="str">
        <f t="shared" si="112"/>
        <v>Sentencias Dictadas por Delitos Vinculados a la Mujer</v>
      </c>
      <c r="L554" s="75" t="str">
        <f t="shared" si="112"/>
        <v>Periodo 2013-2019</v>
      </c>
      <c r="M554" s="12" t="str">
        <f t="shared" si="112"/>
        <v>Número de sentencias</v>
      </c>
      <c r="N554" s="33" t="s">
        <v>5964</v>
      </c>
      <c r="O554" s="27" t="str">
        <f>"Sentencias Dictadas por Delitos Vinculados a la Mujer por Delito en el Juzgado de Garantía de "&amp;Ingresos_Historicos[[#This Row],[territorio]]&amp;" para el Periodo 2013-2019"</f>
        <v>Sentencias Dictadas por Delitos Vinculados a la Mujer por Delito en el Juzgado de Garantía de Temuco para el Periodo 2013-2019</v>
      </c>
      <c r="P55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Temuco para el Periodo 2013-2019 de acuerdo a datos provenientes del Poder Judicial de Chile.</v>
      </c>
      <c r="Q554" s="14" t="str">
        <f t="shared" si="111"/>
        <v>Gráfico de Evolución</v>
      </c>
      <c r="R554" s="27" t="s">
        <v>6348</v>
      </c>
      <c r="S554" s="15" t="s">
        <v>6949</v>
      </c>
      <c r="T554" s="65" t="s">
        <v>5915</v>
      </c>
      <c r="U554" s="24" t="s">
        <v>397</v>
      </c>
      <c r="V554" s="19" t="str">
        <f>+Ingresos_Historicos[[#This Row],[idcoleccion]]&amp;"-"&amp;Ingresos_Historicos[[#This Row],[id]]</f>
        <v>300-0544</v>
      </c>
      <c r="W554" s="19" t="e">
        <f>+VLOOKUP(Ingresos_Historicos[[#This Row],[Filtro URL]],Estructura!$X$4:$Y$366,2,0)</f>
        <v>#N/A</v>
      </c>
      <c r="X554" s="19" t="str">
        <f>+VLOOKUP(Ingresos_Historicos[[#This Row],[tema]],Estructura!$A$4:$C$18,3,0)</f>
        <v>T-310</v>
      </c>
      <c r="Y554" s="19" t="str">
        <f>+VLOOKUP(Ingresos_Historicos[[#This Row],[contenido]],Estructura!$E$4:$G$18,3,0)</f>
        <v>C-303</v>
      </c>
      <c r="Z554" s="19" t="str">
        <f>+VLOOKUP(Ingresos_Historicos[[#This Row],[Filtro Integrado]],Estructura!$M$4:$O$367,3,0)</f>
        <v>FI-303</v>
      </c>
      <c r="AA554" s="19" t="str">
        <f>+VLOOKUP(Ingresos_Historicos[[#This Row],[Muestra]],Estructura!$Q$4:$S$194,3,0)</f>
        <v>M-310</v>
      </c>
    </row>
    <row r="555" spans="1:27" ht="51" x14ac:dyDescent="0.3">
      <c r="A555" s="71" t="s">
        <v>941</v>
      </c>
      <c r="B555" s="12">
        <f t="shared" si="110"/>
        <v>300</v>
      </c>
      <c r="C555" s="13" t="str">
        <f t="shared" si="110"/>
        <v>Violencia contra la mujer</v>
      </c>
      <c r="D555" s="13" t="str">
        <f t="shared" si="110"/>
        <v>Mujeres</v>
      </c>
      <c r="E555" s="39">
        <v>51</v>
      </c>
      <c r="F555" s="13" t="s">
        <v>7581</v>
      </c>
      <c r="G555" s="13" t="s">
        <v>7576</v>
      </c>
      <c r="H555" s="38" t="s">
        <v>17</v>
      </c>
      <c r="I555" s="37" t="s">
        <v>250</v>
      </c>
      <c r="J555" s="12" t="s">
        <v>398</v>
      </c>
      <c r="K555" s="12" t="str">
        <f t="shared" si="112"/>
        <v>Sentencias Dictadas por Delitos Vinculados a la Mujer</v>
      </c>
      <c r="L555" s="75" t="str">
        <f t="shared" si="112"/>
        <v>Periodo 2013-2019</v>
      </c>
      <c r="M555" s="12" t="str">
        <f t="shared" si="112"/>
        <v>Número de sentencias</v>
      </c>
      <c r="N555" s="33" t="s">
        <v>5964</v>
      </c>
      <c r="O555" s="27" t="str">
        <f>"Sentencias Dictadas por Delitos Vinculados a la Mujer por Delito en el Juzgado de Garantía de "&amp;Ingresos_Historicos[[#This Row],[territorio]]&amp;" para el Periodo 2013-2019"</f>
        <v>Sentencias Dictadas por Delitos Vinculados a la Mujer por Delito en el Juzgado de Garantía de Victoria para el Periodo 2013-2019</v>
      </c>
      <c r="P55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Victoria para el Periodo 2013-2019 de acuerdo a datos provenientes del Poder Judicial de Chile.</v>
      </c>
      <c r="Q555" s="14" t="str">
        <f t="shared" si="111"/>
        <v>Gráfico de Evolución</v>
      </c>
      <c r="R555" s="27" t="s">
        <v>6348</v>
      </c>
      <c r="S555" s="15" t="s">
        <v>6950</v>
      </c>
      <c r="T555" s="65" t="s">
        <v>5915</v>
      </c>
      <c r="U555" s="24" t="s">
        <v>397</v>
      </c>
      <c r="V555" s="19" t="str">
        <f>+Ingresos_Historicos[[#This Row],[idcoleccion]]&amp;"-"&amp;Ingresos_Historicos[[#This Row],[id]]</f>
        <v>300-0545</v>
      </c>
      <c r="W555" s="19" t="e">
        <f>+VLOOKUP(Ingresos_Historicos[[#This Row],[Filtro URL]],Estructura!$X$4:$Y$366,2,0)</f>
        <v>#N/A</v>
      </c>
      <c r="X555" s="19" t="str">
        <f>+VLOOKUP(Ingresos_Historicos[[#This Row],[tema]],Estructura!$A$4:$C$18,3,0)</f>
        <v>T-310</v>
      </c>
      <c r="Y555" s="19" t="str">
        <f>+VLOOKUP(Ingresos_Historicos[[#This Row],[contenido]],Estructura!$E$4:$G$18,3,0)</f>
        <v>C-303</v>
      </c>
      <c r="Z555" s="19" t="str">
        <f>+VLOOKUP(Ingresos_Historicos[[#This Row],[Filtro Integrado]],Estructura!$M$4:$O$367,3,0)</f>
        <v>FI-303</v>
      </c>
      <c r="AA555" s="19" t="str">
        <f>+VLOOKUP(Ingresos_Historicos[[#This Row],[Muestra]],Estructura!$Q$4:$S$194,3,0)</f>
        <v>M-310</v>
      </c>
    </row>
    <row r="556" spans="1:27" ht="51" x14ac:dyDescent="0.3">
      <c r="A556" s="71" t="s">
        <v>942</v>
      </c>
      <c r="B556" s="12">
        <f t="shared" si="110"/>
        <v>300</v>
      </c>
      <c r="C556" s="13" t="str">
        <f t="shared" si="110"/>
        <v>Violencia contra la mujer</v>
      </c>
      <c r="D556" s="13" t="str">
        <f t="shared" si="110"/>
        <v>Mujeres</v>
      </c>
      <c r="E556" s="39">
        <v>52</v>
      </c>
      <c r="F556" s="13" t="s">
        <v>7581</v>
      </c>
      <c r="G556" s="13" t="s">
        <v>7576</v>
      </c>
      <c r="H556" s="38" t="s">
        <v>17</v>
      </c>
      <c r="I556" s="37" t="s">
        <v>238</v>
      </c>
      <c r="J556" s="12" t="s">
        <v>398</v>
      </c>
      <c r="K556" s="12" t="str">
        <f t="shared" si="112"/>
        <v>Sentencias Dictadas por Delitos Vinculados a la Mujer</v>
      </c>
      <c r="L556" s="75" t="str">
        <f t="shared" si="112"/>
        <v>Periodo 2013-2019</v>
      </c>
      <c r="M556" s="12" t="str">
        <f t="shared" si="112"/>
        <v>Número de sentencias</v>
      </c>
      <c r="N556" s="33" t="s">
        <v>5964</v>
      </c>
      <c r="O556" s="27" t="str">
        <f>"Sentencias Dictadas por Delitos Vinculados a la Mujer por Delito en el Juzgado de Garantía de "&amp;Ingresos_Historicos[[#This Row],[territorio]]&amp;" para el Periodo 2013-2019"</f>
        <v>Sentencias Dictadas por Delitos Vinculados a la Mujer por Delito en el Juzgado de Garantía de Villarrica para el Periodo 2013-2019</v>
      </c>
      <c r="P55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Villarrica para el Periodo 2013-2019 de acuerdo a datos provenientes del Poder Judicial de Chile.</v>
      </c>
      <c r="Q556" s="14" t="str">
        <f t="shared" si="111"/>
        <v>Gráfico de Evolución</v>
      </c>
      <c r="R556" s="27" t="s">
        <v>6348</v>
      </c>
      <c r="S556" s="15" t="s">
        <v>6951</v>
      </c>
      <c r="T556" s="65" t="s">
        <v>5915</v>
      </c>
      <c r="U556" s="24" t="s">
        <v>397</v>
      </c>
      <c r="V556" s="19" t="str">
        <f>+Ingresos_Historicos[[#This Row],[idcoleccion]]&amp;"-"&amp;Ingresos_Historicos[[#This Row],[id]]</f>
        <v>300-0546</v>
      </c>
      <c r="W556" s="19" t="e">
        <f>+VLOOKUP(Ingresos_Historicos[[#This Row],[Filtro URL]],Estructura!$X$4:$Y$366,2,0)</f>
        <v>#N/A</v>
      </c>
      <c r="X556" s="19" t="str">
        <f>+VLOOKUP(Ingresos_Historicos[[#This Row],[tema]],Estructura!$A$4:$C$18,3,0)</f>
        <v>T-310</v>
      </c>
      <c r="Y556" s="19" t="str">
        <f>+VLOOKUP(Ingresos_Historicos[[#This Row],[contenido]],Estructura!$E$4:$G$18,3,0)</f>
        <v>C-303</v>
      </c>
      <c r="Z556" s="19" t="str">
        <f>+VLOOKUP(Ingresos_Historicos[[#This Row],[Filtro Integrado]],Estructura!$M$4:$O$367,3,0)</f>
        <v>FI-303</v>
      </c>
      <c r="AA556" s="19" t="str">
        <f>+VLOOKUP(Ingresos_Historicos[[#This Row],[Muestra]],Estructura!$Q$4:$S$194,3,0)</f>
        <v>M-310</v>
      </c>
    </row>
    <row r="557" spans="1:27" ht="51" x14ac:dyDescent="0.3">
      <c r="A557" s="71" t="s">
        <v>943</v>
      </c>
      <c r="B557" s="12">
        <f t="shared" si="110"/>
        <v>300</v>
      </c>
      <c r="C557" s="13" t="str">
        <f t="shared" si="110"/>
        <v>Violencia contra la mujer</v>
      </c>
      <c r="D557" s="13" t="str">
        <f t="shared" si="110"/>
        <v>Mujeres</v>
      </c>
      <c r="E557" s="39">
        <v>53</v>
      </c>
      <c r="F557" s="13" t="s">
        <v>7581</v>
      </c>
      <c r="G557" s="13" t="s">
        <v>7576</v>
      </c>
      <c r="H557" s="38" t="s">
        <v>17</v>
      </c>
      <c r="I557" s="37" t="s">
        <v>261</v>
      </c>
      <c r="J557" s="12" t="s">
        <v>398</v>
      </c>
      <c r="K557" s="12" t="str">
        <f t="shared" si="112"/>
        <v>Sentencias Dictadas por Delitos Vinculados a la Mujer</v>
      </c>
      <c r="L557" s="75" t="str">
        <f t="shared" si="112"/>
        <v>Periodo 2013-2019</v>
      </c>
      <c r="M557" s="12" t="str">
        <f t="shared" si="112"/>
        <v>Número de sentencias</v>
      </c>
      <c r="N557" s="33" t="s">
        <v>5964</v>
      </c>
      <c r="O557" s="27" t="str">
        <f>"Sentencias Dictadas por Delitos Vinculados a la Mujer por Delito en el Juzgado de Garantía de "&amp;Ingresos_Historicos[[#This Row],[territorio]]&amp;" para el Periodo 2013-2019"</f>
        <v>Sentencias Dictadas por Delitos Vinculados a la Mujer por Delito en el Juzgado de Garantía de Ancud para el Periodo 2013-2019</v>
      </c>
      <c r="P55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Ancud para el Periodo 2013-2019 de acuerdo a datos provenientes del Poder Judicial de Chile.</v>
      </c>
      <c r="Q557" s="14" t="str">
        <f t="shared" si="111"/>
        <v>Gráfico de Evolución</v>
      </c>
      <c r="R557" s="27" t="s">
        <v>6348</v>
      </c>
      <c r="S557" s="15" t="s">
        <v>6952</v>
      </c>
      <c r="T557" s="65" t="s">
        <v>5916</v>
      </c>
      <c r="U557" s="24" t="s">
        <v>397</v>
      </c>
      <c r="V557" s="19" t="str">
        <f>+Ingresos_Historicos[[#This Row],[idcoleccion]]&amp;"-"&amp;Ingresos_Historicos[[#This Row],[id]]</f>
        <v>300-0547</v>
      </c>
      <c r="W557" s="19" t="e">
        <f>+VLOOKUP(Ingresos_Historicos[[#This Row],[Filtro URL]],Estructura!$X$4:$Y$366,2,0)</f>
        <v>#N/A</v>
      </c>
      <c r="X557" s="19" t="str">
        <f>+VLOOKUP(Ingresos_Historicos[[#This Row],[tema]],Estructura!$A$4:$C$18,3,0)</f>
        <v>T-310</v>
      </c>
      <c r="Y557" s="19" t="str">
        <f>+VLOOKUP(Ingresos_Historicos[[#This Row],[contenido]],Estructura!$E$4:$G$18,3,0)</f>
        <v>C-303</v>
      </c>
      <c r="Z557" s="19" t="str">
        <f>+VLOOKUP(Ingresos_Historicos[[#This Row],[Filtro Integrado]],Estructura!$M$4:$O$367,3,0)</f>
        <v>FI-303</v>
      </c>
      <c r="AA557" s="19" t="str">
        <f>+VLOOKUP(Ingresos_Historicos[[#This Row],[Muestra]],Estructura!$Q$4:$S$194,3,0)</f>
        <v>M-310</v>
      </c>
    </row>
    <row r="558" spans="1:27" ht="51" x14ac:dyDescent="0.3">
      <c r="A558" s="71" t="s">
        <v>944</v>
      </c>
      <c r="B558" s="12">
        <f t="shared" si="110"/>
        <v>300</v>
      </c>
      <c r="C558" s="13" t="str">
        <f t="shared" si="110"/>
        <v>Violencia contra la mujer</v>
      </c>
      <c r="D558" s="13" t="str">
        <f t="shared" si="110"/>
        <v>Mujeres</v>
      </c>
      <c r="E558" s="39">
        <v>54</v>
      </c>
      <c r="F558" s="13" t="s">
        <v>7581</v>
      </c>
      <c r="G558" s="13" t="s">
        <v>7576</v>
      </c>
      <c r="H558" s="38" t="s">
        <v>17</v>
      </c>
      <c r="I558" s="37" t="s">
        <v>260</v>
      </c>
      <c r="J558" s="12" t="s">
        <v>398</v>
      </c>
      <c r="K558" s="12" t="str">
        <f t="shared" si="112"/>
        <v>Sentencias Dictadas por Delitos Vinculados a la Mujer</v>
      </c>
      <c r="L558" s="75" t="str">
        <f t="shared" si="112"/>
        <v>Periodo 2013-2019</v>
      </c>
      <c r="M558" s="12" t="str">
        <f t="shared" si="112"/>
        <v>Número de sentencias</v>
      </c>
      <c r="N558" s="33" t="s">
        <v>5964</v>
      </c>
      <c r="O558" s="27" t="str">
        <f>"Sentencias Dictadas por Delitos Vinculados a la Mujer por Delito en el Juzgado de Garantía de "&amp;Ingresos_Historicos[[#This Row],[territorio]]&amp;" para el Periodo 2013-2019"</f>
        <v>Sentencias Dictadas por Delitos Vinculados a la Mujer por Delito en el Juzgado de Garantía de Castro para el Periodo 2013-2019</v>
      </c>
      <c r="P55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Castro para el Periodo 2013-2019 de acuerdo a datos provenientes del Poder Judicial de Chile.</v>
      </c>
      <c r="Q558" s="14" t="str">
        <f t="shared" si="111"/>
        <v>Gráfico de Evolución</v>
      </c>
      <c r="R558" s="27" t="s">
        <v>6348</v>
      </c>
      <c r="S558" s="15" t="s">
        <v>6953</v>
      </c>
      <c r="T558" s="65" t="s">
        <v>5916</v>
      </c>
      <c r="U558" s="24" t="s">
        <v>397</v>
      </c>
      <c r="V558" s="19" t="str">
        <f>+Ingresos_Historicos[[#This Row],[idcoleccion]]&amp;"-"&amp;Ingresos_Historicos[[#This Row],[id]]</f>
        <v>300-0548</v>
      </c>
      <c r="W558" s="19" t="e">
        <f>+VLOOKUP(Ingresos_Historicos[[#This Row],[Filtro URL]],Estructura!$X$4:$Y$366,2,0)</f>
        <v>#N/A</v>
      </c>
      <c r="X558" s="19" t="str">
        <f>+VLOOKUP(Ingresos_Historicos[[#This Row],[tema]],Estructura!$A$4:$C$18,3,0)</f>
        <v>T-310</v>
      </c>
      <c r="Y558" s="19" t="str">
        <f>+VLOOKUP(Ingresos_Historicos[[#This Row],[contenido]],Estructura!$E$4:$G$18,3,0)</f>
        <v>C-303</v>
      </c>
      <c r="Z558" s="19" t="str">
        <f>+VLOOKUP(Ingresos_Historicos[[#This Row],[Filtro Integrado]],Estructura!$M$4:$O$367,3,0)</f>
        <v>FI-303</v>
      </c>
      <c r="AA558" s="19" t="str">
        <f>+VLOOKUP(Ingresos_Historicos[[#This Row],[Muestra]],Estructura!$Q$4:$S$194,3,0)</f>
        <v>M-310</v>
      </c>
    </row>
    <row r="559" spans="1:27" ht="51" x14ac:dyDescent="0.3">
      <c r="A559" s="71" t="s">
        <v>945</v>
      </c>
      <c r="B559" s="12">
        <f t="shared" si="110"/>
        <v>300</v>
      </c>
      <c r="C559" s="13" t="str">
        <f t="shared" si="110"/>
        <v>Violencia contra la mujer</v>
      </c>
      <c r="D559" s="13" t="str">
        <f t="shared" si="110"/>
        <v>Mujeres</v>
      </c>
      <c r="E559" s="39">
        <v>55</v>
      </c>
      <c r="F559" s="13" t="s">
        <v>7581</v>
      </c>
      <c r="G559" s="13" t="s">
        <v>7576</v>
      </c>
      <c r="H559" s="38" t="s">
        <v>17</v>
      </c>
      <c r="I559" s="37" t="s">
        <v>270</v>
      </c>
      <c r="J559" s="12" t="s">
        <v>398</v>
      </c>
      <c r="K559" s="12" t="str">
        <f t="shared" si="112"/>
        <v>Sentencias Dictadas por Delitos Vinculados a la Mujer</v>
      </c>
      <c r="L559" s="75" t="str">
        <f t="shared" si="112"/>
        <v>Periodo 2013-2019</v>
      </c>
      <c r="M559" s="12" t="str">
        <f t="shared" si="112"/>
        <v>Número de sentencias</v>
      </c>
      <c r="N559" s="33" t="s">
        <v>5964</v>
      </c>
      <c r="O559" s="27" t="str">
        <f>"Sentencias Dictadas por Delitos Vinculados a la Mujer por Delito en el Juzgado de Garantía de "&amp;Ingresos_Historicos[[#This Row],[territorio]]&amp;" para el Periodo 2013-2019"</f>
        <v>Sentencias Dictadas por Delitos Vinculados a la Mujer por Delito en el Juzgado de Garantía de Osorno para el Periodo 2013-2019</v>
      </c>
      <c r="P55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Osorno para el Periodo 2013-2019 de acuerdo a datos provenientes del Poder Judicial de Chile.</v>
      </c>
      <c r="Q559" s="14" t="str">
        <f t="shared" si="111"/>
        <v>Gráfico de Evolución</v>
      </c>
      <c r="R559" s="27" t="s">
        <v>6348</v>
      </c>
      <c r="S559" s="15" t="s">
        <v>6954</v>
      </c>
      <c r="T559" s="65" t="s">
        <v>5916</v>
      </c>
      <c r="U559" s="24" t="s">
        <v>397</v>
      </c>
      <c r="V559" s="19" t="str">
        <f>+Ingresos_Historicos[[#This Row],[idcoleccion]]&amp;"-"&amp;Ingresos_Historicos[[#This Row],[id]]</f>
        <v>300-0549</v>
      </c>
      <c r="W559" s="19" t="e">
        <f>+VLOOKUP(Ingresos_Historicos[[#This Row],[Filtro URL]],Estructura!$X$4:$Y$366,2,0)</f>
        <v>#N/A</v>
      </c>
      <c r="X559" s="19" t="str">
        <f>+VLOOKUP(Ingresos_Historicos[[#This Row],[tema]],Estructura!$A$4:$C$18,3,0)</f>
        <v>T-310</v>
      </c>
      <c r="Y559" s="19" t="str">
        <f>+VLOOKUP(Ingresos_Historicos[[#This Row],[contenido]],Estructura!$E$4:$G$18,3,0)</f>
        <v>C-303</v>
      </c>
      <c r="Z559" s="19" t="str">
        <f>+VLOOKUP(Ingresos_Historicos[[#This Row],[Filtro Integrado]],Estructura!$M$4:$O$367,3,0)</f>
        <v>FI-303</v>
      </c>
      <c r="AA559" s="19" t="str">
        <f>+VLOOKUP(Ingresos_Historicos[[#This Row],[Muestra]],Estructura!$Q$4:$S$194,3,0)</f>
        <v>M-310</v>
      </c>
    </row>
    <row r="560" spans="1:27" ht="51" x14ac:dyDescent="0.3">
      <c r="A560" s="71" t="s">
        <v>946</v>
      </c>
      <c r="B560" s="12">
        <f t="shared" si="110"/>
        <v>300</v>
      </c>
      <c r="C560" s="13" t="str">
        <f t="shared" si="110"/>
        <v>Violencia contra la mujer</v>
      </c>
      <c r="D560" s="13" t="str">
        <f t="shared" si="110"/>
        <v>Mujeres</v>
      </c>
      <c r="E560" s="39">
        <v>56</v>
      </c>
      <c r="F560" s="13" t="s">
        <v>7581</v>
      </c>
      <c r="G560" s="13" t="s">
        <v>7576</v>
      </c>
      <c r="H560" s="38" t="s">
        <v>17</v>
      </c>
      <c r="I560" s="37" t="s">
        <v>251</v>
      </c>
      <c r="J560" s="12" t="s">
        <v>398</v>
      </c>
      <c r="K560" s="12" t="str">
        <f t="shared" si="112"/>
        <v>Sentencias Dictadas por Delitos Vinculados a la Mujer</v>
      </c>
      <c r="L560" s="75" t="str">
        <f t="shared" si="112"/>
        <v>Periodo 2013-2019</v>
      </c>
      <c r="M560" s="12" t="str">
        <f t="shared" si="112"/>
        <v>Número de sentencias</v>
      </c>
      <c r="N560" s="33" t="s">
        <v>5964</v>
      </c>
      <c r="O560" s="27" t="str">
        <f>"Sentencias Dictadas por Delitos Vinculados a la Mujer por Delito en el Juzgado de Garantía de "&amp;Ingresos_Historicos[[#This Row],[territorio]]&amp;" para el Periodo 2013-2019"</f>
        <v>Sentencias Dictadas por Delitos Vinculados a la Mujer por Delito en el Juzgado de Garantía de Puerto Montt para el Periodo 2013-2019</v>
      </c>
      <c r="P56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Puerto Montt para el Periodo 2013-2019 de acuerdo a datos provenientes del Poder Judicial de Chile.</v>
      </c>
      <c r="Q560" s="14" t="str">
        <f t="shared" si="111"/>
        <v>Gráfico de Evolución</v>
      </c>
      <c r="R560" s="27" t="s">
        <v>6348</v>
      </c>
      <c r="S560" s="15" t="s">
        <v>6955</v>
      </c>
      <c r="T560" s="65" t="s">
        <v>5916</v>
      </c>
      <c r="U560" s="24" t="s">
        <v>397</v>
      </c>
      <c r="V560" s="19" t="str">
        <f>+Ingresos_Historicos[[#This Row],[idcoleccion]]&amp;"-"&amp;Ingresos_Historicos[[#This Row],[id]]</f>
        <v>300-0550</v>
      </c>
      <c r="W560" s="19" t="e">
        <f>+VLOOKUP(Ingresos_Historicos[[#This Row],[Filtro URL]],Estructura!$X$4:$Y$366,2,0)</f>
        <v>#N/A</v>
      </c>
      <c r="X560" s="19" t="str">
        <f>+VLOOKUP(Ingresos_Historicos[[#This Row],[tema]],Estructura!$A$4:$C$18,3,0)</f>
        <v>T-310</v>
      </c>
      <c r="Y560" s="19" t="str">
        <f>+VLOOKUP(Ingresos_Historicos[[#This Row],[contenido]],Estructura!$E$4:$G$18,3,0)</f>
        <v>C-303</v>
      </c>
      <c r="Z560" s="19" t="str">
        <f>+VLOOKUP(Ingresos_Historicos[[#This Row],[Filtro Integrado]],Estructura!$M$4:$O$367,3,0)</f>
        <v>FI-303</v>
      </c>
      <c r="AA560" s="19" t="str">
        <f>+VLOOKUP(Ingresos_Historicos[[#This Row],[Muestra]],Estructura!$Q$4:$S$194,3,0)</f>
        <v>M-310</v>
      </c>
    </row>
    <row r="561" spans="1:27" ht="51" x14ac:dyDescent="0.3">
      <c r="A561" s="71" t="s">
        <v>947</v>
      </c>
      <c r="B561" s="12">
        <f t="shared" si="110"/>
        <v>300</v>
      </c>
      <c r="C561" s="13" t="str">
        <f t="shared" si="110"/>
        <v>Violencia contra la mujer</v>
      </c>
      <c r="D561" s="13" t="str">
        <f t="shared" si="110"/>
        <v>Mujeres</v>
      </c>
      <c r="E561" s="39">
        <v>57</v>
      </c>
      <c r="F561" s="13" t="s">
        <v>7581</v>
      </c>
      <c r="G561" s="13" t="s">
        <v>7576</v>
      </c>
      <c r="H561" s="38" t="s">
        <v>17</v>
      </c>
      <c r="I561" s="37" t="s">
        <v>259</v>
      </c>
      <c r="J561" s="12" t="s">
        <v>398</v>
      </c>
      <c r="K561" s="12" t="str">
        <f t="shared" si="112"/>
        <v>Sentencias Dictadas por Delitos Vinculados a la Mujer</v>
      </c>
      <c r="L561" s="75" t="str">
        <f t="shared" si="112"/>
        <v>Periodo 2013-2019</v>
      </c>
      <c r="M561" s="12" t="str">
        <f t="shared" si="112"/>
        <v>Número de sentencias</v>
      </c>
      <c r="N561" s="33" t="s">
        <v>5964</v>
      </c>
      <c r="O561" s="27" t="str">
        <f>"Sentencias Dictadas por Delitos Vinculados a la Mujer por Delito en el Juzgado de Garantía de "&amp;Ingresos_Historicos[[#This Row],[territorio]]&amp;" para el Periodo 2013-2019"</f>
        <v>Sentencias Dictadas por Delitos Vinculados a la Mujer por Delito en el Juzgado de Garantía de Puerto Varas para el Periodo 2013-2019</v>
      </c>
      <c r="P56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Puerto Varas para el Periodo 2013-2019 de acuerdo a datos provenientes del Poder Judicial de Chile.</v>
      </c>
      <c r="Q561" s="14" t="str">
        <f t="shared" si="111"/>
        <v>Gráfico de Evolución</v>
      </c>
      <c r="R561" s="27" t="s">
        <v>6348</v>
      </c>
      <c r="S561" s="15" t="s">
        <v>6956</v>
      </c>
      <c r="T561" s="65" t="s">
        <v>5916</v>
      </c>
      <c r="U561" s="24" t="s">
        <v>397</v>
      </c>
      <c r="V561" s="19" t="str">
        <f>+Ingresos_Historicos[[#This Row],[idcoleccion]]&amp;"-"&amp;Ingresos_Historicos[[#This Row],[id]]</f>
        <v>300-0551</v>
      </c>
      <c r="W561" s="19" t="e">
        <f>+VLOOKUP(Ingresos_Historicos[[#This Row],[Filtro URL]],Estructura!$X$4:$Y$366,2,0)</f>
        <v>#N/A</v>
      </c>
      <c r="X561" s="19" t="str">
        <f>+VLOOKUP(Ingresos_Historicos[[#This Row],[tema]],Estructura!$A$4:$C$18,3,0)</f>
        <v>T-310</v>
      </c>
      <c r="Y561" s="19" t="str">
        <f>+VLOOKUP(Ingresos_Historicos[[#This Row],[contenido]],Estructura!$E$4:$G$18,3,0)</f>
        <v>C-303</v>
      </c>
      <c r="Z561" s="19" t="str">
        <f>+VLOOKUP(Ingresos_Historicos[[#This Row],[Filtro Integrado]],Estructura!$M$4:$O$367,3,0)</f>
        <v>FI-303</v>
      </c>
      <c r="AA561" s="19" t="str">
        <f>+VLOOKUP(Ingresos_Historicos[[#This Row],[Muestra]],Estructura!$Q$4:$S$194,3,0)</f>
        <v>M-310</v>
      </c>
    </row>
    <row r="562" spans="1:27" ht="51" x14ac:dyDescent="0.3">
      <c r="A562" s="71" t="s">
        <v>948</v>
      </c>
      <c r="B562" s="12">
        <f t="shared" si="110"/>
        <v>300</v>
      </c>
      <c r="C562" s="13" t="str">
        <f t="shared" si="110"/>
        <v>Violencia contra la mujer</v>
      </c>
      <c r="D562" s="13" t="str">
        <f t="shared" si="110"/>
        <v>Mujeres</v>
      </c>
      <c r="E562" s="39">
        <v>58</v>
      </c>
      <c r="F562" s="13" t="s">
        <v>7581</v>
      </c>
      <c r="G562" s="13" t="s">
        <v>7576</v>
      </c>
      <c r="H562" s="38" t="s">
        <v>17</v>
      </c>
      <c r="I562" s="37" t="s">
        <v>6072</v>
      </c>
      <c r="J562" s="12" t="s">
        <v>398</v>
      </c>
      <c r="K562" s="12" t="str">
        <f t="shared" si="112"/>
        <v>Sentencias Dictadas por Delitos Vinculados a la Mujer</v>
      </c>
      <c r="L562" s="75" t="str">
        <f t="shared" si="112"/>
        <v>Periodo 2013-2019</v>
      </c>
      <c r="M562" s="12" t="str">
        <f t="shared" si="112"/>
        <v>Número de sentencias</v>
      </c>
      <c r="N562" s="33" t="s">
        <v>5964</v>
      </c>
      <c r="O562" s="27" t="str">
        <f>"Sentencias Dictadas por Delitos Vinculados a la Mujer por Delito en el Juzgado de Garantía de "&amp;Ingresos_Historicos[[#This Row],[territorio]]&amp;" para el Periodo 2013-2019"</f>
        <v>Sentencias Dictadas por Delitos Vinculados a la Mujer por Delito en el Juzgado de Garantía de Rio Negro para el Periodo 2013-2019</v>
      </c>
      <c r="P56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Rio Negro para el Periodo 2013-2019 de acuerdo a datos provenientes del Poder Judicial de Chile.</v>
      </c>
      <c r="Q562" s="14" t="str">
        <f t="shared" si="111"/>
        <v>Gráfico de Evolución</v>
      </c>
      <c r="R562" s="27" t="s">
        <v>6348</v>
      </c>
      <c r="S562" s="15" t="s">
        <v>6957</v>
      </c>
      <c r="T562" s="65" t="s">
        <v>5916</v>
      </c>
      <c r="U562" s="24" t="s">
        <v>397</v>
      </c>
      <c r="V562" s="19" t="str">
        <f>+Ingresos_Historicos[[#This Row],[idcoleccion]]&amp;"-"&amp;Ingresos_Historicos[[#This Row],[id]]</f>
        <v>300-0552</v>
      </c>
      <c r="W562" s="19" t="e">
        <f>+VLOOKUP(Ingresos_Historicos[[#This Row],[Filtro URL]],Estructura!$X$4:$Y$366,2,0)</f>
        <v>#N/A</v>
      </c>
      <c r="X562" s="19" t="str">
        <f>+VLOOKUP(Ingresos_Historicos[[#This Row],[tema]],Estructura!$A$4:$C$18,3,0)</f>
        <v>T-310</v>
      </c>
      <c r="Y562" s="19" t="str">
        <f>+VLOOKUP(Ingresos_Historicos[[#This Row],[contenido]],Estructura!$E$4:$G$18,3,0)</f>
        <v>C-303</v>
      </c>
      <c r="Z562" s="19" t="str">
        <f>+VLOOKUP(Ingresos_Historicos[[#This Row],[Filtro Integrado]],Estructura!$M$4:$O$367,3,0)</f>
        <v>FI-303</v>
      </c>
      <c r="AA562" s="19" t="str">
        <f>+VLOOKUP(Ingresos_Historicos[[#This Row],[Muestra]],Estructura!$Q$4:$S$194,3,0)</f>
        <v>M-310</v>
      </c>
    </row>
    <row r="563" spans="1:27" ht="51" x14ac:dyDescent="0.3">
      <c r="A563" s="71" t="s">
        <v>949</v>
      </c>
      <c r="B563" s="12">
        <f t="shared" si="110"/>
        <v>300</v>
      </c>
      <c r="C563" s="13" t="str">
        <f t="shared" si="110"/>
        <v>Violencia contra la mujer</v>
      </c>
      <c r="D563" s="13" t="str">
        <f t="shared" si="110"/>
        <v>Mujeres</v>
      </c>
      <c r="E563" s="39">
        <v>59</v>
      </c>
      <c r="F563" s="13" t="s">
        <v>7581</v>
      </c>
      <c r="G563" s="13" t="s">
        <v>7576</v>
      </c>
      <c r="H563" s="38" t="s">
        <v>17</v>
      </c>
      <c r="I563" s="37" t="s">
        <v>6074</v>
      </c>
      <c r="J563" s="12" t="s">
        <v>398</v>
      </c>
      <c r="K563" s="12" t="str">
        <f t="shared" si="112"/>
        <v>Sentencias Dictadas por Delitos Vinculados a la Mujer</v>
      </c>
      <c r="L563" s="75" t="str">
        <f t="shared" si="112"/>
        <v>Periodo 2013-2019</v>
      </c>
      <c r="M563" s="12" t="str">
        <f t="shared" si="112"/>
        <v>Número de sentencias</v>
      </c>
      <c r="N563" s="33" t="s">
        <v>5964</v>
      </c>
      <c r="O563" s="27" t="str">
        <f>"Sentencias Dictadas por Delitos Vinculados a la Mujer por Delito en el Juzgado de Garantía de "&amp;Ingresos_Historicos[[#This Row],[territorio]]&amp;" para el Periodo 2013-2019"</f>
        <v>Sentencias Dictadas por Delitos Vinculados a la Mujer por Delito en el Juzgado de Garantía de Coyhaique para el Periodo 2013-2019</v>
      </c>
      <c r="P56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Coyhaique para el Periodo 2013-2019 de acuerdo a datos provenientes del Poder Judicial de Chile.</v>
      </c>
      <c r="Q563" s="14" t="str">
        <f t="shared" si="111"/>
        <v>Gráfico de Evolución</v>
      </c>
      <c r="R563" s="27" t="s">
        <v>6348</v>
      </c>
      <c r="S563" s="15" t="s">
        <v>6958</v>
      </c>
      <c r="T563" s="65" t="s">
        <v>5917</v>
      </c>
      <c r="U563" s="24" t="s">
        <v>397</v>
      </c>
      <c r="V563" s="19" t="str">
        <f>+Ingresos_Historicos[[#This Row],[idcoleccion]]&amp;"-"&amp;Ingresos_Historicos[[#This Row],[id]]</f>
        <v>300-0553</v>
      </c>
      <c r="W563" s="19" t="e">
        <f>+VLOOKUP(Ingresos_Historicos[[#This Row],[Filtro URL]],Estructura!$X$4:$Y$366,2,0)</f>
        <v>#N/A</v>
      </c>
      <c r="X563" s="19" t="str">
        <f>+VLOOKUP(Ingresos_Historicos[[#This Row],[tema]],Estructura!$A$4:$C$18,3,0)</f>
        <v>T-310</v>
      </c>
      <c r="Y563" s="19" t="str">
        <f>+VLOOKUP(Ingresos_Historicos[[#This Row],[contenido]],Estructura!$E$4:$G$18,3,0)</f>
        <v>C-303</v>
      </c>
      <c r="Z563" s="19" t="str">
        <f>+VLOOKUP(Ingresos_Historicos[[#This Row],[Filtro Integrado]],Estructura!$M$4:$O$367,3,0)</f>
        <v>FI-303</v>
      </c>
      <c r="AA563" s="19" t="str">
        <f>+VLOOKUP(Ingresos_Historicos[[#This Row],[Muestra]],Estructura!$Q$4:$S$194,3,0)</f>
        <v>M-310</v>
      </c>
    </row>
    <row r="564" spans="1:27" ht="51" x14ac:dyDescent="0.3">
      <c r="A564" s="71" t="s">
        <v>950</v>
      </c>
      <c r="B564" s="12">
        <f t="shared" si="110"/>
        <v>300</v>
      </c>
      <c r="C564" s="13" t="str">
        <f t="shared" si="110"/>
        <v>Violencia contra la mujer</v>
      </c>
      <c r="D564" s="13" t="str">
        <f t="shared" si="110"/>
        <v>Mujeres</v>
      </c>
      <c r="E564" s="39">
        <v>60</v>
      </c>
      <c r="F564" s="13" t="s">
        <v>7581</v>
      </c>
      <c r="G564" s="13" t="s">
        <v>7576</v>
      </c>
      <c r="H564" s="38" t="s">
        <v>17</v>
      </c>
      <c r="I564" s="37" t="s">
        <v>290</v>
      </c>
      <c r="J564" s="12" t="s">
        <v>398</v>
      </c>
      <c r="K564" s="12" t="str">
        <f t="shared" si="112"/>
        <v>Sentencias Dictadas por Delitos Vinculados a la Mujer</v>
      </c>
      <c r="L564" s="75" t="str">
        <f t="shared" si="112"/>
        <v>Periodo 2013-2019</v>
      </c>
      <c r="M564" s="12" t="str">
        <f t="shared" si="112"/>
        <v>Número de sentencias</v>
      </c>
      <c r="N564" s="33" t="s">
        <v>5964</v>
      </c>
      <c r="O564" s="27" t="str">
        <f>"Sentencias Dictadas por Delitos Vinculados a la Mujer por Delito en el Juzgado de Garantía de "&amp;Ingresos_Historicos[[#This Row],[territorio]]&amp;" para el Periodo 2013-2019"</f>
        <v>Sentencias Dictadas por Delitos Vinculados a la Mujer por Delito en el Juzgado de Garantía de Punta Arenas para el Periodo 2013-2019</v>
      </c>
      <c r="P56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Punta Arenas para el Periodo 2013-2019 de acuerdo a datos provenientes del Poder Judicial de Chile.</v>
      </c>
      <c r="Q564" s="14" t="str">
        <f t="shared" si="111"/>
        <v>Gráfico de Evolución</v>
      </c>
      <c r="R564" s="27" t="s">
        <v>6348</v>
      </c>
      <c r="S564" s="15" t="s">
        <v>6959</v>
      </c>
      <c r="T564" s="65" t="s">
        <v>5918</v>
      </c>
      <c r="U564" s="24" t="s">
        <v>397</v>
      </c>
      <c r="V564" s="19" t="str">
        <f>+Ingresos_Historicos[[#This Row],[idcoleccion]]&amp;"-"&amp;Ingresos_Historicos[[#This Row],[id]]</f>
        <v>300-0554</v>
      </c>
      <c r="W564" s="19" t="e">
        <f>+VLOOKUP(Ingresos_Historicos[[#This Row],[Filtro URL]],Estructura!$X$4:$Y$366,2,0)</f>
        <v>#N/A</v>
      </c>
      <c r="X564" s="19" t="str">
        <f>+VLOOKUP(Ingresos_Historicos[[#This Row],[tema]],Estructura!$A$4:$C$18,3,0)</f>
        <v>T-310</v>
      </c>
      <c r="Y564" s="19" t="str">
        <f>+VLOOKUP(Ingresos_Historicos[[#This Row],[contenido]],Estructura!$E$4:$G$18,3,0)</f>
        <v>C-303</v>
      </c>
      <c r="Z564" s="19" t="str">
        <f>+VLOOKUP(Ingresos_Historicos[[#This Row],[Filtro Integrado]],Estructura!$M$4:$O$367,3,0)</f>
        <v>FI-303</v>
      </c>
      <c r="AA564" s="19" t="str">
        <f>+VLOOKUP(Ingresos_Historicos[[#This Row],[Muestra]],Estructura!$Q$4:$S$194,3,0)</f>
        <v>M-310</v>
      </c>
    </row>
    <row r="565" spans="1:27" ht="51" x14ac:dyDescent="0.3">
      <c r="A565" s="71" t="s">
        <v>951</v>
      </c>
      <c r="B565" s="12">
        <f t="shared" si="110"/>
        <v>300</v>
      </c>
      <c r="C565" s="13" t="str">
        <f t="shared" si="110"/>
        <v>Violencia contra la mujer</v>
      </c>
      <c r="D565" s="13" t="str">
        <f t="shared" si="110"/>
        <v>Mujeres</v>
      </c>
      <c r="E565" s="39">
        <v>61</v>
      </c>
      <c r="F565" s="13" t="s">
        <v>7581</v>
      </c>
      <c r="G565" s="13" t="s">
        <v>7576</v>
      </c>
      <c r="H565" s="38" t="s">
        <v>17</v>
      </c>
      <c r="I565" s="37" t="s">
        <v>300</v>
      </c>
      <c r="J565" s="12" t="s">
        <v>398</v>
      </c>
      <c r="K565" s="12" t="str">
        <f t="shared" si="112"/>
        <v>Sentencias Dictadas por Delitos Vinculados a la Mujer</v>
      </c>
      <c r="L565" s="75" t="str">
        <f t="shared" si="112"/>
        <v>Periodo 2013-2019</v>
      </c>
      <c r="M565" s="12" t="str">
        <f t="shared" si="112"/>
        <v>Número de sentencias</v>
      </c>
      <c r="N565" s="33" t="s">
        <v>5964</v>
      </c>
      <c r="O565"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6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65" s="14" t="str">
        <f t="shared" si="111"/>
        <v>Gráfico de Evolución</v>
      </c>
      <c r="R565" s="27" t="s">
        <v>6348</v>
      </c>
      <c r="S565" s="15" t="s">
        <v>6960</v>
      </c>
      <c r="T565" s="65" t="s">
        <v>5919</v>
      </c>
      <c r="U565" s="24" t="s">
        <v>397</v>
      </c>
      <c r="V565" s="19" t="str">
        <f>+Ingresos_Historicos[[#This Row],[idcoleccion]]&amp;"-"&amp;Ingresos_Historicos[[#This Row],[id]]</f>
        <v>300-0555</v>
      </c>
      <c r="W565" s="19" t="e">
        <f>+VLOOKUP(Ingresos_Historicos[[#This Row],[Filtro URL]],Estructura!$X$4:$Y$366,2,0)</f>
        <v>#N/A</v>
      </c>
      <c r="X565" s="19" t="str">
        <f>+VLOOKUP(Ingresos_Historicos[[#This Row],[tema]],Estructura!$A$4:$C$18,3,0)</f>
        <v>T-310</v>
      </c>
      <c r="Y565" s="19" t="str">
        <f>+VLOOKUP(Ingresos_Historicos[[#This Row],[contenido]],Estructura!$E$4:$G$18,3,0)</f>
        <v>C-303</v>
      </c>
      <c r="Z565" s="19" t="str">
        <f>+VLOOKUP(Ingresos_Historicos[[#This Row],[Filtro Integrado]],Estructura!$M$4:$O$367,3,0)</f>
        <v>FI-303</v>
      </c>
      <c r="AA565" s="19" t="str">
        <f>+VLOOKUP(Ingresos_Historicos[[#This Row],[Muestra]],Estructura!$Q$4:$S$194,3,0)</f>
        <v>M-310</v>
      </c>
    </row>
    <row r="566" spans="1:27" ht="51" x14ac:dyDescent="0.3">
      <c r="A566" s="71" t="s">
        <v>952</v>
      </c>
      <c r="B566" s="12">
        <f t="shared" ref="B566:D581" si="113">+B565</f>
        <v>300</v>
      </c>
      <c r="C566" s="13" t="str">
        <f t="shared" si="113"/>
        <v>Violencia contra la mujer</v>
      </c>
      <c r="D566" s="13" t="str">
        <f t="shared" si="113"/>
        <v>Mujeres</v>
      </c>
      <c r="E566" s="39">
        <v>62</v>
      </c>
      <c r="F566" s="13" t="s">
        <v>7581</v>
      </c>
      <c r="G566" s="13" t="s">
        <v>7576</v>
      </c>
      <c r="H566" s="38" t="s">
        <v>17</v>
      </c>
      <c r="I566" s="37" t="s">
        <v>300</v>
      </c>
      <c r="J566" s="12" t="s">
        <v>398</v>
      </c>
      <c r="K566" s="12" t="str">
        <f t="shared" si="112"/>
        <v>Sentencias Dictadas por Delitos Vinculados a la Mujer</v>
      </c>
      <c r="L566" s="75" t="str">
        <f t="shared" si="112"/>
        <v>Periodo 2013-2019</v>
      </c>
      <c r="M566" s="12" t="str">
        <f t="shared" si="112"/>
        <v>Número de sentencias</v>
      </c>
      <c r="N566" s="33" t="s">
        <v>5964</v>
      </c>
      <c r="O566"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6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66" s="14" t="str">
        <f t="shared" si="111"/>
        <v>Gráfico de Evolución</v>
      </c>
      <c r="R566" s="27" t="s">
        <v>6348</v>
      </c>
      <c r="S566" s="15" t="s">
        <v>6961</v>
      </c>
      <c r="T566" s="65" t="s">
        <v>5919</v>
      </c>
      <c r="U566" s="24" t="s">
        <v>397</v>
      </c>
      <c r="V566" s="19" t="str">
        <f>+Ingresos_Historicos[[#This Row],[idcoleccion]]&amp;"-"&amp;Ingresos_Historicos[[#This Row],[id]]</f>
        <v>300-0556</v>
      </c>
      <c r="W566" s="19" t="e">
        <f>+VLOOKUP(Ingresos_Historicos[[#This Row],[Filtro URL]],Estructura!$X$4:$Y$366,2,0)</f>
        <v>#N/A</v>
      </c>
      <c r="X566" s="19" t="str">
        <f>+VLOOKUP(Ingresos_Historicos[[#This Row],[tema]],Estructura!$A$4:$C$18,3,0)</f>
        <v>T-310</v>
      </c>
      <c r="Y566" s="19" t="str">
        <f>+VLOOKUP(Ingresos_Historicos[[#This Row],[contenido]],Estructura!$E$4:$G$18,3,0)</f>
        <v>C-303</v>
      </c>
      <c r="Z566" s="19" t="str">
        <f>+VLOOKUP(Ingresos_Historicos[[#This Row],[Filtro Integrado]],Estructura!$M$4:$O$367,3,0)</f>
        <v>FI-303</v>
      </c>
      <c r="AA566" s="19" t="str">
        <f>+VLOOKUP(Ingresos_Historicos[[#This Row],[Muestra]],Estructura!$Q$4:$S$194,3,0)</f>
        <v>M-310</v>
      </c>
    </row>
    <row r="567" spans="1:27" ht="51" x14ac:dyDescent="0.3">
      <c r="A567" s="71" t="s">
        <v>953</v>
      </c>
      <c r="B567" s="12">
        <f t="shared" si="113"/>
        <v>300</v>
      </c>
      <c r="C567" s="13" t="str">
        <f t="shared" si="113"/>
        <v>Violencia contra la mujer</v>
      </c>
      <c r="D567" s="13" t="str">
        <f t="shared" si="113"/>
        <v>Mujeres</v>
      </c>
      <c r="E567" s="39">
        <v>63</v>
      </c>
      <c r="F567" s="13" t="s">
        <v>7581</v>
      </c>
      <c r="G567" s="13" t="s">
        <v>7576</v>
      </c>
      <c r="H567" s="38" t="s">
        <v>17</v>
      </c>
      <c r="I567" s="37" t="s">
        <v>300</v>
      </c>
      <c r="J567" s="12" t="s">
        <v>398</v>
      </c>
      <c r="K567" s="12" t="str">
        <f t="shared" si="112"/>
        <v>Sentencias Dictadas por Delitos Vinculados a la Mujer</v>
      </c>
      <c r="L567" s="75" t="str">
        <f t="shared" si="112"/>
        <v>Periodo 2013-2019</v>
      </c>
      <c r="M567" s="12" t="str">
        <f t="shared" si="112"/>
        <v>Número de sentencias</v>
      </c>
      <c r="N567" s="33" t="s">
        <v>5964</v>
      </c>
      <c r="O567"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6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67" s="14" t="str">
        <f t="shared" si="111"/>
        <v>Gráfico de Evolución</v>
      </c>
      <c r="R567" s="27" t="s">
        <v>6348</v>
      </c>
      <c r="S567" s="15" t="s">
        <v>6962</v>
      </c>
      <c r="T567" s="65" t="s">
        <v>5919</v>
      </c>
      <c r="U567" s="24" t="s">
        <v>397</v>
      </c>
      <c r="V567" s="19" t="str">
        <f>+Ingresos_Historicos[[#This Row],[idcoleccion]]&amp;"-"&amp;Ingresos_Historicos[[#This Row],[id]]</f>
        <v>300-0557</v>
      </c>
      <c r="W567" s="19" t="e">
        <f>+VLOOKUP(Ingresos_Historicos[[#This Row],[Filtro URL]],Estructura!$X$4:$Y$366,2,0)</f>
        <v>#N/A</v>
      </c>
      <c r="X567" s="19" t="str">
        <f>+VLOOKUP(Ingresos_Historicos[[#This Row],[tema]],Estructura!$A$4:$C$18,3,0)</f>
        <v>T-310</v>
      </c>
      <c r="Y567" s="19" t="str">
        <f>+VLOOKUP(Ingresos_Historicos[[#This Row],[contenido]],Estructura!$E$4:$G$18,3,0)</f>
        <v>C-303</v>
      </c>
      <c r="Z567" s="19" t="str">
        <f>+VLOOKUP(Ingresos_Historicos[[#This Row],[Filtro Integrado]],Estructura!$M$4:$O$367,3,0)</f>
        <v>FI-303</v>
      </c>
      <c r="AA567" s="19" t="str">
        <f>+VLOOKUP(Ingresos_Historicos[[#This Row],[Muestra]],Estructura!$Q$4:$S$194,3,0)</f>
        <v>M-310</v>
      </c>
    </row>
    <row r="568" spans="1:27" ht="51" x14ac:dyDescent="0.3">
      <c r="A568" s="71" t="s">
        <v>954</v>
      </c>
      <c r="B568" s="12">
        <f t="shared" si="113"/>
        <v>300</v>
      </c>
      <c r="C568" s="13" t="str">
        <f t="shared" si="113"/>
        <v>Violencia contra la mujer</v>
      </c>
      <c r="D568" s="13" t="str">
        <f t="shared" si="113"/>
        <v>Mujeres</v>
      </c>
      <c r="E568" s="39">
        <v>64</v>
      </c>
      <c r="F568" s="13" t="s">
        <v>7581</v>
      </c>
      <c r="G568" s="13" t="s">
        <v>7576</v>
      </c>
      <c r="H568" s="38" t="s">
        <v>17</v>
      </c>
      <c r="I568" s="37" t="s">
        <v>300</v>
      </c>
      <c r="J568" s="12" t="s">
        <v>398</v>
      </c>
      <c r="K568" s="12" t="str">
        <f t="shared" ref="K568:M583" si="114">+K567</f>
        <v>Sentencias Dictadas por Delitos Vinculados a la Mujer</v>
      </c>
      <c r="L568" s="75" t="str">
        <f t="shared" si="114"/>
        <v>Periodo 2013-2019</v>
      </c>
      <c r="M568" s="12" t="str">
        <f t="shared" si="114"/>
        <v>Número de sentencias</v>
      </c>
      <c r="N568" s="33" t="s">
        <v>5964</v>
      </c>
      <c r="O568"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6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68" s="14" t="str">
        <f t="shared" si="111"/>
        <v>Gráfico de Evolución</v>
      </c>
      <c r="R568" s="27" t="s">
        <v>6348</v>
      </c>
      <c r="S568" s="15" t="s">
        <v>6963</v>
      </c>
      <c r="T568" s="65" t="s">
        <v>5919</v>
      </c>
      <c r="U568" s="24" t="s">
        <v>397</v>
      </c>
      <c r="V568" s="19" t="str">
        <f>+Ingresos_Historicos[[#This Row],[idcoleccion]]&amp;"-"&amp;Ingresos_Historicos[[#This Row],[id]]</f>
        <v>300-0558</v>
      </c>
      <c r="W568" s="19" t="e">
        <f>+VLOOKUP(Ingresos_Historicos[[#This Row],[Filtro URL]],Estructura!$X$4:$Y$366,2,0)</f>
        <v>#N/A</v>
      </c>
      <c r="X568" s="19" t="str">
        <f>+VLOOKUP(Ingresos_Historicos[[#This Row],[tema]],Estructura!$A$4:$C$18,3,0)</f>
        <v>T-310</v>
      </c>
      <c r="Y568" s="19" t="str">
        <f>+VLOOKUP(Ingresos_Historicos[[#This Row],[contenido]],Estructura!$E$4:$G$18,3,0)</f>
        <v>C-303</v>
      </c>
      <c r="Z568" s="19" t="str">
        <f>+VLOOKUP(Ingresos_Historicos[[#This Row],[Filtro Integrado]],Estructura!$M$4:$O$367,3,0)</f>
        <v>FI-303</v>
      </c>
      <c r="AA568" s="19" t="str">
        <f>+VLOOKUP(Ingresos_Historicos[[#This Row],[Muestra]],Estructura!$Q$4:$S$194,3,0)</f>
        <v>M-310</v>
      </c>
    </row>
    <row r="569" spans="1:27" ht="51" x14ac:dyDescent="0.3">
      <c r="A569" s="71" t="s">
        <v>955</v>
      </c>
      <c r="B569" s="12">
        <f t="shared" si="113"/>
        <v>300</v>
      </c>
      <c r="C569" s="13" t="str">
        <f t="shared" si="113"/>
        <v>Violencia contra la mujer</v>
      </c>
      <c r="D569" s="13" t="str">
        <f t="shared" si="113"/>
        <v>Mujeres</v>
      </c>
      <c r="E569" s="39">
        <v>65</v>
      </c>
      <c r="F569" s="13" t="s">
        <v>7581</v>
      </c>
      <c r="G569" s="13" t="s">
        <v>7576</v>
      </c>
      <c r="H569" s="38" t="s">
        <v>17</v>
      </c>
      <c r="I569" s="37" t="s">
        <v>300</v>
      </c>
      <c r="J569" s="12" t="s">
        <v>398</v>
      </c>
      <c r="K569" s="12" t="str">
        <f t="shared" si="114"/>
        <v>Sentencias Dictadas por Delitos Vinculados a la Mujer</v>
      </c>
      <c r="L569" s="75" t="str">
        <f t="shared" si="114"/>
        <v>Periodo 2013-2019</v>
      </c>
      <c r="M569" s="12" t="str">
        <f t="shared" si="114"/>
        <v>Número de sentencias</v>
      </c>
      <c r="N569" s="33" t="s">
        <v>5964</v>
      </c>
      <c r="O569"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6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69" s="14" t="str">
        <f t="shared" si="111"/>
        <v>Gráfico de Evolución</v>
      </c>
      <c r="R569" s="27" t="s">
        <v>6348</v>
      </c>
      <c r="S569" s="15" t="s">
        <v>6964</v>
      </c>
      <c r="T569" s="65" t="s">
        <v>5919</v>
      </c>
      <c r="U569" s="24" t="s">
        <v>397</v>
      </c>
      <c r="V569" s="19" t="str">
        <f>+Ingresos_Historicos[[#This Row],[idcoleccion]]&amp;"-"&amp;Ingresos_Historicos[[#This Row],[id]]</f>
        <v>300-0559</v>
      </c>
      <c r="W569" s="19" t="e">
        <f>+VLOOKUP(Ingresos_Historicos[[#This Row],[Filtro URL]],Estructura!$X$4:$Y$366,2,0)</f>
        <v>#N/A</v>
      </c>
      <c r="X569" s="19" t="str">
        <f>+VLOOKUP(Ingresos_Historicos[[#This Row],[tema]],Estructura!$A$4:$C$18,3,0)</f>
        <v>T-310</v>
      </c>
      <c r="Y569" s="19" t="str">
        <f>+VLOOKUP(Ingresos_Historicos[[#This Row],[contenido]],Estructura!$E$4:$G$18,3,0)</f>
        <v>C-303</v>
      </c>
      <c r="Z569" s="19" t="str">
        <f>+VLOOKUP(Ingresos_Historicos[[#This Row],[Filtro Integrado]],Estructura!$M$4:$O$367,3,0)</f>
        <v>FI-303</v>
      </c>
      <c r="AA569" s="19" t="str">
        <f>+VLOOKUP(Ingresos_Historicos[[#This Row],[Muestra]],Estructura!$Q$4:$S$194,3,0)</f>
        <v>M-310</v>
      </c>
    </row>
    <row r="570" spans="1:27" ht="51" x14ac:dyDescent="0.3">
      <c r="A570" s="71" t="s">
        <v>956</v>
      </c>
      <c r="B570" s="12">
        <f t="shared" si="113"/>
        <v>300</v>
      </c>
      <c r="C570" s="13" t="str">
        <f t="shared" si="113"/>
        <v>Violencia contra la mujer</v>
      </c>
      <c r="D570" s="13" t="str">
        <f t="shared" si="113"/>
        <v>Mujeres</v>
      </c>
      <c r="E570" s="39">
        <v>66</v>
      </c>
      <c r="F570" s="13" t="s">
        <v>7581</v>
      </c>
      <c r="G570" s="13" t="s">
        <v>7576</v>
      </c>
      <c r="H570" s="38" t="s">
        <v>17</v>
      </c>
      <c r="I570" s="37" t="s">
        <v>300</v>
      </c>
      <c r="J570" s="12" t="s">
        <v>398</v>
      </c>
      <c r="K570" s="12" t="str">
        <f t="shared" si="114"/>
        <v>Sentencias Dictadas por Delitos Vinculados a la Mujer</v>
      </c>
      <c r="L570" s="75" t="str">
        <f t="shared" si="114"/>
        <v>Periodo 2013-2019</v>
      </c>
      <c r="M570" s="12" t="str">
        <f t="shared" si="114"/>
        <v>Número de sentencias</v>
      </c>
      <c r="N570" s="33" t="s">
        <v>5964</v>
      </c>
      <c r="O570"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0" s="14" t="str">
        <f t="shared" si="111"/>
        <v>Gráfico de Evolución</v>
      </c>
      <c r="R570" s="27" t="s">
        <v>6348</v>
      </c>
      <c r="S570" s="15" t="s">
        <v>6965</v>
      </c>
      <c r="T570" s="65" t="s">
        <v>5919</v>
      </c>
      <c r="U570" s="24" t="s">
        <v>397</v>
      </c>
      <c r="V570" s="19" t="str">
        <f>+Ingresos_Historicos[[#This Row],[idcoleccion]]&amp;"-"&amp;Ingresos_Historicos[[#This Row],[id]]</f>
        <v>300-0560</v>
      </c>
      <c r="W570" s="19" t="e">
        <f>+VLOOKUP(Ingresos_Historicos[[#This Row],[Filtro URL]],Estructura!$X$4:$Y$366,2,0)</f>
        <v>#N/A</v>
      </c>
      <c r="X570" s="19" t="str">
        <f>+VLOOKUP(Ingresos_Historicos[[#This Row],[tema]],Estructura!$A$4:$C$18,3,0)</f>
        <v>T-310</v>
      </c>
      <c r="Y570" s="19" t="str">
        <f>+VLOOKUP(Ingresos_Historicos[[#This Row],[contenido]],Estructura!$E$4:$G$18,3,0)</f>
        <v>C-303</v>
      </c>
      <c r="Z570" s="19" t="str">
        <f>+VLOOKUP(Ingresos_Historicos[[#This Row],[Filtro Integrado]],Estructura!$M$4:$O$367,3,0)</f>
        <v>FI-303</v>
      </c>
      <c r="AA570" s="19" t="str">
        <f>+VLOOKUP(Ingresos_Historicos[[#This Row],[Muestra]],Estructura!$Q$4:$S$194,3,0)</f>
        <v>M-310</v>
      </c>
    </row>
    <row r="571" spans="1:27" ht="51" x14ac:dyDescent="0.3">
      <c r="A571" s="71" t="s">
        <v>957</v>
      </c>
      <c r="B571" s="12">
        <f t="shared" si="113"/>
        <v>300</v>
      </c>
      <c r="C571" s="13" t="str">
        <f t="shared" si="113"/>
        <v>Violencia contra la mujer</v>
      </c>
      <c r="D571" s="13" t="str">
        <f t="shared" si="113"/>
        <v>Mujeres</v>
      </c>
      <c r="E571" s="39">
        <v>67</v>
      </c>
      <c r="F571" s="13" t="s">
        <v>7581</v>
      </c>
      <c r="G571" s="13" t="s">
        <v>7576</v>
      </c>
      <c r="H571" s="38" t="s">
        <v>17</v>
      </c>
      <c r="I571" s="37" t="s">
        <v>300</v>
      </c>
      <c r="J571" s="12" t="s">
        <v>398</v>
      </c>
      <c r="K571" s="12" t="str">
        <f t="shared" si="114"/>
        <v>Sentencias Dictadas por Delitos Vinculados a la Mujer</v>
      </c>
      <c r="L571" s="75" t="str">
        <f t="shared" si="114"/>
        <v>Periodo 2013-2019</v>
      </c>
      <c r="M571" s="12" t="str">
        <f t="shared" si="114"/>
        <v>Número de sentencias</v>
      </c>
      <c r="N571" s="33" t="s">
        <v>5964</v>
      </c>
      <c r="O571"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1" s="14" t="str">
        <f t="shared" si="111"/>
        <v>Gráfico de Evolución</v>
      </c>
      <c r="R571" s="27" t="s">
        <v>6348</v>
      </c>
      <c r="S571" s="15" t="s">
        <v>6966</v>
      </c>
      <c r="T571" s="65" t="s">
        <v>5919</v>
      </c>
      <c r="U571" s="24" t="s">
        <v>397</v>
      </c>
      <c r="V571" s="19" t="str">
        <f>+Ingresos_Historicos[[#This Row],[idcoleccion]]&amp;"-"&amp;Ingresos_Historicos[[#This Row],[id]]</f>
        <v>300-0561</v>
      </c>
      <c r="W571" s="19" t="e">
        <f>+VLOOKUP(Ingresos_Historicos[[#This Row],[Filtro URL]],Estructura!$X$4:$Y$366,2,0)</f>
        <v>#N/A</v>
      </c>
      <c r="X571" s="19" t="str">
        <f>+VLOOKUP(Ingresos_Historicos[[#This Row],[tema]],Estructura!$A$4:$C$18,3,0)</f>
        <v>T-310</v>
      </c>
      <c r="Y571" s="19" t="str">
        <f>+VLOOKUP(Ingresos_Historicos[[#This Row],[contenido]],Estructura!$E$4:$G$18,3,0)</f>
        <v>C-303</v>
      </c>
      <c r="Z571" s="19" t="str">
        <f>+VLOOKUP(Ingresos_Historicos[[#This Row],[Filtro Integrado]],Estructura!$M$4:$O$367,3,0)</f>
        <v>FI-303</v>
      </c>
      <c r="AA571" s="19" t="str">
        <f>+VLOOKUP(Ingresos_Historicos[[#This Row],[Muestra]],Estructura!$Q$4:$S$194,3,0)</f>
        <v>M-310</v>
      </c>
    </row>
    <row r="572" spans="1:27" ht="51" x14ac:dyDescent="0.3">
      <c r="A572" s="71" t="s">
        <v>958</v>
      </c>
      <c r="B572" s="12">
        <f t="shared" si="113"/>
        <v>300</v>
      </c>
      <c r="C572" s="13" t="str">
        <f t="shared" si="113"/>
        <v>Violencia contra la mujer</v>
      </c>
      <c r="D572" s="13" t="str">
        <f t="shared" si="113"/>
        <v>Mujeres</v>
      </c>
      <c r="E572" s="39">
        <v>68</v>
      </c>
      <c r="F572" s="13" t="s">
        <v>7581</v>
      </c>
      <c r="G572" s="13" t="s">
        <v>7576</v>
      </c>
      <c r="H572" s="38" t="s">
        <v>17</v>
      </c>
      <c r="I572" s="37" t="s">
        <v>300</v>
      </c>
      <c r="J572" s="12" t="s">
        <v>398</v>
      </c>
      <c r="K572" s="12" t="str">
        <f t="shared" si="114"/>
        <v>Sentencias Dictadas por Delitos Vinculados a la Mujer</v>
      </c>
      <c r="L572" s="75" t="str">
        <f t="shared" si="114"/>
        <v>Periodo 2013-2019</v>
      </c>
      <c r="M572" s="12" t="str">
        <f t="shared" si="114"/>
        <v>Número de sentencias</v>
      </c>
      <c r="N572" s="33" t="s">
        <v>5964</v>
      </c>
      <c r="O572"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2" s="14" t="str">
        <f t="shared" si="111"/>
        <v>Gráfico de Evolución</v>
      </c>
      <c r="R572" s="27" t="s">
        <v>6348</v>
      </c>
      <c r="S572" s="15" t="s">
        <v>6967</v>
      </c>
      <c r="T572" s="65" t="s">
        <v>5919</v>
      </c>
      <c r="U572" s="24" t="s">
        <v>397</v>
      </c>
      <c r="V572" s="19" t="str">
        <f>+Ingresos_Historicos[[#This Row],[idcoleccion]]&amp;"-"&amp;Ingresos_Historicos[[#This Row],[id]]</f>
        <v>300-0562</v>
      </c>
      <c r="W572" s="19" t="e">
        <f>+VLOOKUP(Ingresos_Historicos[[#This Row],[Filtro URL]],Estructura!$X$4:$Y$366,2,0)</f>
        <v>#N/A</v>
      </c>
      <c r="X572" s="19" t="str">
        <f>+VLOOKUP(Ingresos_Historicos[[#This Row],[tema]],Estructura!$A$4:$C$18,3,0)</f>
        <v>T-310</v>
      </c>
      <c r="Y572" s="19" t="str">
        <f>+VLOOKUP(Ingresos_Historicos[[#This Row],[contenido]],Estructura!$E$4:$G$18,3,0)</f>
        <v>C-303</v>
      </c>
      <c r="Z572" s="19" t="str">
        <f>+VLOOKUP(Ingresos_Historicos[[#This Row],[Filtro Integrado]],Estructura!$M$4:$O$367,3,0)</f>
        <v>FI-303</v>
      </c>
      <c r="AA572" s="19" t="str">
        <f>+VLOOKUP(Ingresos_Historicos[[#This Row],[Muestra]],Estructura!$Q$4:$S$194,3,0)</f>
        <v>M-310</v>
      </c>
    </row>
    <row r="573" spans="1:27" ht="51" x14ac:dyDescent="0.3">
      <c r="A573" s="71" t="s">
        <v>959</v>
      </c>
      <c r="B573" s="12">
        <f t="shared" si="113"/>
        <v>300</v>
      </c>
      <c r="C573" s="13" t="str">
        <f t="shared" si="113"/>
        <v>Violencia contra la mujer</v>
      </c>
      <c r="D573" s="13" t="str">
        <f t="shared" si="113"/>
        <v>Mujeres</v>
      </c>
      <c r="E573" s="39">
        <v>69</v>
      </c>
      <c r="F573" s="13" t="s">
        <v>7581</v>
      </c>
      <c r="G573" s="13" t="s">
        <v>7576</v>
      </c>
      <c r="H573" s="38" t="s">
        <v>17</v>
      </c>
      <c r="I573" s="37" t="s">
        <v>300</v>
      </c>
      <c r="J573" s="12" t="s">
        <v>398</v>
      </c>
      <c r="K573" s="12" t="str">
        <f t="shared" si="114"/>
        <v>Sentencias Dictadas por Delitos Vinculados a la Mujer</v>
      </c>
      <c r="L573" s="75" t="str">
        <f t="shared" si="114"/>
        <v>Periodo 2013-2019</v>
      </c>
      <c r="M573" s="12" t="str">
        <f t="shared" si="114"/>
        <v>Número de sentencias</v>
      </c>
      <c r="N573" s="33" t="s">
        <v>5964</v>
      </c>
      <c r="O573"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3" s="14" t="str">
        <f t="shared" si="111"/>
        <v>Gráfico de Evolución</v>
      </c>
      <c r="R573" s="27" t="s">
        <v>6348</v>
      </c>
      <c r="S573" s="15" t="s">
        <v>6968</v>
      </c>
      <c r="T573" s="65" t="s">
        <v>5919</v>
      </c>
      <c r="U573" s="24" t="s">
        <v>397</v>
      </c>
      <c r="V573" s="19" t="str">
        <f>+Ingresos_Historicos[[#This Row],[idcoleccion]]&amp;"-"&amp;Ingresos_Historicos[[#This Row],[id]]</f>
        <v>300-0563</v>
      </c>
      <c r="W573" s="19" t="e">
        <f>+VLOOKUP(Ingresos_Historicos[[#This Row],[Filtro URL]],Estructura!$X$4:$Y$366,2,0)</f>
        <v>#N/A</v>
      </c>
      <c r="X573" s="19" t="str">
        <f>+VLOOKUP(Ingresos_Historicos[[#This Row],[tema]],Estructura!$A$4:$C$18,3,0)</f>
        <v>T-310</v>
      </c>
      <c r="Y573" s="19" t="str">
        <f>+VLOOKUP(Ingresos_Historicos[[#This Row],[contenido]],Estructura!$E$4:$G$18,3,0)</f>
        <v>C-303</v>
      </c>
      <c r="Z573" s="19" t="str">
        <f>+VLOOKUP(Ingresos_Historicos[[#This Row],[Filtro Integrado]],Estructura!$M$4:$O$367,3,0)</f>
        <v>FI-303</v>
      </c>
      <c r="AA573" s="19" t="str">
        <f>+VLOOKUP(Ingresos_Historicos[[#This Row],[Muestra]],Estructura!$Q$4:$S$194,3,0)</f>
        <v>M-310</v>
      </c>
    </row>
    <row r="574" spans="1:27" ht="51" x14ac:dyDescent="0.3">
      <c r="A574" s="71" t="s">
        <v>960</v>
      </c>
      <c r="B574" s="12">
        <f t="shared" si="113"/>
        <v>300</v>
      </c>
      <c r="C574" s="13" t="str">
        <f t="shared" si="113"/>
        <v>Violencia contra la mujer</v>
      </c>
      <c r="D574" s="13" t="str">
        <f t="shared" si="113"/>
        <v>Mujeres</v>
      </c>
      <c r="E574" s="39">
        <v>70</v>
      </c>
      <c r="F574" s="13" t="s">
        <v>7581</v>
      </c>
      <c r="G574" s="13" t="s">
        <v>7576</v>
      </c>
      <c r="H574" s="38" t="s">
        <v>17</v>
      </c>
      <c r="I574" s="37" t="s">
        <v>300</v>
      </c>
      <c r="J574" s="12" t="s">
        <v>398</v>
      </c>
      <c r="K574" s="12" t="str">
        <f t="shared" si="114"/>
        <v>Sentencias Dictadas por Delitos Vinculados a la Mujer</v>
      </c>
      <c r="L574" s="75" t="str">
        <f t="shared" si="114"/>
        <v>Periodo 2013-2019</v>
      </c>
      <c r="M574" s="12" t="str">
        <f t="shared" si="114"/>
        <v>Número de sentencias</v>
      </c>
      <c r="N574" s="33" t="s">
        <v>5964</v>
      </c>
      <c r="O574"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4" s="14" t="str">
        <f t="shared" si="111"/>
        <v>Gráfico de Evolución</v>
      </c>
      <c r="R574" s="27" t="s">
        <v>6348</v>
      </c>
      <c r="S574" s="15" t="s">
        <v>6969</v>
      </c>
      <c r="T574" s="65" t="s">
        <v>5919</v>
      </c>
      <c r="U574" s="24" t="s">
        <v>397</v>
      </c>
      <c r="V574" s="19" t="str">
        <f>+Ingresos_Historicos[[#This Row],[idcoleccion]]&amp;"-"&amp;Ingresos_Historicos[[#This Row],[id]]</f>
        <v>300-0564</v>
      </c>
      <c r="W574" s="19" t="e">
        <f>+VLOOKUP(Ingresos_Historicos[[#This Row],[Filtro URL]],Estructura!$X$4:$Y$366,2,0)</f>
        <v>#N/A</v>
      </c>
      <c r="X574" s="19" t="str">
        <f>+VLOOKUP(Ingresos_Historicos[[#This Row],[tema]],Estructura!$A$4:$C$18,3,0)</f>
        <v>T-310</v>
      </c>
      <c r="Y574" s="19" t="str">
        <f>+VLOOKUP(Ingresos_Historicos[[#This Row],[contenido]],Estructura!$E$4:$G$18,3,0)</f>
        <v>C-303</v>
      </c>
      <c r="Z574" s="19" t="str">
        <f>+VLOOKUP(Ingresos_Historicos[[#This Row],[Filtro Integrado]],Estructura!$M$4:$O$367,3,0)</f>
        <v>FI-303</v>
      </c>
      <c r="AA574" s="19" t="str">
        <f>+VLOOKUP(Ingresos_Historicos[[#This Row],[Muestra]],Estructura!$Q$4:$S$194,3,0)</f>
        <v>M-310</v>
      </c>
    </row>
    <row r="575" spans="1:27" ht="51" x14ac:dyDescent="0.3">
      <c r="A575" s="71" t="s">
        <v>961</v>
      </c>
      <c r="B575" s="12">
        <f t="shared" si="113"/>
        <v>300</v>
      </c>
      <c r="C575" s="13" t="str">
        <f t="shared" si="113"/>
        <v>Violencia contra la mujer</v>
      </c>
      <c r="D575" s="13" t="str">
        <f t="shared" si="113"/>
        <v>Mujeres</v>
      </c>
      <c r="E575" s="39">
        <v>71</v>
      </c>
      <c r="F575" s="13" t="s">
        <v>7581</v>
      </c>
      <c r="G575" s="13" t="s">
        <v>7576</v>
      </c>
      <c r="H575" s="38" t="s">
        <v>17</v>
      </c>
      <c r="I575" s="37" t="s">
        <v>300</v>
      </c>
      <c r="J575" s="12" t="s">
        <v>398</v>
      </c>
      <c r="K575" s="12" t="str">
        <f t="shared" si="114"/>
        <v>Sentencias Dictadas por Delitos Vinculados a la Mujer</v>
      </c>
      <c r="L575" s="75" t="str">
        <f t="shared" si="114"/>
        <v>Periodo 2013-2019</v>
      </c>
      <c r="M575" s="12" t="str">
        <f t="shared" si="114"/>
        <v>Número de sentencias</v>
      </c>
      <c r="N575" s="33" t="s">
        <v>5964</v>
      </c>
      <c r="O575"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5" s="14" t="str">
        <f t="shared" si="111"/>
        <v>Gráfico de Evolución</v>
      </c>
      <c r="R575" s="27" t="s">
        <v>6348</v>
      </c>
      <c r="S575" s="15" t="s">
        <v>6970</v>
      </c>
      <c r="T575" s="65" t="s">
        <v>5919</v>
      </c>
      <c r="U575" s="24" t="s">
        <v>397</v>
      </c>
      <c r="V575" s="19" t="str">
        <f>+Ingresos_Historicos[[#This Row],[idcoleccion]]&amp;"-"&amp;Ingresos_Historicos[[#This Row],[id]]</f>
        <v>300-0565</v>
      </c>
      <c r="W575" s="19" t="e">
        <f>+VLOOKUP(Ingresos_Historicos[[#This Row],[Filtro URL]],Estructura!$X$4:$Y$366,2,0)</f>
        <v>#N/A</v>
      </c>
      <c r="X575" s="19" t="str">
        <f>+VLOOKUP(Ingresos_Historicos[[#This Row],[tema]],Estructura!$A$4:$C$18,3,0)</f>
        <v>T-310</v>
      </c>
      <c r="Y575" s="19" t="str">
        <f>+VLOOKUP(Ingresos_Historicos[[#This Row],[contenido]],Estructura!$E$4:$G$18,3,0)</f>
        <v>C-303</v>
      </c>
      <c r="Z575" s="19" t="str">
        <f>+VLOOKUP(Ingresos_Historicos[[#This Row],[Filtro Integrado]],Estructura!$M$4:$O$367,3,0)</f>
        <v>FI-303</v>
      </c>
      <c r="AA575" s="19" t="str">
        <f>+VLOOKUP(Ingresos_Historicos[[#This Row],[Muestra]],Estructura!$Q$4:$S$194,3,0)</f>
        <v>M-310</v>
      </c>
    </row>
    <row r="576" spans="1:27" ht="51" x14ac:dyDescent="0.3">
      <c r="A576" s="71" t="s">
        <v>962</v>
      </c>
      <c r="B576" s="12">
        <f t="shared" si="113"/>
        <v>300</v>
      </c>
      <c r="C576" s="13" t="str">
        <f t="shared" si="113"/>
        <v>Violencia contra la mujer</v>
      </c>
      <c r="D576" s="13" t="str">
        <f t="shared" si="113"/>
        <v>Mujeres</v>
      </c>
      <c r="E576" s="39">
        <v>72</v>
      </c>
      <c r="F576" s="13" t="s">
        <v>7581</v>
      </c>
      <c r="G576" s="13" t="s">
        <v>7576</v>
      </c>
      <c r="H576" s="38" t="s">
        <v>17</v>
      </c>
      <c r="I576" s="37" t="s">
        <v>300</v>
      </c>
      <c r="J576" s="12" t="s">
        <v>398</v>
      </c>
      <c r="K576" s="12" t="str">
        <f t="shared" si="114"/>
        <v>Sentencias Dictadas por Delitos Vinculados a la Mujer</v>
      </c>
      <c r="L576" s="75" t="str">
        <f t="shared" si="114"/>
        <v>Periodo 2013-2019</v>
      </c>
      <c r="M576" s="12" t="str">
        <f t="shared" si="114"/>
        <v>Número de sentencias</v>
      </c>
      <c r="N576" s="33" t="s">
        <v>5964</v>
      </c>
      <c r="O576"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6" s="14" t="str">
        <f t="shared" si="111"/>
        <v>Gráfico de Evolución</v>
      </c>
      <c r="R576" s="27" t="s">
        <v>6348</v>
      </c>
      <c r="S576" s="15" t="s">
        <v>6971</v>
      </c>
      <c r="T576" s="65" t="s">
        <v>5919</v>
      </c>
      <c r="U576" s="24" t="s">
        <v>397</v>
      </c>
      <c r="V576" s="19" t="str">
        <f>+Ingresos_Historicos[[#This Row],[idcoleccion]]&amp;"-"&amp;Ingresos_Historicos[[#This Row],[id]]</f>
        <v>300-0566</v>
      </c>
      <c r="W576" s="19" t="e">
        <f>+VLOOKUP(Ingresos_Historicos[[#This Row],[Filtro URL]],Estructura!$X$4:$Y$366,2,0)</f>
        <v>#N/A</v>
      </c>
      <c r="X576" s="19" t="str">
        <f>+VLOOKUP(Ingresos_Historicos[[#This Row],[tema]],Estructura!$A$4:$C$18,3,0)</f>
        <v>T-310</v>
      </c>
      <c r="Y576" s="19" t="str">
        <f>+VLOOKUP(Ingresos_Historicos[[#This Row],[contenido]],Estructura!$E$4:$G$18,3,0)</f>
        <v>C-303</v>
      </c>
      <c r="Z576" s="19" t="str">
        <f>+VLOOKUP(Ingresos_Historicos[[#This Row],[Filtro Integrado]],Estructura!$M$4:$O$367,3,0)</f>
        <v>FI-303</v>
      </c>
      <c r="AA576" s="19" t="str">
        <f>+VLOOKUP(Ingresos_Historicos[[#This Row],[Muestra]],Estructura!$Q$4:$S$194,3,0)</f>
        <v>M-310</v>
      </c>
    </row>
    <row r="577" spans="1:27" ht="51" x14ac:dyDescent="0.3">
      <c r="A577" s="71" t="s">
        <v>963</v>
      </c>
      <c r="B577" s="12">
        <f t="shared" si="113"/>
        <v>300</v>
      </c>
      <c r="C577" s="13" t="str">
        <f t="shared" si="113"/>
        <v>Violencia contra la mujer</v>
      </c>
      <c r="D577" s="13" t="str">
        <f t="shared" si="113"/>
        <v>Mujeres</v>
      </c>
      <c r="E577" s="39">
        <v>73</v>
      </c>
      <c r="F577" s="13" t="s">
        <v>7581</v>
      </c>
      <c r="G577" s="13" t="s">
        <v>7576</v>
      </c>
      <c r="H577" s="38" t="s">
        <v>17</v>
      </c>
      <c r="I577" s="37" t="s">
        <v>300</v>
      </c>
      <c r="J577" s="12" t="s">
        <v>398</v>
      </c>
      <c r="K577" s="12" t="str">
        <f t="shared" si="114"/>
        <v>Sentencias Dictadas por Delitos Vinculados a la Mujer</v>
      </c>
      <c r="L577" s="75" t="str">
        <f t="shared" si="114"/>
        <v>Periodo 2013-2019</v>
      </c>
      <c r="M577" s="12" t="str">
        <f t="shared" si="114"/>
        <v>Número de sentencias</v>
      </c>
      <c r="N577" s="33" t="s">
        <v>5964</v>
      </c>
      <c r="O577"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7"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7" s="14" t="str">
        <f t="shared" si="111"/>
        <v>Gráfico de Evolución</v>
      </c>
      <c r="R577" s="27" t="s">
        <v>6348</v>
      </c>
      <c r="S577" s="15" t="s">
        <v>6972</v>
      </c>
      <c r="T577" s="65" t="s">
        <v>5919</v>
      </c>
      <c r="U577" s="24" t="s">
        <v>397</v>
      </c>
      <c r="V577" s="19" t="str">
        <f>+Ingresos_Historicos[[#This Row],[idcoleccion]]&amp;"-"&amp;Ingresos_Historicos[[#This Row],[id]]</f>
        <v>300-0567</v>
      </c>
      <c r="W577" s="19" t="e">
        <f>+VLOOKUP(Ingresos_Historicos[[#This Row],[Filtro URL]],Estructura!$X$4:$Y$366,2,0)</f>
        <v>#N/A</v>
      </c>
      <c r="X577" s="19" t="str">
        <f>+VLOOKUP(Ingresos_Historicos[[#This Row],[tema]],Estructura!$A$4:$C$18,3,0)</f>
        <v>T-310</v>
      </c>
      <c r="Y577" s="19" t="str">
        <f>+VLOOKUP(Ingresos_Historicos[[#This Row],[contenido]],Estructura!$E$4:$G$18,3,0)</f>
        <v>C-303</v>
      </c>
      <c r="Z577" s="19" t="str">
        <f>+VLOOKUP(Ingresos_Historicos[[#This Row],[Filtro Integrado]],Estructura!$M$4:$O$367,3,0)</f>
        <v>FI-303</v>
      </c>
      <c r="AA577" s="19" t="str">
        <f>+VLOOKUP(Ingresos_Historicos[[#This Row],[Muestra]],Estructura!$Q$4:$S$194,3,0)</f>
        <v>M-310</v>
      </c>
    </row>
    <row r="578" spans="1:27" ht="51" x14ac:dyDescent="0.3">
      <c r="A578" s="71" t="s">
        <v>964</v>
      </c>
      <c r="B578" s="12">
        <f t="shared" si="113"/>
        <v>300</v>
      </c>
      <c r="C578" s="13" t="str">
        <f t="shared" si="113"/>
        <v>Violencia contra la mujer</v>
      </c>
      <c r="D578" s="13" t="str">
        <f t="shared" si="113"/>
        <v>Mujeres</v>
      </c>
      <c r="E578" s="39">
        <v>74</v>
      </c>
      <c r="F578" s="13" t="s">
        <v>7581</v>
      </c>
      <c r="G578" s="13" t="s">
        <v>7576</v>
      </c>
      <c r="H578" s="38" t="s">
        <v>17</v>
      </c>
      <c r="I578" s="37" t="s">
        <v>300</v>
      </c>
      <c r="J578" s="12" t="s">
        <v>398</v>
      </c>
      <c r="K578" s="12" t="str">
        <f t="shared" si="114"/>
        <v>Sentencias Dictadas por Delitos Vinculados a la Mujer</v>
      </c>
      <c r="L578" s="75" t="str">
        <f t="shared" si="114"/>
        <v>Periodo 2013-2019</v>
      </c>
      <c r="M578" s="12" t="str">
        <f t="shared" si="114"/>
        <v>Número de sentencias</v>
      </c>
      <c r="N578" s="33" t="s">
        <v>5964</v>
      </c>
      <c r="O578"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8"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8" s="14" t="str">
        <f t="shared" si="111"/>
        <v>Gráfico de Evolución</v>
      </c>
      <c r="R578" s="27" t="s">
        <v>6348</v>
      </c>
      <c r="S578" s="15" t="s">
        <v>6973</v>
      </c>
      <c r="T578" s="65" t="s">
        <v>5919</v>
      </c>
      <c r="U578" s="24" t="s">
        <v>397</v>
      </c>
      <c r="V578" s="19" t="str">
        <f>+Ingresos_Historicos[[#This Row],[idcoleccion]]&amp;"-"&amp;Ingresos_Historicos[[#This Row],[id]]</f>
        <v>300-0568</v>
      </c>
      <c r="W578" s="19" t="e">
        <f>+VLOOKUP(Ingresos_Historicos[[#This Row],[Filtro URL]],Estructura!$X$4:$Y$366,2,0)</f>
        <v>#N/A</v>
      </c>
      <c r="X578" s="19" t="str">
        <f>+VLOOKUP(Ingresos_Historicos[[#This Row],[tema]],Estructura!$A$4:$C$18,3,0)</f>
        <v>T-310</v>
      </c>
      <c r="Y578" s="19" t="str">
        <f>+VLOOKUP(Ingresos_Historicos[[#This Row],[contenido]],Estructura!$E$4:$G$18,3,0)</f>
        <v>C-303</v>
      </c>
      <c r="Z578" s="19" t="str">
        <f>+VLOOKUP(Ingresos_Historicos[[#This Row],[Filtro Integrado]],Estructura!$M$4:$O$367,3,0)</f>
        <v>FI-303</v>
      </c>
      <c r="AA578" s="19" t="str">
        <f>+VLOOKUP(Ingresos_Historicos[[#This Row],[Muestra]],Estructura!$Q$4:$S$194,3,0)</f>
        <v>M-310</v>
      </c>
    </row>
    <row r="579" spans="1:27" ht="51" x14ac:dyDescent="0.3">
      <c r="A579" s="71" t="s">
        <v>965</v>
      </c>
      <c r="B579" s="12">
        <f t="shared" si="113"/>
        <v>300</v>
      </c>
      <c r="C579" s="13" t="str">
        <f t="shared" si="113"/>
        <v>Violencia contra la mujer</v>
      </c>
      <c r="D579" s="13" t="str">
        <f t="shared" si="113"/>
        <v>Mujeres</v>
      </c>
      <c r="E579" s="39">
        <v>75</v>
      </c>
      <c r="F579" s="13" t="s">
        <v>7581</v>
      </c>
      <c r="G579" s="13" t="s">
        <v>7576</v>
      </c>
      <c r="H579" s="38" t="s">
        <v>17</v>
      </c>
      <c r="I579" s="37" t="s">
        <v>300</v>
      </c>
      <c r="J579" s="12" t="s">
        <v>398</v>
      </c>
      <c r="K579" s="12" t="str">
        <f t="shared" si="114"/>
        <v>Sentencias Dictadas por Delitos Vinculados a la Mujer</v>
      </c>
      <c r="L579" s="75" t="str">
        <f t="shared" si="114"/>
        <v>Periodo 2013-2019</v>
      </c>
      <c r="M579" s="12" t="str">
        <f t="shared" si="114"/>
        <v>Número de sentencias</v>
      </c>
      <c r="N579" s="33" t="s">
        <v>5964</v>
      </c>
      <c r="O579" s="27" t="str">
        <f>"Sentencias Dictadas por Delitos Vinculados a la Mujer por Delito en el Juzgado de Garantía de "&amp;Ingresos_Historicos[[#This Row],[territorio]]&amp;" para el Periodo 2013-2019"</f>
        <v>Sentencias Dictadas por Delitos Vinculados a la Mujer por Delito en el Juzgado de Garantía de Santiago para el Periodo 2013-2019</v>
      </c>
      <c r="P579"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Santiago para el Periodo 2013-2019 de acuerdo a datos provenientes del Poder Judicial de Chile.</v>
      </c>
      <c r="Q579" s="14" t="str">
        <f t="shared" si="111"/>
        <v>Gráfico de Evolución</v>
      </c>
      <c r="R579" s="27" t="s">
        <v>6348</v>
      </c>
      <c r="S579" s="15" t="s">
        <v>6974</v>
      </c>
      <c r="T579" s="65" t="s">
        <v>5919</v>
      </c>
      <c r="U579" s="24" t="s">
        <v>397</v>
      </c>
      <c r="V579" s="19" t="str">
        <f>+Ingresos_Historicos[[#This Row],[idcoleccion]]&amp;"-"&amp;Ingresos_Historicos[[#This Row],[id]]</f>
        <v>300-0569</v>
      </c>
      <c r="W579" s="19" t="e">
        <f>+VLOOKUP(Ingresos_Historicos[[#This Row],[Filtro URL]],Estructura!$X$4:$Y$366,2,0)</f>
        <v>#N/A</v>
      </c>
      <c r="X579" s="19" t="str">
        <f>+VLOOKUP(Ingresos_Historicos[[#This Row],[tema]],Estructura!$A$4:$C$18,3,0)</f>
        <v>T-310</v>
      </c>
      <c r="Y579" s="19" t="str">
        <f>+VLOOKUP(Ingresos_Historicos[[#This Row],[contenido]],Estructura!$E$4:$G$18,3,0)</f>
        <v>C-303</v>
      </c>
      <c r="Z579" s="19" t="str">
        <f>+VLOOKUP(Ingresos_Historicos[[#This Row],[Filtro Integrado]],Estructura!$M$4:$O$367,3,0)</f>
        <v>FI-303</v>
      </c>
      <c r="AA579" s="19" t="str">
        <f>+VLOOKUP(Ingresos_Historicos[[#This Row],[Muestra]],Estructura!$Q$4:$S$194,3,0)</f>
        <v>M-310</v>
      </c>
    </row>
    <row r="580" spans="1:27" ht="51" x14ac:dyDescent="0.3">
      <c r="A580" s="71" t="s">
        <v>966</v>
      </c>
      <c r="B580" s="12">
        <f t="shared" si="113"/>
        <v>300</v>
      </c>
      <c r="C580" s="13" t="str">
        <f t="shared" si="113"/>
        <v>Violencia contra la mujer</v>
      </c>
      <c r="D580" s="13" t="str">
        <f t="shared" si="113"/>
        <v>Mujeres</v>
      </c>
      <c r="E580" s="39">
        <v>76</v>
      </c>
      <c r="F580" s="13" t="s">
        <v>7581</v>
      </c>
      <c r="G580" s="13" t="s">
        <v>7576</v>
      </c>
      <c r="H580" s="38" t="s">
        <v>17</v>
      </c>
      <c r="I580" s="37" t="s">
        <v>28</v>
      </c>
      <c r="J580" s="12" t="s">
        <v>398</v>
      </c>
      <c r="K580" s="12" t="str">
        <f t="shared" si="114"/>
        <v>Sentencias Dictadas por Delitos Vinculados a la Mujer</v>
      </c>
      <c r="L580" s="75" t="str">
        <f t="shared" si="114"/>
        <v>Periodo 2013-2019</v>
      </c>
      <c r="M580" s="12" t="str">
        <f t="shared" si="114"/>
        <v>Número de sentencias</v>
      </c>
      <c r="N580" s="33" t="s">
        <v>5964</v>
      </c>
      <c r="O580" s="27" t="str">
        <f>"Sentencias Dictadas por Delitos Vinculados a la Mujer por Delito en el Juzgado de Garantía de "&amp;Ingresos_Historicos[[#This Row],[territorio]]&amp;" para el Periodo 2013-2019"</f>
        <v>Sentencias Dictadas por Delitos Vinculados a la Mujer por Delito en el Juzgado de Garantía de Los Lagos para el Periodo 2013-2019</v>
      </c>
      <c r="P580"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Los Lagos para el Periodo 2013-2019 de acuerdo a datos provenientes del Poder Judicial de Chile.</v>
      </c>
      <c r="Q580" s="14" t="str">
        <f t="shared" si="111"/>
        <v>Gráfico de Evolución</v>
      </c>
      <c r="R580" s="27" t="s">
        <v>6348</v>
      </c>
      <c r="S580" s="15" t="s">
        <v>6975</v>
      </c>
      <c r="T580" s="65" t="s">
        <v>5920</v>
      </c>
      <c r="U580" s="24" t="s">
        <v>397</v>
      </c>
      <c r="V580" s="19" t="str">
        <f>+Ingresos_Historicos[[#This Row],[idcoleccion]]&amp;"-"&amp;Ingresos_Historicos[[#This Row],[id]]</f>
        <v>300-0570</v>
      </c>
      <c r="W580" s="19" t="e">
        <f>+VLOOKUP(Ingresos_Historicos[[#This Row],[Filtro URL]],Estructura!$X$4:$Y$366,2,0)</f>
        <v>#N/A</v>
      </c>
      <c r="X580" s="19" t="str">
        <f>+VLOOKUP(Ingresos_Historicos[[#This Row],[tema]],Estructura!$A$4:$C$18,3,0)</f>
        <v>T-310</v>
      </c>
      <c r="Y580" s="19" t="str">
        <f>+VLOOKUP(Ingresos_Historicos[[#This Row],[contenido]],Estructura!$E$4:$G$18,3,0)</f>
        <v>C-303</v>
      </c>
      <c r="Z580" s="19" t="str">
        <f>+VLOOKUP(Ingresos_Historicos[[#This Row],[Filtro Integrado]],Estructura!$M$4:$O$367,3,0)</f>
        <v>FI-303</v>
      </c>
      <c r="AA580" s="19" t="str">
        <f>+VLOOKUP(Ingresos_Historicos[[#This Row],[Muestra]],Estructura!$Q$4:$S$194,3,0)</f>
        <v>M-310</v>
      </c>
    </row>
    <row r="581" spans="1:27" ht="51" x14ac:dyDescent="0.3">
      <c r="A581" s="71" t="s">
        <v>967</v>
      </c>
      <c r="B581" s="12">
        <f t="shared" si="113"/>
        <v>300</v>
      </c>
      <c r="C581" s="13" t="str">
        <f t="shared" si="113"/>
        <v>Violencia contra la mujer</v>
      </c>
      <c r="D581" s="13" t="str">
        <f t="shared" si="113"/>
        <v>Mujeres</v>
      </c>
      <c r="E581" s="39">
        <v>77</v>
      </c>
      <c r="F581" s="13" t="s">
        <v>7581</v>
      </c>
      <c r="G581" s="13" t="s">
        <v>7576</v>
      </c>
      <c r="H581" s="38" t="s">
        <v>17</v>
      </c>
      <c r="I581" s="37" t="s">
        <v>355</v>
      </c>
      <c r="J581" s="12" t="s">
        <v>398</v>
      </c>
      <c r="K581" s="12" t="str">
        <f t="shared" si="114"/>
        <v>Sentencias Dictadas por Delitos Vinculados a la Mujer</v>
      </c>
      <c r="L581" s="75" t="str">
        <f t="shared" si="114"/>
        <v>Periodo 2013-2019</v>
      </c>
      <c r="M581" s="12" t="str">
        <f t="shared" si="114"/>
        <v>Número de sentencias</v>
      </c>
      <c r="N581" s="33" t="s">
        <v>5964</v>
      </c>
      <c r="O581" s="27" t="str">
        <f>"Sentencias Dictadas por Delitos Vinculados a la Mujer por Delito en el Juzgado de Garantía de "&amp;Ingresos_Historicos[[#This Row],[territorio]]&amp;" para el Periodo 2013-2019"</f>
        <v>Sentencias Dictadas por Delitos Vinculados a la Mujer por Delito en el Juzgado de Garantía de Mariquina para el Periodo 2013-2019</v>
      </c>
      <c r="P581"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Mariquina para el Periodo 2013-2019 de acuerdo a datos provenientes del Poder Judicial de Chile.</v>
      </c>
      <c r="Q581" s="14" t="str">
        <f t="shared" si="111"/>
        <v>Gráfico de Evolución</v>
      </c>
      <c r="R581" s="27" t="s">
        <v>6348</v>
      </c>
      <c r="S581" s="15" t="s">
        <v>6976</v>
      </c>
      <c r="T581" s="65" t="s">
        <v>5920</v>
      </c>
      <c r="U581" s="24" t="s">
        <v>397</v>
      </c>
      <c r="V581" s="19" t="str">
        <f>+Ingresos_Historicos[[#This Row],[idcoleccion]]&amp;"-"&amp;Ingresos_Historicos[[#This Row],[id]]</f>
        <v>300-0571</v>
      </c>
      <c r="W581" s="19" t="e">
        <f>+VLOOKUP(Ingresos_Historicos[[#This Row],[Filtro URL]],Estructura!$X$4:$Y$366,2,0)</f>
        <v>#N/A</v>
      </c>
      <c r="X581" s="19" t="str">
        <f>+VLOOKUP(Ingresos_Historicos[[#This Row],[tema]],Estructura!$A$4:$C$18,3,0)</f>
        <v>T-310</v>
      </c>
      <c r="Y581" s="19" t="str">
        <f>+VLOOKUP(Ingresos_Historicos[[#This Row],[contenido]],Estructura!$E$4:$G$18,3,0)</f>
        <v>C-303</v>
      </c>
      <c r="Z581" s="19" t="str">
        <f>+VLOOKUP(Ingresos_Historicos[[#This Row],[Filtro Integrado]],Estructura!$M$4:$O$367,3,0)</f>
        <v>FI-303</v>
      </c>
      <c r="AA581" s="19" t="str">
        <f>+VLOOKUP(Ingresos_Historicos[[#This Row],[Muestra]],Estructura!$Q$4:$S$194,3,0)</f>
        <v>M-310</v>
      </c>
    </row>
    <row r="582" spans="1:27" ht="51" x14ac:dyDescent="0.3">
      <c r="A582" s="71" t="s">
        <v>968</v>
      </c>
      <c r="B582" s="12">
        <f t="shared" ref="B582:D597" si="115">+B581</f>
        <v>300</v>
      </c>
      <c r="C582" s="13" t="str">
        <f t="shared" si="115"/>
        <v>Violencia contra la mujer</v>
      </c>
      <c r="D582" s="13" t="str">
        <f t="shared" si="115"/>
        <v>Mujeres</v>
      </c>
      <c r="E582" s="39">
        <v>78</v>
      </c>
      <c r="F582" s="13" t="s">
        <v>7581</v>
      </c>
      <c r="G582" s="13" t="s">
        <v>7576</v>
      </c>
      <c r="H582" s="38" t="s">
        <v>17</v>
      </c>
      <c r="I582" s="37" t="s">
        <v>351</v>
      </c>
      <c r="J582" s="12" t="s">
        <v>398</v>
      </c>
      <c r="K582" s="12" t="str">
        <f t="shared" si="114"/>
        <v>Sentencias Dictadas por Delitos Vinculados a la Mujer</v>
      </c>
      <c r="L582" s="75" t="str">
        <f t="shared" si="114"/>
        <v>Periodo 2013-2019</v>
      </c>
      <c r="M582" s="12" t="str">
        <f t="shared" si="114"/>
        <v>Número de sentencias</v>
      </c>
      <c r="N582" s="33" t="s">
        <v>5964</v>
      </c>
      <c r="O582" s="27" t="str">
        <f>"Sentencias Dictadas por Delitos Vinculados a la Mujer por Delito en el Juzgado de Garantía de "&amp;Ingresos_Historicos[[#This Row],[territorio]]&amp;" para el Periodo 2013-2019"</f>
        <v>Sentencias Dictadas por Delitos Vinculados a la Mujer por Delito en el Juzgado de Garantía de Valdivia para el Periodo 2013-2019</v>
      </c>
      <c r="P582"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Valdivia para el Periodo 2013-2019 de acuerdo a datos provenientes del Poder Judicial de Chile.</v>
      </c>
      <c r="Q582" s="14" t="str">
        <f t="shared" si="111"/>
        <v>Gráfico de Evolución</v>
      </c>
      <c r="R582" s="27" t="s">
        <v>6348</v>
      </c>
      <c r="S582" s="15" t="s">
        <v>6977</v>
      </c>
      <c r="T582" s="65" t="s">
        <v>5920</v>
      </c>
      <c r="U582" s="24" t="s">
        <v>397</v>
      </c>
      <c r="V582" s="19" t="str">
        <f>+Ingresos_Historicos[[#This Row],[idcoleccion]]&amp;"-"&amp;Ingresos_Historicos[[#This Row],[id]]</f>
        <v>300-0572</v>
      </c>
      <c r="W582" s="19" t="e">
        <f>+VLOOKUP(Ingresos_Historicos[[#This Row],[Filtro URL]],Estructura!$X$4:$Y$366,2,0)</f>
        <v>#N/A</v>
      </c>
      <c r="X582" s="19" t="str">
        <f>+VLOOKUP(Ingresos_Historicos[[#This Row],[tema]],Estructura!$A$4:$C$18,3,0)</f>
        <v>T-310</v>
      </c>
      <c r="Y582" s="19" t="str">
        <f>+VLOOKUP(Ingresos_Historicos[[#This Row],[contenido]],Estructura!$E$4:$G$18,3,0)</f>
        <v>C-303</v>
      </c>
      <c r="Z582" s="19" t="str">
        <f>+VLOOKUP(Ingresos_Historicos[[#This Row],[Filtro Integrado]],Estructura!$M$4:$O$367,3,0)</f>
        <v>FI-303</v>
      </c>
      <c r="AA582" s="19" t="str">
        <f>+VLOOKUP(Ingresos_Historicos[[#This Row],[Muestra]],Estructura!$Q$4:$S$194,3,0)</f>
        <v>M-310</v>
      </c>
    </row>
    <row r="583" spans="1:27" ht="51" x14ac:dyDescent="0.3">
      <c r="A583" s="71" t="s">
        <v>969</v>
      </c>
      <c r="B583" s="12">
        <f t="shared" si="115"/>
        <v>300</v>
      </c>
      <c r="C583" s="13" t="str">
        <f t="shared" si="115"/>
        <v>Violencia contra la mujer</v>
      </c>
      <c r="D583" s="13" t="str">
        <f t="shared" si="115"/>
        <v>Mujeres</v>
      </c>
      <c r="E583" s="39">
        <v>79</v>
      </c>
      <c r="F583" s="13" t="s">
        <v>7581</v>
      </c>
      <c r="G583" s="13" t="s">
        <v>7576</v>
      </c>
      <c r="H583" s="38" t="s">
        <v>17</v>
      </c>
      <c r="I583" s="37" t="s">
        <v>362</v>
      </c>
      <c r="J583" s="12" t="s">
        <v>398</v>
      </c>
      <c r="K583" s="12" t="str">
        <f t="shared" si="114"/>
        <v>Sentencias Dictadas por Delitos Vinculados a la Mujer</v>
      </c>
      <c r="L583" s="75" t="str">
        <f t="shared" si="114"/>
        <v>Periodo 2013-2019</v>
      </c>
      <c r="M583" s="12" t="str">
        <f t="shared" si="114"/>
        <v>Número de sentencias</v>
      </c>
      <c r="N583" s="33" t="s">
        <v>5964</v>
      </c>
      <c r="O583" s="27" t="str">
        <f>"Sentencias Dictadas por Delitos Vinculados a la Mujer por Delito en el Juzgado de Garantía de "&amp;Ingresos_Historicos[[#This Row],[territorio]]&amp;" para el Periodo 2013-2019"</f>
        <v>Sentencias Dictadas por Delitos Vinculados a la Mujer por Delito en el Juzgado de Garantía de Arica para el Periodo 2013-2019</v>
      </c>
      <c r="P583"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Arica para el Periodo 2013-2019 de acuerdo a datos provenientes del Poder Judicial de Chile.</v>
      </c>
      <c r="Q583" s="14" t="str">
        <f t="shared" si="111"/>
        <v>Gráfico de Evolución</v>
      </c>
      <c r="R583" s="27" t="s">
        <v>6348</v>
      </c>
      <c r="S583" s="15" t="s">
        <v>6978</v>
      </c>
      <c r="T583" s="65" t="s">
        <v>5921</v>
      </c>
      <c r="U583" s="24" t="s">
        <v>397</v>
      </c>
      <c r="V583" s="19" t="str">
        <f>+Ingresos_Historicos[[#This Row],[idcoleccion]]&amp;"-"&amp;Ingresos_Historicos[[#This Row],[id]]</f>
        <v>300-0573</v>
      </c>
      <c r="W583" s="19" t="e">
        <f>+VLOOKUP(Ingresos_Historicos[[#This Row],[Filtro URL]],Estructura!$X$4:$Y$366,2,0)</f>
        <v>#N/A</v>
      </c>
      <c r="X583" s="19" t="str">
        <f>+VLOOKUP(Ingresos_Historicos[[#This Row],[tema]],Estructura!$A$4:$C$18,3,0)</f>
        <v>T-310</v>
      </c>
      <c r="Y583" s="19" t="str">
        <f>+VLOOKUP(Ingresos_Historicos[[#This Row],[contenido]],Estructura!$E$4:$G$18,3,0)</f>
        <v>C-303</v>
      </c>
      <c r="Z583" s="19" t="str">
        <f>+VLOOKUP(Ingresos_Historicos[[#This Row],[Filtro Integrado]],Estructura!$M$4:$O$367,3,0)</f>
        <v>FI-303</v>
      </c>
      <c r="AA583" s="19" t="str">
        <f>+VLOOKUP(Ingresos_Historicos[[#This Row],[Muestra]],Estructura!$Q$4:$S$194,3,0)</f>
        <v>M-310</v>
      </c>
    </row>
    <row r="584" spans="1:27" ht="51" x14ac:dyDescent="0.3">
      <c r="A584" s="71" t="s">
        <v>970</v>
      </c>
      <c r="B584" s="12">
        <f t="shared" si="115"/>
        <v>300</v>
      </c>
      <c r="C584" s="13" t="str">
        <f t="shared" si="115"/>
        <v>Violencia contra la mujer</v>
      </c>
      <c r="D584" s="13" t="str">
        <f t="shared" si="115"/>
        <v>Mujeres</v>
      </c>
      <c r="E584" s="39">
        <v>80</v>
      </c>
      <c r="F584" s="13" t="s">
        <v>7581</v>
      </c>
      <c r="G584" s="13" t="s">
        <v>7576</v>
      </c>
      <c r="H584" s="38" t="s">
        <v>17</v>
      </c>
      <c r="I584" s="37" t="s">
        <v>6082</v>
      </c>
      <c r="J584" s="12" t="s">
        <v>398</v>
      </c>
      <c r="K584" s="12" t="str">
        <f t="shared" ref="K584:M599" si="116">+K583</f>
        <v>Sentencias Dictadas por Delitos Vinculados a la Mujer</v>
      </c>
      <c r="L584" s="75" t="str">
        <f t="shared" si="116"/>
        <v>Periodo 2013-2019</v>
      </c>
      <c r="M584" s="12" t="str">
        <f t="shared" si="116"/>
        <v>Número de sentencias</v>
      </c>
      <c r="N584" s="33" t="s">
        <v>5964</v>
      </c>
      <c r="O584" s="72" t="str">
        <f>"Sentencias Dictadas por Delitos Vinculados a la Mujer por Delito en el Juzgado de Garantía de "&amp;Ingresos_Historicos[[#This Row],[territorio]]&amp;" para el Periodo 2013-2019"</f>
        <v>Sentencias Dictadas por Delitos Vinculados a la Mujer por Delito en el Juzgado de Garantía de Chillan para el Periodo 2013-2019</v>
      </c>
      <c r="P584"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Chillan para el Periodo 2013-2019 de acuerdo a datos provenientes del Poder Judicial de Chile.</v>
      </c>
      <c r="Q584" s="14" t="str">
        <f t="shared" si="111"/>
        <v>Gráfico de Evolución</v>
      </c>
      <c r="R584" s="27" t="s">
        <v>6348</v>
      </c>
      <c r="S584" s="15" t="s">
        <v>6979</v>
      </c>
      <c r="T584" s="65" t="s">
        <v>5958</v>
      </c>
      <c r="U584" s="24" t="s">
        <v>397</v>
      </c>
      <c r="V584" s="19" t="str">
        <f>+Ingresos_Historicos[[#This Row],[idcoleccion]]&amp;"-"&amp;Ingresos_Historicos[[#This Row],[id]]</f>
        <v>300-0574</v>
      </c>
      <c r="W584" s="19" t="e">
        <f>+VLOOKUP(Ingresos_Historicos[[#This Row],[Filtro URL]],Estructura!$X$4:$Y$366,2,0)</f>
        <v>#N/A</v>
      </c>
      <c r="X584" s="19" t="str">
        <f>+VLOOKUP(Ingresos_Historicos[[#This Row],[tema]],Estructura!$A$4:$C$18,3,0)</f>
        <v>T-310</v>
      </c>
      <c r="Y584" s="19" t="str">
        <f>+VLOOKUP(Ingresos_Historicos[[#This Row],[contenido]],Estructura!$E$4:$G$18,3,0)</f>
        <v>C-303</v>
      </c>
      <c r="Z584" s="19" t="str">
        <f>+VLOOKUP(Ingresos_Historicos[[#This Row],[Filtro Integrado]],Estructura!$M$4:$O$367,3,0)</f>
        <v>FI-303</v>
      </c>
      <c r="AA584" s="19" t="str">
        <f>+VLOOKUP(Ingresos_Historicos[[#This Row],[Muestra]],Estructura!$Q$4:$S$194,3,0)</f>
        <v>M-310</v>
      </c>
    </row>
    <row r="585" spans="1:27" ht="51" x14ac:dyDescent="0.3">
      <c r="A585" s="71" t="s">
        <v>971</v>
      </c>
      <c r="B585" s="12">
        <f t="shared" si="115"/>
        <v>300</v>
      </c>
      <c r="C585" s="13" t="str">
        <f t="shared" si="115"/>
        <v>Violencia contra la mujer</v>
      </c>
      <c r="D585" s="13" t="str">
        <f t="shared" si="115"/>
        <v>Mujeres</v>
      </c>
      <c r="E585" s="39">
        <v>81</v>
      </c>
      <c r="F585" s="13" t="s">
        <v>7581</v>
      </c>
      <c r="G585" s="13" t="s">
        <v>7576</v>
      </c>
      <c r="H585" s="38" t="s">
        <v>17</v>
      </c>
      <c r="I585" s="37" t="s">
        <v>213</v>
      </c>
      <c r="J585" s="12" t="s">
        <v>398</v>
      </c>
      <c r="K585" s="12" t="str">
        <f t="shared" si="116"/>
        <v>Sentencias Dictadas por Delitos Vinculados a la Mujer</v>
      </c>
      <c r="L585" s="75" t="str">
        <f t="shared" si="116"/>
        <v>Periodo 2013-2019</v>
      </c>
      <c r="M585" s="12" t="str">
        <f t="shared" si="116"/>
        <v>Número de sentencias</v>
      </c>
      <c r="N585" s="33" t="s">
        <v>5964</v>
      </c>
      <c r="O585" s="72" t="str">
        <f>"Sentencias Dictadas por Delitos Vinculados a la Mujer por Delito en el Juzgado de Garantía de "&amp;Ingresos_Historicos[[#This Row],[territorio]]&amp;" para el Periodo 2013-2019"</f>
        <v>Sentencias Dictadas por Delitos Vinculados a la Mujer por Delito en el Juzgado de Garantía de San Carlos para el Periodo 2013-2019</v>
      </c>
      <c r="P585"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San Carlos para el Periodo 2013-2019 de acuerdo a datos provenientes del Poder Judicial de Chile.</v>
      </c>
      <c r="Q585" s="14" t="str">
        <f t="shared" si="111"/>
        <v>Gráfico de Evolución</v>
      </c>
      <c r="R585" s="27" t="s">
        <v>6348</v>
      </c>
      <c r="S585" s="15" t="s">
        <v>6980</v>
      </c>
      <c r="T585" s="65" t="s">
        <v>5958</v>
      </c>
      <c r="U585" s="24" t="s">
        <v>397</v>
      </c>
      <c r="V585" s="19" t="str">
        <f>+Ingresos_Historicos[[#This Row],[idcoleccion]]&amp;"-"&amp;Ingresos_Historicos[[#This Row],[id]]</f>
        <v>300-0575</v>
      </c>
      <c r="W585" s="19" t="e">
        <f>+VLOOKUP(Ingresos_Historicos[[#This Row],[Filtro URL]],Estructura!$X$4:$Y$366,2,0)</f>
        <v>#N/A</v>
      </c>
      <c r="X585" s="19" t="str">
        <f>+VLOOKUP(Ingresos_Historicos[[#This Row],[tema]],Estructura!$A$4:$C$18,3,0)</f>
        <v>T-310</v>
      </c>
      <c r="Y585" s="19" t="str">
        <f>+VLOOKUP(Ingresos_Historicos[[#This Row],[contenido]],Estructura!$E$4:$G$18,3,0)</f>
        <v>C-303</v>
      </c>
      <c r="Z585" s="19" t="str">
        <f>+VLOOKUP(Ingresos_Historicos[[#This Row],[Filtro Integrado]],Estructura!$M$4:$O$367,3,0)</f>
        <v>FI-303</v>
      </c>
      <c r="AA585" s="19" t="str">
        <f>+VLOOKUP(Ingresos_Historicos[[#This Row],[Muestra]],Estructura!$Q$4:$S$194,3,0)</f>
        <v>M-310</v>
      </c>
    </row>
    <row r="586" spans="1:27" ht="51" x14ac:dyDescent="0.3">
      <c r="A586" s="71" t="s">
        <v>972</v>
      </c>
      <c r="B586" s="12">
        <f t="shared" si="115"/>
        <v>300</v>
      </c>
      <c r="C586" s="13" t="str">
        <f t="shared" si="115"/>
        <v>Violencia contra la mujer</v>
      </c>
      <c r="D586" s="13" t="str">
        <f t="shared" si="115"/>
        <v>Mujeres</v>
      </c>
      <c r="E586" s="39">
        <v>82</v>
      </c>
      <c r="F586" s="13" t="s">
        <v>7581</v>
      </c>
      <c r="G586" s="13" t="s">
        <v>7576</v>
      </c>
      <c r="H586" s="38" t="s">
        <v>17</v>
      </c>
      <c r="I586" s="37" t="s">
        <v>218</v>
      </c>
      <c r="J586" s="12" t="s">
        <v>398</v>
      </c>
      <c r="K586" s="12" t="str">
        <f t="shared" si="116"/>
        <v>Sentencias Dictadas por Delitos Vinculados a la Mujer</v>
      </c>
      <c r="L586" s="75" t="str">
        <f t="shared" si="116"/>
        <v>Periodo 2013-2019</v>
      </c>
      <c r="M586" s="12" t="str">
        <f t="shared" si="116"/>
        <v>Número de sentencias</v>
      </c>
      <c r="N586" s="33" t="s">
        <v>5964</v>
      </c>
      <c r="O586" s="72" t="str">
        <f>"Sentencias Dictadas por Delitos Vinculados a la Mujer por Delito en el Juzgado de Garantía de "&amp;Ingresos_Historicos[[#This Row],[territorio]]&amp;" para el Periodo 2013-2019"</f>
        <v>Sentencias Dictadas por Delitos Vinculados a la Mujer por Delito en el Juzgado de Garantía de Yungay para el Periodo 2013-2019</v>
      </c>
      <c r="P586" s="42" t="str">
        <f>"Gráfico que muestra la evolución anual de la frecuencia de Sentencias Dictadas por Delitos Vinculados a la Mujer por Delito en el Juzgado de Garantía de "&amp;Ingresos_Historicos[[#This Row],[territorio]]&amp;" para el Periodo 2013-2019 de acuerdo a datos provenientes del Poder Judicial de Chile."</f>
        <v>Gráfico que muestra la evolución anual de la frecuencia de Sentencias Dictadas por Delitos Vinculados a la Mujer por Delito en el Juzgado de Garantía de Yungay para el Periodo 2013-2019 de acuerdo a datos provenientes del Poder Judicial de Chile.</v>
      </c>
      <c r="Q586" s="14" t="str">
        <f t="shared" si="111"/>
        <v>Gráfico de Evolución</v>
      </c>
      <c r="R586" s="27" t="s">
        <v>6348</v>
      </c>
      <c r="S586" s="15" t="s">
        <v>6981</v>
      </c>
      <c r="T586" s="65" t="s">
        <v>5958</v>
      </c>
      <c r="U586" s="24" t="s">
        <v>397</v>
      </c>
      <c r="V586" s="19" t="str">
        <f>+Ingresos_Historicos[[#This Row],[idcoleccion]]&amp;"-"&amp;Ingresos_Historicos[[#This Row],[id]]</f>
        <v>300-0576</v>
      </c>
      <c r="W586" s="19" t="e">
        <f>+VLOOKUP(Ingresos_Historicos[[#This Row],[Filtro URL]],Estructura!$X$4:$Y$366,2,0)</f>
        <v>#N/A</v>
      </c>
      <c r="X586" s="19" t="str">
        <f>+VLOOKUP(Ingresos_Historicos[[#This Row],[tema]],Estructura!$A$4:$C$18,3,0)</f>
        <v>T-310</v>
      </c>
      <c r="Y586" s="19" t="str">
        <f>+VLOOKUP(Ingresos_Historicos[[#This Row],[contenido]],Estructura!$E$4:$G$18,3,0)</f>
        <v>C-303</v>
      </c>
      <c r="Z586" s="19" t="str">
        <f>+VLOOKUP(Ingresos_Historicos[[#This Row],[Filtro Integrado]],Estructura!$M$4:$O$367,3,0)</f>
        <v>FI-303</v>
      </c>
      <c r="AA586" s="19" t="str">
        <f>+VLOOKUP(Ingresos_Historicos[[#This Row],[Muestra]],Estructura!$Q$4:$S$194,3,0)</f>
        <v>M-310</v>
      </c>
    </row>
    <row r="587" spans="1:27" ht="51" x14ac:dyDescent="0.3">
      <c r="A587" s="32" t="s">
        <v>973</v>
      </c>
      <c r="B587" s="12">
        <f t="shared" si="115"/>
        <v>300</v>
      </c>
      <c r="C587" s="13" t="str">
        <f t="shared" si="115"/>
        <v>Violencia contra la mujer</v>
      </c>
      <c r="D587" s="13" t="str">
        <f t="shared" si="115"/>
        <v>Mujeres</v>
      </c>
      <c r="E587" s="18">
        <v>270103002</v>
      </c>
      <c r="F587" s="13" t="s">
        <v>7577</v>
      </c>
      <c r="G587" s="13" t="s">
        <v>7576</v>
      </c>
      <c r="H587" s="30" t="s">
        <v>19</v>
      </c>
      <c r="I587" s="31" t="s">
        <v>14</v>
      </c>
      <c r="J587" s="12" t="s">
        <v>398</v>
      </c>
      <c r="K587" s="12" t="str">
        <f t="shared" si="116"/>
        <v>Sentencias Dictadas por Delitos Vinculados a la Mujer</v>
      </c>
      <c r="L587" s="75" t="str">
        <f t="shared" si="116"/>
        <v>Periodo 2013-2019</v>
      </c>
      <c r="M587" s="12" t="str">
        <f t="shared" si="116"/>
        <v>Número de sentencias</v>
      </c>
      <c r="N587" s="33" t="s">
        <v>5964</v>
      </c>
      <c r="O587" s="72" t="s">
        <v>6349</v>
      </c>
      <c r="P587" s="42" t="s">
        <v>6350</v>
      </c>
      <c r="Q587" s="14" t="str">
        <f t="shared" si="111"/>
        <v>Gráfico de Evolución</v>
      </c>
      <c r="R587" s="27" t="s">
        <v>6351</v>
      </c>
      <c r="S587" s="15" t="s">
        <v>6982</v>
      </c>
      <c r="T587" s="65" t="s">
        <v>5906</v>
      </c>
      <c r="U587" s="24" t="s">
        <v>397</v>
      </c>
      <c r="V587" s="19" t="str">
        <f>+Ingresos_Historicos[[#This Row],[idcoleccion]]&amp;"-"&amp;Ingresos_Historicos[[#This Row],[id]]</f>
        <v>300-0577</v>
      </c>
      <c r="W587" s="19" t="e">
        <f>+VLOOKUP(Ingresos_Historicos[[#This Row],[Filtro URL]],Estructura!$X$4:$Y$366,2,0)</f>
        <v>#N/A</v>
      </c>
      <c r="X587" s="19" t="str">
        <f>+VLOOKUP(Ingresos_Historicos[[#This Row],[tema]],Estructura!$A$4:$C$18,3,0)</f>
        <v>T-307</v>
      </c>
      <c r="Y587" s="19" t="str">
        <f>+VLOOKUP(Ingresos_Historicos[[#This Row],[contenido]],Estructura!$E$4:$G$18,3,0)</f>
        <v>C-303</v>
      </c>
      <c r="Z587" s="19" t="str">
        <f>+VLOOKUP(Ingresos_Historicos[[#This Row],[Filtro Integrado]],Estructura!$M$4:$O$367,3,0)</f>
        <v>FI-303</v>
      </c>
      <c r="AA587" s="19" t="str">
        <f>+VLOOKUP(Ingresos_Historicos[[#This Row],[Muestra]],Estructura!$Q$4:$S$194,3,0)</f>
        <v>M-310</v>
      </c>
    </row>
    <row r="588" spans="1:27" ht="51" x14ac:dyDescent="0.3">
      <c r="A588" s="32" t="s">
        <v>974</v>
      </c>
      <c r="B588" s="12">
        <f t="shared" si="115"/>
        <v>300</v>
      </c>
      <c r="C588" s="13" t="str">
        <f t="shared" si="115"/>
        <v>Violencia contra la mujer</v>
      </c>
      <c r="D588" s="13" t="str">
        <f t="shared" si="115"/>
        <v>Mujeres</v>
      </c>
      <c r="E588" s="18">
        <v>270103003</v>
      </c>
      <c r="F588" s="13" t="s">
        <v>7577</v>
      </c>
      <c r="G588" s="13" t="s">
        <v>7576</v>
      </c>
      <c r="H588" s="30" t="s">
        <v>19</v>
      </c>
      <c r="I588" s="31" t="s">
        <v>14</v>
      </c>
      <c r="J588" s="12" t="s">
        <v>398</v>
      </c>
      <c r="K588" s="12" t="str">
        <f t="shared" si="116"/>
        <v>Sentencias Dictadas por Delitos Vinculados a la Mujer</v>
      </c>
      <c r="L588" s="75" t="str">
        <f t="shared" si="116"/>
        <v>Periodo 2013-2019</v>
      </c>
      <c r="M588" s="12" t="str">
        <f t="shared" si="116"/>
        <v>Número de sentencias</v>
      </c>
      <c r="N588" s="33" t="s">
        <v>5964</v>
      </c>
      <c r="O588" s="72" t="s">
        <v>6352</v>
      </c>
      <c r="P588" s="42" t="s">
        <v>6353</v>
      </c>
      <c r="Q588" s="14" t="str">
        <f t="shared" si="111"/>
        <v>Gráfico de Evolución</v>
      </c>
      <c r="R588" s="27" t="s">
        <v>6354</v>
      </c>
      <c r="S588" s="15" t="s">
        <v>6983</v>
      </c>
      <c r="T588" s="65" t="s">
        <v>5906</v>
      </c>
      <c r="U588" s="24" t="s">
        <v>397</v>
      </c>
      <c r="V588" s="19" t="str">
        <f>+Ingresos_Historicos[[#This Row],[idcoleccion]]&amp;"-"&amp;Ingresos_Historicos[[#This Row],[id]]</f>
        <v>300-0578</v>
      </c>
      <c r="W588" s="19" t="e">
        <f>+VLOOKUP(Ingresos_Historicos[[#This Row],[Filtro URL]],Estructura!$X$4:$Y$366,2,0)</f>
        <v>#N/A</v>
      </c>
      <c r="X588" s="19" t="str">
        <f>+VLOOKUP(Ingresos_Historicos[[#This Row],[tema]],Estructura!$A$4:$C$18,3,0)</f>
        <v>T-307</v>
      </c>
      <c r="Y588" s="19" t="str">
        <f>+VLOOKUP(Ingresos_Historicos[[#This Row],[contenido]],Estructura!$E$4:$G$18,3,0)</f>
        <v>C-303</v>
      </c>
      <c r="Z588" s="19" t="str">
        <f>+VLOOKUP(Ingresos_Historicos[[#This Row],[Filtro Integrado]],Estructura!$M$4:$O$367,3,0)</f>
        <v>FI-303</v>
      </c>
      <c r="AA588" s="19" t="str">
        <f>+VLOOKUP(Ingresos_Historicos[[#This Row],[Muestra]],Estructura!$Q$4:$S$194,3,0)</f>
        <v>M-310</v>
      </c>
    </row>
    <row r="589" spans="1:27" ht="51" x14ac:dyDescent="0.3">
      <c r="A589" s="32" t="s">
        <v>975</v>
      </c>
      <c r="B589" s="12">
        <f t="shared" si="115"/>
        <v>300</v>
      </c>
      <c r="C589" s="13" t="str">
        <f t="shared" si="115"/>
        <v>Violencia contra la mujer</v>
      </c>
      <c r="D589" s="13" t="str">
        <f t="shared" si="115"/>
        <v>Mujeres</v>
      </c>
      <c r="E589" s="18">
        <v>270103004</v>
      </c>
      <c r="F589" s="13" t="s">
        <v>7580</v>
      </c>
      <c r="G589" s="13" t="s">
        <v>7576</v>
      </c>
      <c r="H589" s="30" t="s">
        <v>19</v>
      </c>
      <c r="I589" s="31" t="s">
        <v>14</v>
      </c>
      <c r="J589" s="12" t="s">
        <v>398</v>
      </c>
      <c r="K589" s="12" t="str">
        <f t="shared" si="116"/>
        <v>Sentencias Dictadas por Delitos Vinculados a la Mujer</v>
      </c>
      <c r="L589" s="75" t="str">
        <f t="shared" si="116"/>
        <v>Periodo 2013-2019</v>
      </c>
      <c r="M589" s="12" t="str">
        <f t="shared" si="116"/>
        <v>Número de sentencias</v>
      </c>
      <c r="N589" s="33" t="s">
        <v>5964</v>
      </c>
      <c r="O589" s="72" t="s">
        <v>6355</v>
      </c>
      <c r="P589" s="42" t="s">
        <v>6356</v>
      </c>
      <c r="Q589" s="14" t="str">
        <f t="shared" si="111"/>
        <v>Gráfico de Evolución</v>
      </c>
      <c r="R589" s="27" t="s">
        <v>6357</v>
      </c>
      <c r="S589" s="15" t="s">
        <v>6984</v>
      </c>
      <c r="T589" s="65" t="s">
        <v>5906</v>
      </c>
      <c r="U589" s="24" t="s">
        <v>397</v>
      </c>
      <c r="V589" s="19" t="str">
        <f>+Ingresos_Historicos[[#This Row],[idcoleccion]]&amp;"-"&amp;Ingresos_Historicos[[#This Row],[id]]</f>
        <v>300-0579</v>
      </c>
      <c r="W589" s="19" t="e">
        <f>+VLOOKUP(Ingresos_Historicos[[#This Row],[Filtro URL]],Estructura!$X$4:$Y$366,2,0)</f>
        <v>#N/A</v>
      </c>
      <c r="X589" s="19" t="str">
        <f>+VLOOKUP(Ingresos_Historicos[[#This Row],[tema]],Estructura!$A$4:$C$18,3,0)</f>
        <v>T-309</v>
      </c>
      <c r="Y589" s="19" t="str">
        <f>+VLOOKUP(Ingresos_Historicos[[#This Row],[contenido]],Estructura!$E$4:$G$18,3,0)</f>
        <v>C-303</v>
      </c>
      <c r="Z589" s="19" t="str">
        <f>+VLOOKUP(Ingresos_Historicos[[#This Row],[Filtro Integrado]],Estructura!$M$4:$O$367,3,0)</f>
        <v>FI-303</v>
      </c>
      <c r="AA589" s="19" t="str">
        <f>+VLOOKUP(Ingresos_Historicos[[#This Row],[Muestra]],Estructura!$Q$4:$S$194,3,0)</f>
        <v>M-310</v>
      </c>
    </row>
    <row r="590" spans="1:27" ht="51" x14ac:dyDescent="0.3">
      <c r="A590" s="32" t="s">
        <v>976</v>
      </c>
      <c r="B590" s="12">
        <f t="shared" si="115"/>
        <v>300</v>
      </c>
      <c r="C590" s="13" t="str">
        <f t="shared" si="115"/>
        <v>Violencia contra la mujer</v>
      </c>
      <c r="D590" s="13" t="str">
        <f t="shared" si="115"/>
        <v>Mujeres</v>
      </c>
      <c r="E590" s="18">
        <v>270103005</v>
      </c>
      <c r="F590" s="13" t="s">
        <v>7577</v>
      </c>
      <c r="G590" s="13" t="s">
        <v>7576</v>
      </c>
      <c r="H590" s="30" t="s">
        <v>19</v>
      </c>
      <c r="I590" s="31" t="s">
        <v>14</v>
      </c>
      <c r="J590" s="12" t="s">
        <v>398</v>
      </c>
      <c r="K590" s="12" t="str">
        <f t="shared" si="116"/>
        <v>Sentencias Dictadas por Delitos Vinculados a la Mujer</v>
      </c>
      <c r="L590" s="75" t="str">
        <f t="shared" si="116"/>
        <v>Periodo 2013-2019</v>
      </c>
      <c r="M590" s="12" t="str">
        <f t="shared" si="116"/>
        <v>Número de sentencias</v>
      </c>
      <c r="N590" s="33" t="s">
        <v>5964</v>
      </c>
      <c r="O590" s="72" t="s">
        <v>6358</v>
      </c>
      <c r="P590" s="42" t="s">
        <v>6359</v>
      </c>
      <c r="Q590" s="14" t="str">
        <f t="shared" si="111"/>
        <v>Gráfico de Evolución</v>
      </c>
      <c r="R590" s="27" t="s">
        <v>6360</v>
      </c>
      <c r="S590" s="15" t="s">
        <v>6985</v>
      </c>
      <c r="T590" s="65" t="s">
        <v>5906</v>
      </c>
      <c r="U590" s="24" t="s">
        <v>397</v>
      </c>
      <c r="V590" s="19" t="str">
        <f>+Ingresos_Historicos[[#This Row],[idcoleccion]]&amp;"-"&amp;Ingresos_Historicos[[#This Row],[id]]</f>
        <v>300-0580</v>
      </c>
      <c r="W590" s="19" t="e">
        <f>+VLOOKUP(Ingresos_Historicos[[#This Row],[Filtro URL]],Estructura!$X$4:$Y$366,2,0)</f>
        <v>#N/A</v>
      </c>
      <c r="X590" s="19" t="str">
        <f>+VLOOKUP(Ingresos_Historicos[[#This Row],[tema]],Estructura!$A$4:$C$18,3,0)</f>
        <v>T-307</v>
      </c>
      <c r="Y590" s="19" t="str">
        <f>+VLOOKUP(Ingresos_Historicos[[#This Row],[contenido]],Estructura!$E$4:$G$18,3,0)</f>
        <v>C-303</v>
      </c>
      <c r="Z590" s="19" t="str">
        <f>+VLOOKUP(Ingresos_Historicos[[#This Row],[Filtro Integrado]],Estructura!$M$4:$O$367,3,0)</f>
        <v>FI-303</v>
      </c>
      <c r="AA590" s="19" t="str">
        <f>+VLOOKUP(Ingresos_Historicos[[#This Row],[Muestra]],Estructura!$Q$4:$S$194,3,0)</f>
        <v>M-310</v>
      </c>
    </row>
    <row r="591" spans="1:27" ht="51" x14ac:dyDescent="0.3">
      <c r="A591" s="32" t="s">
        <v>977</v>
      </c>
      <c r="B591" s="12">
        <f t="shared" si="115"/>
        <v>300</v>
      </c>
      <c r="C591" s="13" t="str">
        <f t="shared" si="115"/>
        <v>Violencia contra la mujer</v>
      </c>
      <c r="D591" s="13" t="str">
        <f t="shared" si="115"/>
        <v>Mujeres</v>
      </c>
      <c r="E591" s="18">
        <v>270104001</v>
      </c>
      <c r="F591" s="13" t="s">
        <v>7579</v>
      </c>
      <c r="G591" s="13" t="s">
        <v>7576</v>
      </c>
      <c r="H591" s="30" t="s">
        <v>19</v>
      </c>
      <c r="I591" s="31" t="s">
        <v>14</v>
      </c>
      <c r="J591" s="12" t="s">
        <v>398</v>
      </c>
      <c r="K591" s="12" t="s">
        <v>6191</v>
      </c>
      <c r="L591" s="75" t="str">
        <f t="shared" si="116"/>
        <v>Periodo 2013-2019</v>
      </c>
      <c r="M591" s="12" t="s">
        <v>5963</v>
      </c>
      <c r="N591" s="33" t="s">
        <v>5964</v>
      </c>
      <c r="O591" s="72" t="s">
        <v>6361</v>
      </c>
      <c r="P591" s="42" t="s">
        <v>6362</v>
      </c>
      <c r="Q591" s="14" t="s">
        <v>5967</v>
      </c>
      <c r="R591" s="27" t="s">
        <v>6363</v>
      </c>
      <c r="S591" s="15" t="s">
        <v>6986</v>
      </c>
      <c r="T591" s="65" t="s">
        <v>5906</v>
      </c>
      <c r="U591" s="24" t="s">
        <v>397</v>
      </c>
      <c r="V591" s="19" t="str">
        <f>+Ingresos_Historicos[[#This Row],[idcoleccion]]&amp;"-"&amp;Ingresos_Historicos[[#This Row],[id]]</f>
        <v>300-0581</v>
      </c>
      <c r="W591" s="19" t="e">
        <f>+VLOOKUP(Ingresos_Historicos[[#This Row],[Filtro URL]],Estructura!$X$4:$Y$366,2,0)</f>
        <v>#N/A</v>
      </c>
      <c r="X591" s="19" t="str">
        <f>+VLOOKUP(Ingresos_Historicos[[#This Row],[tema]],Estructura!$A$4:$C$18,3,0)</f>
        <v>T-308</v>
      </c>
      <c r="Y591" s="19" t="str">
        <f>+VLOOKUP(Ingresos_Historicos[[#This Row],[contenido]],Estructura!$E$4:$G$18,3,0)</f>
        <v>C-303</v>
      </c>
      <c r="Z591" s="19" t="str">
        <f>+VLOOKUP(Ingresos_Historicos[[#This Row],[Filtro Integrado]],Estructura!$M$4:$O$367,3,0)</f>
        <v>FI-303</v>
      </c>
      <c r="AA591" s="19" t="str">
        <f>+VLOOKUP(Ingresos_Historicos[[#This Row],[Muestra]],Estructura!$Q$4:$S$194,3,0)</f>
        <v>M-310</v>
      </c>
    </row>
    <row r="592" spans="1:27" ht="51" x14ac:dyDescent="0.3">
      <c r="A592" s="32" t="s">
        <v>978</v>
      </c>
      <c r="B592" s="12">
        <f t="shared" si="115"/>
        <v>300</v>
      </c>
      <c r="C592" s="13" t="str">
        <f t="shared" si="115"/>
        <v>Violencia contra la mujer</v>
      </c>
      <c r="D592" s="13" t="str">
        <f t="shared" si="115"/>
        <v>Mujeres</v>
      </c>
      <c r="E592" s="18">
        <v>270105001</v>
      </c>
      <c r="F592" s="13" t="s">
        <v>7580</v>
      </c>
      <c r="G592" s="13" t="s">
        <v>7576</v>
      </c>
      <c r="H592" s="30" t="s">
        <v>19</v>
      </c>
      <c r="I592" s="31" t="s">
        <v>14</v>
      </c>
      <c r="J592" s="12" t="s">
        <v>398</v>
      </c>
      <c r="K592" s="12" t="str">
        <f t="shared" si="116"/>
        <v>Sentencias Dictadas por Delitos Vinculados a la Mujer</v>
      </c>
      <c r="L592" s="75" t="str">
        <f t="shared" si="116"/>
        <v>Periodo 2013-2019</v>
      </c>
      <c r="M592" s="12" t="str">
        <f t="shared" si="116"/>
        <v>Número de sentencias</v>
      </c>
      <c r="N592" s="33" t="s">
        <v>5964</v>
      </c>
      <c r="O592" s="72" t="s">
        <v>6364</v>
      </c>
      <c r="P592" s="42" t="s">
        <v>6365</v>
      </c>
      <c r="Q592" s="14" t="str">
        <f t="shared" si="111"/>
        <v>Gráfico de Evolución</v>
      </c>
      <c r="R592" s="27" t="s">
        <v>6366</v>
      </c>
      <c r="S592" s="15" t="s">
        <v>6987</v>
      </c>
      <c r="T592" s="65" t="s">
        <v>5906</v>
      </c>
      <c r="U592" s="24" t="s">
        <v>397</v>
      </c>
      <c r="V592" s="19" t="str">
        <f>+Ingresos_Historicos[[#This Row],[idcoleccion]]&amp;"-"&amp;Ingresos_Historicos[[#This Row],[id]]</f>
        <v>300-0582</v>
      </c>
      <c r="W592" s="19" t="e">
        <f>+VLOOKUP(Ingresos_Historicos[[#This Row],[Filtro URL]],Estructura!$X$4:$Y$366,2,0)</f>
        <v>#N/A</v>
      </c>
      <c r="X592" s="19" t="str">
        <f>+VLOOKUP(Ingresos_Historicos[[#This Row],[tema]],Estructura!$A$4:$C$18,3,0)</f>
        <v>T-309</v>
      </c>
      <c r="Y592" s="19" t="str">
        <f>+VLOOKUP(Ingresos_Historicos[[#This Row],[contenido]],Estructura!$E$4:$G$18,3,0)</f>
        <v>C-303</v>
      </c>
      <c r="Z592" s="19" t="str">
        <f>+VLOOKUP(Ingresos_Historicos[[#This Row],[Filtro Integrado]],Estructura!$M$4:$O$367,3,0)</f>
        <v>FI-303</v>
      </c>
      <c r="AA592" s="19" t="str">
        <f>+VLOOKUP(Ingresos_Historicos[[#This Row],[Muestra]],Estructura!$Q$4:$S$194,3,0)</f>
        <v>M-310</v>
      </c>
    </row>
    <row r="593" spans="1:27" ht="51" x14ac:dyDescent="0.3">
      <c r="A593" s="32" t="s">
        <v>979</v>
      </c>
      <c r="B593" s="12">
        <f t="shared" si="115"/>
        <v>300</v>
      </c>
      <c r="C593" s="13" t="str">
        <f t="shared" si="115"/>
        <v>Violencia contra la mujer</v>
      </c>
      <c r="D593" s="13" t="str">
        <f t="shared" si="115"/>
        <v>Mujeres</v>
      </c>
      <c r="E593" s="18">
        <v>270105002</v>
      </c>
      <c r="F593" s="13" t="s">
        <v>7580</v>
      </c>
      <c r="G593" s="13" t="s">
        <v>7576</v>
      </c>
      <c r="H593" s="30" t="s">
        <v>19</v>
      </c>
      <c r="I593" s="31" t="s">
        <v>14</v>
      </c>
      <c r="J593" s="12" t="s">
        <v>398</v>
      </c>
      <c r="K593" s="12" t="str">
        <f t="shared" si="116"/>
        <v>Sentencias Dictadas por Delitos Vinculados a la Mujer</v>
      </c>
      <c r="L593" s="75" t="str">
        <f t="shared" si="116"/>
        <v>Periodo 2013-2019</v>
      </c>
      <c r="M593" s="12" t="str">
        <f t="shared" si="116"/>
        <v>Número de sentencias</v>
      </c>
      <c r="N593" s="33" t="s">
        <v>5964</v>
      </c>
      <c r="O593" s="72" t="s">
        <v>6367</v>
      </c>
      <c r="P593" s="42" t="s">
        <v>6368</v>
      </c>
      <c r="Q593" s="14" t="str">
        <f t="shared" si="111"/>
        <v>Gráfico de Evolución</v>
      </c>
      <c r="R593" s="27" t="s">
        <v>6369</v>
      </c>
      <c r="S593" s="15" t="s">
        <v>6988</v>
      </c>
      <c r="T593" s="65" t="s">
        <v>5906</v>
      </c>
      <c r="U593" s="24" t="s">
        <v>397</v>
      </c>
      <c r="V593" s="19" t="str">
        <f>+Ingresos_Historicos[[#This Row],[idcoleccion]]&amp;"-"&amp;Ingresos_Historicos[[#This Row],[id]]</f>
        <v>300-0583</v>
      </c>
      <c r="W593" s="19" t="e">
        <f>+VLOOKUP(Ingresos_Historicos[[#This Row],[Filtro URL]],Estructura!$X$4:$Y$366,2,0)</f>
        <v>#N/A</v>
      </c>
      <c r="X593" s="19" t="str">
        <f>+VLOOKUP(Ingresos_Historicos[[#This Row],[tema]],Estructura!$A$4:$C$18,3,0)</f>
        <v>T-309</v>
      </c>
      <c r="Y593" s="19" t="str">
        <f>+VLOOKUP(Ingresos_Historicos[[#This Row],[contenido]],Estructura!$E$4:$G$18,3,0)</f>
        <v>C-303</v>
      </c>
      <c r="Z593" s="19" t="str">
        <f>+VLOOKUP(Ingresos_Historicos[[#This Row],[Filtro Integrado]],Estructura!$M$4:$O$367,3,0)</f>
        <v>FI-303</v>
      </c>
      <c r="AA593" s="19" t="str">
        <f>+VLOOKUP(Ingresos_Historicos[[#This Row],[Muestra]],Estructura!$Q$4:$S$194,3,0)</f>
        <v>M-310</v>
      </c>
    </row>
    <row r="594" spans="1:27" ht="51" x14ac:dyDescent="0.3">
      <c r="A594" s="32" t="s">
        <v>980</v>
      </c>
      <c r="B594" s="12">
        <f t="shared" si="115"/>
        <v>300</v>
      </c>
      <c r="C594" s="13" t="str">
        <f t="shared" si="115"/>
        <v>Violencia contra la mujer</v>
      </c>
      <c r="D594" s="13" t="str">
        <f t="shared" si="115"/>
        <v>Mujeres</v>
      </c>
      <c r="E594" s="18">
        <v>270105003</v>
      </c>
      <c r="F594" s="13" t="s">
        <v>7580</v>
      </c>
      <c r="G594" s="13" t="s">
        <v>7576</v>
      </c>
      <c r="H594" s="30" t="s">
        <v>19</v>
      </c>
      <c r="I594" s="31" t="s">
        <v>14</v>
      </c>
      <c r="J594" s="12" t="s">
        <v>398</v>
      </c>
      <c r="K594" s="12" t="str">
        <f t="shared" si="116"/>
        <v>Sentencias Dictadas por Delitos Vinculados a la Mujer</v>
      </c>
      <c r="L594" s="75" t="str">
        <f t="shared" si="116"/>
        <v>Periodo 2013-2019</v>
      </c>
      <c r="M594" s="12" t="str">
        <f t="shared" si="116"/>
        <v>Número de sentencias</v>
      </c>
      <c r="N594" s="33" t="s">
        <v>5964</v>
      </c>
      <c r="O594" s="72" t="s">
        <v>6370</v>
      </c>
      <c r="P594" s="42" t="s">
        <v>6371</v>
      </c>
      <c r="Q594" s="14" t="str">
        <f t="shared" si="111"/>
        <v>Gráfico de Evolución</v>
      </c>
      <c r="R594" s="27" t="s">
        <v>6372</v>
      </c>
      <c r="S594" s="15" t="s">
        <v>6989</v>
      </c>
      <c r="T594" s="65" t="s">
        <v>5906</v>
      </c>
      <c r="U594" s="24" t="s">
        <v>397</v>
      </c>
      <c r="V594" s="19" t="str">
        <f>+Ingresos_Historicos[[#This Row],[idcoleccion]]&amp;"-"&amp;Ingresos_Historicos[[#This Row],[id]]</f>
        <v>300-0584</v>
      </c>
      <c r="W594" s="19" t="e">
        <f>+VLOOKUP(Ingresos_Historicos[[#This Row],[Filtro URL]],Estructura!$X$4:$Y$366,2,0)</f>
        <v>#N/A</v>
      </c>
      <c r="X594" s="19" t="str">
        <f>+VLOOKUP(Ingresos_Historicos[[#This Row],[tema]],Estructura!$A$4:$C$18,3,0)</f>
        <v>T-309</v>
      </c>
      <c r="Y594" s="19" t="str">
        <f>+VLOOKUP(Ingresos_Historicos[[#This Row],[contenido]],Estructura!$E$4:$G$18,3,0)</f>
        <v>C-303</v>
      </c>
      <c r="Z594" s="19" t="str">
        <f>+VLOOKUP(Ingresos_Historicos[[#This Row],[Filtro Integrado]],Estructura!$M$4:$O$367,3,0)</f>
        <v>FI-303</v>
      </c>
      <c r="AA594" s="19" t="str">
        <f>+VLOOKUP(Ingresos_Historicos[[#This Row],[Muestra]],Estructura!$Q$4:$S$194,3,0)</f>
        <v>M-310</v>
      </c>
    </row>
    <row r="595" spans="1:27" ht="51" x14ac:dyDescent="0.3">
      <c r="A595" s="32" t="s">
        <v>981</v>
      </c>
      <c r="B595" s="12">
        <f t="shared" si="115"/>
        <v>300</v>
      </c>
      <c r="C595" s="13" t="str">
        <f t="shared" si="115"/>
        <v>Violencia contra la mujer</v>
      </c>
      <c r="D595" s="13" t="str">
        <f t="shared" si="115"/>
        <v>Mujeres</v>
      </c>
      <c r="E595" s="18">
        <v>270103002</v>
      </c>
      <c r="F595" s="13" t="s">
        <v>7580</v>
      </c>
      <c r="G595" s="13" t="s">
        <v>7576</v>
      </c>
      <c r="H595" s="30" t="s">
        <v>19</v>
      </c>
      <c r="I595" s="31" t="s">
        <v>14</v>
      </c>
      <c r="J595" s="12" t="s">
        <v>398</v>
      </c>
      <c r="K595" s="12" t="str">
        <f t="shared" si="116"/>
        <v>Sentencias Dictadas por Delitos Vinculados a la Mujer</v>
      </c>
      <c r="L595" s="75" t="str">
        <f t="shared" si="116"/>
        <v>Periodo 2013-2019</v>
      </c>
      <c r="M595" s="12" t="str">
        <f t="shared" si="116"/>
        <v>Número de sentencias</v>
      </c>
      <c r="N595" s="33" t="s">
        <v>5964</v>
      </c>
      <c r="O595" s="72" t="s">
        <v>6373</v>
      </c>
      <c r="P595" s="42" t="s">
        <v>6374</v>
      </c>
      <c r="Q595" s="14" t="str">
        <f t="shared" si="111"/>
        <v>Gráfico de Evolución</v>
      </c>
      <c r="R595" s="27" t="s">
        <v>6351</v>
      </c>
      <c r="S595" s="15" t="s">
        <v>6990</v>
      </c>
      <c r="T595" s="65" t="s">
        <v>5951</v>
      </c>
      <c r="U595" s="24" t="s">
        <v>397</v>
      </c>
      <c r="V595" s="19" t="str">
        <f>+Ingresos_Historicos[[#This Row],[idcoleccion]]&amp;"-"&amp;Ingresos_Historicos[[#This Row],[id]]</f>
        <v>300-0585</v>
      </c>
      <c r="W595" s="19" t="e">
        <f>+VLOOKUP(Ingresos_Historicos[[#This Row],[Filtro URL]],Estructura!$X$4:$Y$366,2,0)</f>
        <v>#N/A</v>
      </c>
      <c r="X595" s="19" t="str">
        <f>+VLOOKUP(Ingresos_Historicos[[#This Row],[tema]],Estructura!$A$4:$C$18,3,0)</f>
        <v>T-309</v>
      </c>
      <c r="Y595" s="19" t="str">
        <f>+VLOOKUP(Ingresos_Historicos[[#This Row],[contenido]],Estructura!$E$4:$G$18,3,0)</f>
        <v>C-303</v>
      </c>
      <c r="Z595" s="19" t="str">
        <f>+VLOOKUP(Ingresos_Historicos[[#This Row],[Filtro Integrado]],Estructura!$M$4:$O$367,3,0)</f>
        <v>FI-303</v>
      </c>
      <c r="AA595" s="19" t="str">
        <f>+VLOOKUP(Ingresos_Historicos[[#This Row],[Muestra]],Estructura!$Q$4:$S$194,3,0)</f>
        <v>M-310</v>
      </c>
    </row>
    <row r="596" spans="1:27" ht="51" x14ac:dyDescent="0.3">
      <c r="A596" s="32" t="s">
        <v>982</v>
      </c>
      <c r="B596" s="12">
        <f t="shared" si="115"/>
        <v>300</v>
      </c>
      <c r="C596" s="13" t="str">
        <f t="shared" si="115"/>
        <v>Violencia contra la mujer</v>
      </c>
      <c r="D596" s="13" t="str">
        <f t="shared" si="115"/>
        <v>Mujeres</v>
      </c>
      <c r="E596" s="18">
        <v>270103003</v>
      </c>
      <c r="F596" s="13" t="s">
        <v>7577</v>
      </c>
      <c r="G596" s="13" t="s">
        <v>7576</v>
      </c>
      <c r="H596" s="30" t="s">
        <v>19</v>
      </c>
      <c r="I596" s="31" t="s">
        <v>14</v>
      </c>
      <c r="J596" s="12" t="s">
        <v>398</v>
      </c>
      <c r="K596" s="12" t="str">
        <f t="shared" si="116"/>
        <v>Sentencias Dictadas por Delitos Vinculados a la Mujer</v>
      </c>
      <c r="L596" s="75" t="str">
        <f t="shared" si="116"/>
        <v>Periodo 2013-2019</v>
      </c>
      <c r="M596" s="12" t="str">
        <f t="shared" si="116"/>
        <v>Número de sentencias</v>
      </c>
      <c r="N596" s="33" t="s">
        <v>5964</v>
      </c>
      <c r="O596" s="72" t="s">
        <v>6375</v>
      </c>
      <c r="P596" s="42" t="s">
        <v>6376</v>
      </c>
      <c r="Q596" s="14" t="str">
        <f t="shared" si="111"/>
        <v>Gráfico de Evolución</v>
      </c>
      <c r="R596" s="27" t="s">
        <v>6377</v>
      </c>
      <c r="S596" s="15" t="s">
        <v>6991</v>
      </c>
      <c r="T596" s="65" t="s">
        <v>5951</v>
      </c>
      <c r="U596" s="24" t="s">
        <v>397</v>
      </c>
      <c r="V596" s="19" t="str">
        <f>+Ingresos_Historicos[[#This Row],[idcoleccion]]&amp;"-"&amp;Ingresos_Historicos[[#This Row],[id]]</f>
        <v>300-0586</v>
      </c>
      <c r="W596" s="19" t="e">
        <f>+VLOOKUP(Ingresos_Historicos[[#This Row],[Filtro URL]],Estructura!$X$4:$Y$366,2,0)</f>
        <v>#N/A</v>
      </c>
      <c r="X596" s="19" t="str">
        <f>+VLOOKUP(Ingresos_Historicos[[#This Row],[tema]],Estructura!$A$4:$C$18,3,0)</f>
        <v>T-307</v>
      </c>
      <c r="Y596" s="19" t="str">
        <f>+VLOOKUP(Ingresos_Historicos[[#This Row],[contenido]],Estructura!$E$4:$G$18,3,0)</f>
        <v>C-303</v>
      </c>
      <c r="Z596" s="19" t="str">
        <f>+VLOOKUP(Ingresos_Historicos[[#This Row],[Filtro Integrado]],Estructura!$M$4:$O$367,3,0)</f>
        <v>FI-303</v>
      </c>
      <c r="AA596" s="19" t="str">
        <f>+VLOOKUP(Ingresos_Historicos[[#This Row],[Muestra]],Estructura!$Q$4:$S$194,3,0)</f>
        <v>M-310</v>
      </c>
    </row>
    <row r="597" spans="1:27" ht="61.2" x14ac:dyDescent="0.3">
      <c r="A597" s="32" t="s">
        <v>983</v>
      </c>
      <c r="B597" s="12">
        <f t="shared" si="115"/>
        <v>300</v>
      </c>
      <c r="C597" s="13" t="str">
        <f t="shared" si="115"/>
        <v>Violencia contra la mujer</v>
      </c>
      <c r="D597" s="13" t="str">
        <f t="shared" si="115"/>
        <v>Mujeres</v>
      </c>
      <c r="E597" s="18">
        <v>270103004</v>
      </c>
      <c r="F597" s="13" t="s">
        <v>7577</v>
      </c>
      <c r="G597" s="13" t="s">
        <v>7576</v>
      </c>
      <c r="H597" s="30" t="s">
        <v>19</v>
      </c>
      <c r="I597" s="31" t="s">
        <v>14</v>
      </c>
      <c r="J597" s="12" t="s">
        <v>398</v>
      </c>
      <c r="K597" s="12" t="str">
        <f t="shared" si="116"/>
        <v>Sentencias Dictadas por Delitos Vinculados a la Mujer</v>
      </c>
      <c r="L597" s="75" t="str">
        <f t="shared" si="116"/>
        <v>Periodo 2013-2019</v>
      </c>
      <c r="M597" s="12" t="str">
        <f t="shared" si="116"/>
        <v>Número de sentencias</v>
      </c>
      <c r="N597" s="33" t="s">
        <v>5964</v>
      </c>
      <c r="O597" s="72" t="s">
        <v>6378</v>
      </c>
      <c r="P597" s="42" t="s">
        <v>6379</v>
      </c>
      <c r="Q597" s="14" t="str">
        <f t="shared" si="111"/>
        <v>Gráfico de Evolución</v>
      </c>
      <c r="R597" s="27" t="s">
        <v>6380</v>
      </c>
      <c r="S597" s="15" t="s">
        <v>6992</v>
      </c>
      <c r="T597" s="65" t="s">
        <v>5951</v>
      </c>
      <c r="U597" s="24" t="s">
        <v>397</v>
      </c>
      <c r="V597" s="19" t="str">
        <f>+Ingresos_Historicos[[#This Row],[idcoleccion]]&amp;"-"&amp;Ingresos_Historicos[[#This Row],[id]]</f>
        <v>300-0587</v>
      </c>
      <c r="W597" s="19" t="e">
        <f>+VLOOKUP(Ingresos_Historicos[[#This Row],[Filtro URL]],Estructura!$X$4:$Y$366,2,0)</f>
        <v>#N/A</v>
      </c>
      <c r="X597" s="19" t="str">
        <f>+VLOOKUP(Ingresos_Historicos[[#This Row],[tema]],Estructura!$A$4:$C$18,3,0)</f>
        <v>T-307</v>
      </c>
      <c r="Y597" s="19" t="str">
        <f>+VLOOKUP(Ingresos_Historicos[[#This Row],[contenido]],Estructura!$E$4:$G$18,3,0)</f>
        <v>C-303</v>
      </c>
      <c r="Z597" s="19" t="str">
        <f>+VLOOKUP(Ingresos_Historicos[[#This Row],[Filtro Integrado]],Estructura!$M$4:$O$367,3,0)</f>
        <v>FI-303</v>
      </c>
      <c r="AA597" s="19" t="str">
        <f>+VLOOKUP(Ingresos_Historicos[[#This Row],[Muestra]],Estructura!$Q$4:$S$194,3,0)</f>
        <v>M-310</v>
      </c>
    </row>
    <row r="598" spans="1:27" ht="51" x14ac:dyDescent="0.3">
      <c r="A598" s="32" t="s">
        <v>984</v>
      </c>
      <c r="B598" s="12">
        <f t="shared" ref="B598:D613" si="117">+B597</f>
        <v>300</v>
      </c>
      <c r="C598" s="13" t="str">
        <f t="shared" si="117"/>
        <v>Violencia contra la mujer</v>
      </c>
      <c r="D598" s="13" t="str">
        <f t="shared" si="117"/>
        <v>Mujeres</v>
      </c>
      <c r="E598" s="18">
        <v>270103005</v>
      </c>
      <c r="F598" s="13" t="s">
        <v>7577</v>
      </c>
      <c r="G598" s="13" t="s">
        <v>7576</v>
      </c>
      <c r="H598" s="30" t="s">
        <v>19</v>
      </c>
      <c r="I598" s="31" t="s">
        <v>14</v>
      </c>
      <c r="J598" s="12" t="s">
        <v>398</v>
      </c>
      <c r="K598" s="12" t="str">
        <f t="shared" si="116"/>
        <v>Sentencias Dictadas por Delitos Vinculados a la Mujer</v>
      </c>
      <c r="L598" s="75" t="str">
        <f t="shared" si="116"/>
        <v>Periodo 2013-2019</v>
      </c>
      <c r="M598" s="12" t="str">
        <f t="shared" si="116"/>
        <v>Número de sentencias</v>
      </c>
      <c r="N598" s="33" t="s">
        <v>5964</v>
      </c>
      <c r="O598" s="72" t="s">
        <v>6381</v>
      </c>
      <c r="P598" s="42" t="s">
        <v>6382</v>
      </c>
      <c r="Q598" s="14" t="str">
        <f t="shared" si="111"/>
        <v>Gráfico de Evolución</v>
      </c>
      <c r="R598" s="27" t="s">
        <v>6383</v>
      </c>
      <c r="S598" s="15" t="s">
        <v>6993</v>
      </c>
      <c r="T598" s="65" t="s">
        <v>5951</v>
      </c>
      <c r="U598" s="24" t="s">
        <v>397</v>
      </c>
      <c r="V598" s="19" t="str">
        <f>+Ingresos_Historicos[[#This Row],[idcoleccion]]&amp;"-"&amp;Ingresos_Historicos[[#This Row],[id]]</f>
        <v>300-0588</v>
      </c>
      <c r="W598" s="19" t="e">
        <f>+VLOOKUP(Ingresos_Historicos[[#This Row],[Filtro URL]],Estructura!$X$4:$Y$366,2,0)</f>
        <v>#N/A</v>
      </c>
      <c r="X598" s="19" t="str">
        <f>+VLOOKUP(Ingresos_Historicos[[#This Row],[tema]],Estructura!$A$4:$C$18,3,0)</f>
        <v>T-307</v>
      </c>
      <c r="Y598" s="19" t="str">
        <f>+VLOOKUP(Ingresos_Historicos[[#This Row],[contenido]],Estructura!$E$4:$G$18,3,0)</f>
        <v>C-303</v>
      </c>
      <c r="Z598" s="19" t="str">
        <f>+VLOOKUP(Ingresos_Historicos[[#This Row],[Filtro Integrado]],Estructura!$M$4:$O$367,3,0)</f>
        <v>FI-303</v>
      </c>
      <c r="AA598" s="19" t="str">
        <f>+VLOOKUP(Ingresos_Historicos[[#This Row],[Muestra]],Estructura!$Q$4:$S$194,3,0)</f>
        <v>M-310</v>
      </c>
    </row>
    <row r="599" spans="1:27" ht="51" x14ac:dyDescent="0.3">
      <c r="A599" s="32" t="s">
        <v>985</v>
      </c>
      <c r="B599" s="12">
        <f t="shared" si="117"/>
        <v>300</v>
      </c>
      <c r="C599" s="13" t="str">
        <f t="shared" si="117"/>
        <v>Violencia contra la mujer</v>
      </c>
      <c r="D599" s="13" t="str">
        <f t="shared" si="117"/>
        <v>Mujeres</v>
      </c>
      <c r="E599" s="18">
        <v>270104001</v>
      </c>
      <c r="F599" s="13" t="s">
        <v>7579</v>
      </c>
      <c r="G599" s="13" t="s">
        <v>7576</v>
      </c>
      <c r="H599" s="30" t="s">
        <v>19</v>
      </c>
      <c r="I599" s="31" t="s">
        <v>14</v>
      </c>
      <c r="J599" s="12" t="s">
        <v>398</v>
      </c>
      <c r="K599" s="12" t="s">
        <v>6191</v>
      </c>
      <c r="L599" s="75" t="str">
        <f t="shared" si="116"/>
        <v>Periodo 2013-2019</v>
      </c>
      <c r="M599" s="12" t="s">
        <v>5963</v>
      </c>
      <c r="N599" s="33" t="s">
        <v>5964</v>
      </c>
      <c r="O599" s="72" t="s">
        <v>6384</v>
      </c>
      <c r="P599" s="42" t="s">
        <v>6385</v>
      </c>
      <c r="Q599" s="14" t="s">
        <v>5967</v>
      </c>
      <c r="R599" s="27" t="s">
        <v>6386</v>
      </c>
      <c r="S599" s="15" t="s">
        <v>6994</v>
      </c>
      <c r="T599" s="65" t="s">
        <v>5951</v>
      </c>
      <c r="U599" s="24" t="s">
        <v>397</v>
      </c>
      <c r="V599" s="19" t="str">
        <f>+Ingresos_Historicos[[#This Row],[idcoleccion]]&amp;"-"&amp;Ingresos_Historicos[[#This Row],[id]]</f>
        <v>300-0589</v>
      </c>
      <c r="W599" s="19" t="e">
        <f>+VLOOKUP(Ingresos_Historicos[[#This Row],[Filtro URL]],Estructura!$X$4:$Y$366,2,0)</f>
        <v>#N/A</v>
      </c>
      <c r="X599" s="19" t="str">
        <f>+VLOOKUP(Ingresos_Historicos[[#This Row],[tema]],Estructura!$A$4:$C$18,3,0)</f>
        <v>T-308</v>
      </c>
      <c r="Y599" s="19" t="str">
        <f>+VLOOKUP(Ingresos_Historicos[[#This Row],[contenido]],Estructura!$E$4:$G$18,3,0)</f>
        <v>C-303</v>
      </c>
      <c r="Z599" s="19" t="str">
        <f>+VLOOKUP(Ingresos_Historicos[[#This Row],[Filtro Integrado]],Estructura!$M$4:$O$367,3,0)</f>
        <v>FI-303</v>
      </c>
      <c r="AA599" s="19" t="str">
        <f>+VLOOKUP(Ingresos_Historicos[[#This Row],[Muestra]],Estructura!$Q$4:$S$194,3,0)</f>
        <v>M-310</v>
      </c>
    </row>
    <row r="600" spans="1:27" ht="61.2" x14ac:dyDescent="0.3">
      <c r="A600" s="32" t="s">
        <v>986</v>
      </c>
      <c r="B600" s="12">
        <f t="shared" si="117"/>
        <v>300</v>
      </c>
      <c r="C600" s="13" t="str">
        <f t="shared" si="117"/>
        <v>Violencia contra la mujer</v>
      </c>
      <c r="D600" s="13" t="str">
        <f t="shared" si="117"/>
        <v>Mujeres</v>
      </c>
      <c r="E600" s="18">
        <v>270105001</v>
      </c>
      <c r="F600" s="13" t="s">
        <v>7580</v>
      </c>
      <c r="G600" s="13" t="s">
        <v>7576</v>
      </c>
      <c r="H600" s="30" t="s">
        <v>19</v>
      </c>
      <c r="I600" s="31" t="s">
        <v>14</v>
      </c>
      <c r="J600" s="12" t="s">
        <v>398</v>
      </c>
      <c r="K600" s="12" t="str">
        <f t="shared" ref="K600:M615" si="118">+K599</f>
        <v>Sentencias Dictadas por Delitos Vinculados a la Mujer</v>
      </c>
      <c r="L600" s="75" t="str">
        <f t="shared" si="118"/>
        <v>Periodo 2013-2019</v>
      </c>
      <c r="M600" s="12" t="str">
        <f t="shared" si="118"/>
        <v>Número de sentencias</v>
      </c>
      <c r="N600" s="33" t="s">
        <v>5964</v>
      </c>
      <c r="O600" s="72" t="s">
        <v>6387</v>
      </c>
      <c r="P600" s="42" t="s">
        <v>6388</v>
      </c>
      <c r="Q600" s="14" t="str">
        <f t="shared" si="111"/>
        <v>Gráfico de Evolución</v>
      </c>
      <c r="R600" s="27" t="s">
        <v>6389</v>
      </c>
      <c r="S600" s="15" t="s">
        <v>6995</v>
      </c>
      <c r="T600" s="65" t="s">
        <v>5951</v>
      </c>
      <c r="U600" s="24" t="s">
        <v>397</v>
      </c>
      <c r="V600" s="19" t="str">
        <f>+Ingresos_Historicos[[#This Row],[idcoleccion]]&amp;"-"&amp;Ingresos_Historicos[[#This Row],[id]]</f>
        <v>300-0590</v>
      </c>
      <c r="W600" s="19" t="e">
        <f>+VLOOKUP(Ingresos_Historicos[[#This Row],[Filtro URL]],Estructura!$X$4:$Y$366,2,0)</f>
        <v>#N/A</v>
      </c>
      <c r="X600" s="19" t="str">
        <f>+VLOOKUP(Ingresos_Historicos[[#This Row],[tema]],Estructura!$A$4:$C$18,3,0)</f>
        <v>T-309</v>
      </c>
      <c r="Y600" s="19" t="str">
        <f>+VLOOKUP(Ingresos_Historicos[[#This Row],[contenido]],Estructura!$E$4:$G$18,3,0)</f>
        <v>C-303</v>
      </c>
      <c r="Z600" s="19" t="str">
        <f>+VLOOKUP(Ingresos_Historicos[[#This Row],[Filtro Integrado]],Estructura!$M$4:$O$367,3,0)</f>
        <v>FI-303</v>
      </c>
      <c r="AA600" s="19" t="str">
        <f>+VLOOKUP(Ingresos_Historicos[[#This Row],[Muestra]],Estructura!$Q$4:$S$194,3,0)</f>
        <v>M-310</v>
      </c>
    </row>
    <row r="601" spans="1:27" ht="51" x14ac:dyDescent="0.3">
      <c r="A601" s="32" t="s">
        <v>987</v>
      </c>
      <c r="B601" s="12">
        <f t="shared" si="117"/>
        <v>300</v>
      </c>
      <c r="C601" s="13" t="str">
        <f t="shared" si="117"/>
        <v>Violencia contra la mujer</v>
      </c>
      <c r="D601" s="13" t="str">
        <f t="shared" si="117"/>
        <v>Mujeres</v>
      </c>
      <c r="E601" s="18">
        <v>270105002</v>
      </c>
      <c r="F601" s="13" t="s">
        <v>7580</v>
      </c>
      <c r="G601" s="13" t="s">
        <v>7576</v>
      </c>
      <c r="H601" s="30" t="s">
        <v>19</v>
      </c>
      <c r="I601" s="31" t="s">
        <v>14</v>
      </c>
      <c r="J601" s="12" t="s">
        <v>398</v>
      </c>
      <c r="K601" s="12" t="str">
        <f t="shared" si="118"/>
        <v>Sentencias Dictadas por Delitos Vinculados a la Mujer</v>
      </c>
      <c r="L601" s="75" t="str">
        <f t="shared" si="118"/>
        <v>Periodo 2013-2019</v>
      </c>
      <c r="M601" s="12" t="str">
        <f t="shared" si="118"/>
        <v>Número de sentencias</v>
      </c>
      <c r="N601" s="33" t="s">
        <v>5964</v>
      </c>
      <c r="O601" s="72" t="s">
        <v>6390</v>
      </c>
      <c r="P601" s="42" t="s">
        <v>6391</v>
      </c>
      <c r="Q601" s="14" t="str">
        <f t="shared" si="111"/>
        <v>Gráfico de Evolución</v>
      </c>
      <c r="R601" s="27" t="s">
        <v>6392</v>
      </c>
      <c r="S601" s="15" t="s">
        <v>6996</v>
      </c>
      <c r="T601" s="65" t="s">
        <v>5951</v>
      </c>
      <c r="U601" s="24" t="s">
        <v>397</v>
      </c>
      <c r="V601" s="19" t="str">
        <f>+Ingresos_Historicos[[#This Row],[idcoleccion]]&amp;"-"&amp;Ingresos_Historicos[[#This Row],[id]]</f>
        <v>300-0591</v>
      </c>
      <c r="W601" s="19" t="e">
        <f>+VLOOKUP(Ingresos_Historicos[[#This Row],[Filtro URL]],Estructura!$X$4:$Y$366,2,0)</f>
        <v>#N/A</v>
      </c>
      <c r="X601" s="19" t="str">
        <f>+VLOOKUP(Ingresos_Historicos[[#This Row],[tema]],Estructura!$A$4:$C$18,3,0)</f>
        <v>T-309</v>
      </c>
      <c r="Y601" s="19" t="str">
        <f>+VLOOKUP(Ingresos_Historicos[[#This Row],[contenido]],Estructura!$E$4:$G$18,3,0)</f>
        <v>C-303</v>
      </c>
      <c r="Z601" s="19" t="str">
        <f>+VLOOKUP(Ingresos_Historicos[[#This Row],[Filtro Integrado]],Estructura!$M$4:$O$367,3,0)</f>
        <v>FI-303</v>
      </c>
      <c r="AA601" s="19" t="str">
        <f>+VLOOKUP(Ingresos_Historicos[[#This Row],[Muestra]],Estructura!$Q$4:$S$194,3,0)</f>
        <v>M-310</v>
      </c>
    </row>
    <row r="602" spans="1:27" ht="51" x14ac:dyDescent="0.3">
      <c r="A602" s="32" t="s">
        <v>988</v>
      </c>
      <c r="B602" s="12">
        <f t="shared" si="117"/>
        <v>300</v>
      </c>
      <c r="C602" s="13" t="str">
        <f t="shared" si="117"/>
        <v>Violencia contra la mujer</v>
      </c>
      <c r="D602" s="13" t="str">
        <f t="shared" si="117"/>
        <v>Mujeres</v>
      </c>
      <c r="E602" s="18">
        <v>270105003</v>
      </c>
      <c r="F602" s="13" t="s">
        <v>7580</v>
      </c>
      <c r="G602" s="13" t="s">
        <v>7576</v>
      </c>
      <c r="H602" s="30" t="s">
        <v>19</v>
      </c>
      <c r="I602" s="31" t="s">
        <v>14</v>
      </c>
      <c r="J602" s="12" t="s">
        <v>398</v>
      </c>
      <c r="K602" s="12" t="str">
        <f t="shared" si="118"/>
        <v>Sentencias Dictadas por Delitos Vinculados a la Mujer</v>
      </c>
      <c r="L602" s="75" t="str">
        <f t="shared" si="118"/>
        <v>Periodo 2013-2019</v>
      </c>
      <c r="M602" s="12" t="str">
        <f t="shared" si="118"/>
        <v>Número de sentencias</v>
      </c>
      <c r="N602" s="33" t="s">
        <v>5964</v>
      </c>
      <c r="O602" s="72" t="s">
        <v>6393</v>
      </c>
      <c r="P602" s="42" t="s">
        <v>6394</v>
      </c>
      <c r="Q602" s="14" t="str">
        <f t="shared" si="111"/>
        <v>Gráfico de Evolución</v>
      </c>
      <c r="R602" s="27" t="s">
        <v>6395</v>
      </c>
      <c r="S602" s="15" t="s">
        <v>6997</v>
      </c>
      <c r="T602" s="65" t="s">
        <v>5951</v>
      </c>
      <c r="U602" s="24" t="s">
        <v>397</v>
      </c>
      <c r="V602" s="19" t="str">
        <f>+Ingresos_Historicos[[#This Row],[idcoleccion]]&amp;"-"&amp;Ingresos_Historicos[[#This Row],[id]]</f>
        <v>300-0592</v>
      </c>
      <c r="W602" s="19" t="e">
        <f>+VLOOKUP(Ingresos_Historicos[[#This Row],[Filtro URL]],Estructura!$X$4:$Y$366,2,0)</f>
        <v>#N/A</v>
      </c>
      <c r="X602" s="19" t="str">
        <f>+VLOOKUP(Ingresos_Historicos[[#This Row],[tema]],Estructura!$A$4:$C$18,3,0)</f>
        <v>T-309</v>
      </c>
      <c r="Y602" s="19" t="str">
        <f>+VLOOKUP(Ingresos_Historicos[[#This Row],[contenido]],Estructura!$E$4:$G$18,3,0)</f>
        <v>C-303</v>
      </c>
      <c r="Z602" s="19" t="str">
        <f>+VLOOKUP(Ingresos_Historicos[[#This Row],[Filtro Integrado]],Estructura!$M$4:$O$367,3,0)</f>
        <v>FI-303</v>
      </c>
      <c r="AA602" s="19" t="str">
        <f>+VLOOKUP(Ingresos_Historicos[[#This Row],[Muestra]],Estructura!$Q$4:$S$194,3,0)</f>
        <v>M-310</v>
      </c>
    </row>
    <row r="603" spans="1:27" ht="81.599999999999994" x14ac:dyDescent="0.3">
      <c r="A603" s="32" t="s">
        <v>989</v>
      </c>
      <c r="B603" s="12">
        <f t="shared" si="117"/>
        <v>300</v>
      </c>
      <c r="C603" s="13" t="str">
        <f t="shared" si="117"/>
        <v>Violencia contra la mujer</v>
      </c>
      <c r="D603" s="13" t="str">
        <f t="shared" si="117"/>
        <v>Mujeres</v>
      </c>
      <c r="E603" s="26">
        <v>1</v>
      </c>
      <c r="F603" s="13" t="s">
        <v>7581</v>
      </c>
      <c r="G603" s="13" t="s">
        <v>7576</v>
      </c>
      <c r="H603" s="29" t="s">
        <v>15</v>
      </c>
      <c r="I603" s="28" t="s">
        <v>367</v>
      </c>
      <c r="J603" s="12" t="s">
        <v>398</v>
      </c>
      <c r="K603" s="12" t="s">
        <v>6396</v>
      </c>
      <c r="L603" s="75" t="str">
        <f t="shared" si="118"/>
        <v>Periodo 2013-2019</v>
      </c>
      <c r="M603" s="12" t="s">
        <v>6115</v>
      </c>
      <c r="N603" s="33" t="s">
        <v>5964</v>
      </c>
      <c r="O603" s="72" t="str">
        <f>"Variación Trimestral de Sentencias Dictadas (%) en la "&amp;Ingresos_Historicos[[#This Row],[territorio]]&amp;" por Tipo de Delito, durante el Periodo 2013-2019"</f>
        <v>Variación Trimestral de Sentencias Dictadas (%) en la Región de Tarapacá por Tipo de Delito, durante el Periodo 2013-2019</v>
      </c>
      <c r="P603" s="42" t="s">
        <v>6397</v>
      </c>
      <c r="Q603" s="14" t="str">
        <f t="shared" si="111"/>
        <v>Gráfico de Evolución</v>
      </c>
      <c r="R603" s="27" t="s">
        <v>6202</v>
      </c>
      <c r="S603" s="15" t="s">
        <v>6998</v>
      </c>
      <c r="T603" s="65" t="s">
        <v>5922</v>
      </c>
      <c r="U603" s="24" t="s">
        <v>397</v>
      </c>
      <c r="V603" s="19" t="str">
        <f>+Ingresos_Historicos[[#This Row],[idcoleccion]]&amp;"-"&amp;Ingresos_Historicos[[#This Row],[id]]</f>
        <v>300-0593</v>
      </c>
      <c r="W603" s="19">
        <f>+VLOOKUP(Ingresos_Historicos[[#This Row],[Filtro URL]],Estructura!$X$4:$Y$366,2,0)</f>
        <v>30200001</v>
      </c>
      <c r="X603" s="19" t="str">
        <f>+VLOOKUP(Ingresos_Historicos[[#This Row],[tema]],Estructura!$A$4:$C$18,3,0)</f>
        <v>T-310</v>
      </c>
      <c r="Y603" s="19" t="str">
        <f>+VLOOKUP(Ingresos_Historicos[[#This Row],[contenido]],Estructura!$E$4:$G$18,3,0)</f>
        <v>C-303</v>
      </c>
      <c r="Z603" s="19" t="str">
        <f>+VLOOKUP(Ingresos_Historicos[[#This Row],[Filtro Integrado]],Estructura!$M$4:$O$367,3,0)</f>
        <v>FI-303</v>
      </c>
      <c r="AA603" s="19" t="str">
        <f>+VLOOKUP(Ingresos_Historicos[[#This Row],[Muestra]],Estructura!$Q$4:$S$194,3,0)</f>
        <v>M-311</v>
      </c>
    </row>
    <row r="604" spans="1:27" ht="81.599999999999994" x14ac:dyDescent="0.3">
      <c r="A604" s="71" t="s">
        <v>990</v>
      </c>
      <c r="B604" s="12">
        <f t="shared" si="117"/>
        <v>300</v>
      </c>
      <c r="C604" s="13" t="str">
        <f t="shared" si="117"/>
        <v>Violencia contra la mujer</v>
      </c>
      <c r="D604" s="13" t="str">
        <f t="shared" si="117"/>
        <v>Mujeres</v>
      </c>
      <c r="E604" s="26">
        <v>2</v>
      </c>
      <c r="F604" s="13" t="s">
        <v>7581</v>
      </c>
      <c r="G604" s="13" t="s">
        <v>7576</v>
      </c>
      <c r="H604" s="29" t="s">
        <v>15</v>
      </c>
      <c r="I604" s="28" t="s">
        <v>368</v>
      </c>
      <c r="J604" s="12" t="s">
        <v>398</v>
      </c>
      <c r="K604" s="12" t="s">
        <v>6396</v>
      </c>
      <c r="L604" s="75" t="str">
        <f t="shared" si="118"/>
        <v>Periodo 2013-2019</v>
      </c>
      <c r="M604" s="12" t="str">
        <f t="shared" si="118"/>
        <v>Porcentaje</v>
      </c>
      <c r="N604" s="33" t="s">
        <v>5964</v>
      </c>
      <c r="O604" s="72" t="str">
        <f>"Variación Trimestral de Sentencias Dictadas (%) en la "&amp;Ingresos_Historicos[[#This Row],[territorio]]&amp;" por Tipo de Delito, durante el Periodo 2013-2019"</f>
        <v>Variación Trimestral de Sentencias Dictadas (%) en la Región de Antofagasta por Tipo de Delito, durante el Periodo 2013-2019</v>
      </c>
      <c r="P604" s="42" t="s">
        <v>6398</v>
      </c>
      <c r="Q604" s="14" t="str">
        <f>+Q603</f>
        <v>Gráfico de Evolución</v>
      </c>
      <c r="R604" s="27" t="s">
        <v>6204</v>
      </c>
      <c r="S604" s="15" t="s">
        <v>6999</v>
      </c>
      <c r="T604" s="65" t="s">
        <v>5923</v>
      </c>
      <c r="U604" s="24" t="s">
        <v>397</v>
      </c>
      <c r="V604" s="19" t="str">
        <f>+Ingresos_Historicos[[#This Row],[idcoleccion]]&amp;"-"&amp;Ingresos_Historicos[[#This Row],[id]]</f>
        <v>300-0594</v>
      </c>
      <c r="W604" s="19">
        <f>+VLOOKUP(Ingresos_Historicos[[#This Row],[Filtro URL]],Estructura!$X$4:$Y$366,2,0)</f>
        <v>30200002</v>
      </c>
      <c r="X604" s="19" t="str">
        <f>+VLOOKUP(Ingresos_Historicos[[#This Row],[tema]],Estructura!$A$4:$C$18,3,0)</f>
        <v>T-310</v>
      </c>
      <c r="Y604" s="19" t="str">
        <f>+VLOOKUP(Ingresos_Historicos[[#This Row],[contenido]],Estructura!$E$4:$G$18,3,0)</f>
        <v>C-303</v>
      </c>
      <c r="Z604" s="19" t="str">
        <f>+VLOOKUP(Ingresos_Historicos[[#This Row],[Filtro Integrado]],Estructura!$M$4:$O$367,3,0)</f>
        <v>FI-303</v>
      </c>
      <c r="AA604" s="19" t="str">
        <f>+VLOOKUP(Ingresos_Historicos[[#This Row],[Muestra]],Estructura!$Q$4:$S$194,3,0)</f>
        <v>M-311</v>
      </c>
    </row>
    <row r="605" spans="1:27" ht="81.599999999999994" x14ac:dyDescent="0.3">
      <c r="A605" s="71" t="s">
        <v>991</v>
      </c>
      <c r="B605" s="12">
        <f t="shared" si="117"/>
        <v>300</v>
      </c>
      <c r="C605" s="13" t="str">
        <f t="shared" si="117"/>
        <v>Violencia contra la mujer</v>
      </c>
      <c r="D605" s="13" t="str">
        <f t="shared" si="117"/>
        <v>Mujeres</v>
      </c>
      <c r="E605" s="26">
        <v>3</v>
      </c>
      <c r="F605" s="13" t="s">
        <v>7581</v>
      </c>
      <c r="G605" s="13" t="s">
        <v>7576</v>
      </c>
      <c r="H605" s="29" t="s">
        <v>15</v>
      </c>
      <c r="I605" s="28" t="s">
        <v>369</v>
      </c>
      <c r="J605" s="12" t="s">
        <v>398</v>
      </c>
      <c r="K605" s="12" t="s">
        <v>6396</v>
      </c>
      <c r="L605" s="75" t="str">
        <f t="shared" si="118"/>
        <v>Periodo 2013-2019</v>
      </c>
      <c r="M605" s="12" t="str">
        <f t="shared" si="118"/>
        <v>Porcentaje</v>
      </c>
      <c r="N605" s="33" t="s">
        <v>5964</v>
      </c>
      <c r="O605" s="72" t="str">
        <f>"Variación Trimestral de Sentencias Dictadas (%) en la "&amp;Ingresos_Historicos[[#This Row],[territorio]]&amp;" por Tipo de Delito, durante el Periodo 2013-2019"</f>
        <v>Variación Trimestral de Sentencias Dictadas (%) en la Región de Atacama por Tipo de Delito, durante el Periodo 2013-2019</v>
      </c>
      <c r="P605" s="42" t="s">
        <v>6399</v>
      </c>
      <c r="Q605" s="14" t="str">
        <f>+Q604</f>
        <v>Gráfico de Evolución</v>
      </c>
      <c r="R605" s="27" t="s">
        <v>6206</v>
      </c>
      <c r="S605" s="15" t="s">
        <v>7000</v>
      </c>
      <c r="T605" s="65" t="s">
        <v>5925</v>
      </c>
      <c r="U605" s="24" t="s">
        <v>397</v>
      </c>
      <c r="V605" s="19" t="str">
        <f>+Ingresos_Historicos[[#This Row],[idcoleccion]]&amp;"-"&amp;Ingresos_Historicos[[#This Row],[id]]</f>
        <v>300-0595</v>
      </c>
      <c r="W605" s="19">
        <f>+VLOOKUP(Ingresos_Historicos[[#This Row],[Filtro URL]],Estructura!$X$4:$Y$366,2,0)</f>
        <v>30200003</v>
      </c>
      <c r="X605" s="19" t="str">
        <f>+VLOOKUP(Ingresos_Historicos[[#This Row],[tema]],Estructura!$A$4:$C$18,3,0)</f>
        <v>T-310</v>
      </c>
      <c r="Y605" s="19" t="str">
        <f>+VLOOKUP(Ingresos_Historicos[[#This Row],[contenido]],Estructura!$E$4:$G$18,3,0)</f>
        <v>C-303</v>
      </c>
      <c r="Z605" s="19" t="str">
        <f>+VLOOKUP(Ingresos_Historicos[[#This Row],[Filtro Integrado]],Estructura!$M$4:$O$367,3,0)</f>
        <v>FI-303</v>
      </c>
      <c r="AA605" s="19" t="str">
        <f>+VLOOKUP(Ingresos_Historicos[[#This Row],[Muestra]],Estructura!$Q$4:$S$194,3,0)</f>
        <v>M-311</v>
      </c>
    </row>
    <row r="606" spans="1:27" ht="81.599999999999994" x14ac:dyDescent="0.3">
      <c r="A606" s="71" t="s">
        <v>992</v>
      </c>
      <c r="B606" s="12">
        <f t="shared" si="117"/>
        <v>300</v>
      </c>
      <c r="C606" s="13" t="str">
        <f t="shared" si="117"/>
        <v>Violencia contra la mujer</v>
      </c>
      <c r="D606" s="13" t="str">
        <f t="shared" si="117"/>
        <v>Mujeres</v>
      </c>
      <c r="E606" s="26">
        <v>4</v>
      </c>
      <c r="F606" s="13" t="s">
        <v>7581</v>
      </c>
      <c r="G606" s="13" t="s">
        <v>7576</v>
      </c>
      <c r="H606" s="29" t="s">
        <v>15</v>
      </c>
      <c r="I606" s="28" t="s">
        <v>370</v>
      </c>
      <c r="J606" s="12" t="s">
        <v>398</v>
      </c>
      <c r="K606" s="12" t="s">
        <v>6396</v>
      </c>
      <c r="L606" s="75" t="str">
        <f t="shared" si="118"/>
        <v>Periodo 2013-2019</v>
      </c>
      <c r="M606" s="12" t="str">
        <f t="shared" si="118"/>
        <v>Porcentaje</v>
      </c>
      <c r="N606" s="33" t="s">
        <v>5964</v>
      </c>
      <c r="O606" s="72" t="str">
        <f>"Variación Trimestral de Sentencias Dictadas (%) en la "&amp;Ingresos_Historicos[[#This Row],[territorio]]&amp;" por Tipo de Delito, durante el Periodo 2013-2019"</f>
        <v>Variación Trimestral de Sentencias Dictadas (%) en la Región de Coquimbo por Tipo de Delito, durante el Periodo 2013-2019</v>
      </c>
      <c r="P606" s="42" t="s">
        <v>6400</v>
      </c>
      <c r="Q606" s="14" t="str">
        <f>+Q605</f>
        <v>Gráfico de Evolución</v>
      </c>
      <c r="R606" s="27" t="s">
        <v>6208</v>
      </c>
      <c r="S606" s="15" t="s">
        <v>7001</v>
      </c>
      <c r="T606" s="65" t="s">
        <v>5926</v>
      </c>
      <c r="U606" s="24" t="s">
        <v>397</v>
      </c>
      <c r="V606" s="19" t="str">
        <f>+Ingresos_Historicos[[#This Row],[idcoleccion]]&amp;"-"&amp;Ingresos_Historicos[[#This Row],[id]]</f>
        <v>300-0596</v>
      </c>
      <c r="W606" s="19">
        <f>+VLOOKUP(Ingresos_Historicos[[#This Row],[Filtro URL]],Estructura!$X$4:$Y$366,2,0)</f>
        <v>30200004</v>
      </c>
      <c r="X606" s="19" t="str">
        <f>+VLOOKUP(Ingresos_Historicos[[#This Row],[tema]],Estructura!$A$4:$C$18,3,0)</f>
        <v>T-310</v>
      </c>
      <c r="Y606" s="19" t="str">
        <f>+VLOOKUP(Ingresos_Historicos[[#This Row],[contenido]],Estructura!$E$4:$G$18,3,0)</f>
        <v>C-303</v>
      </c>
      <c r="Z606" s="19" t="str">
        <f>+VLOOKUP(Ingresos_Historicos[[#This Row],[Filtro Integrado]],Estructura!$M$4:$O$367,3,0)</f>
        <v>FI-303</v>
      </c>
      <c r="AA606" s="19" t="str">
        <f>+VLOOKUP(Ingresos_Historicos[[#This Row],[Muestra]],Estructura!$Q$4:$S$194,3,0)</f>
        <v>M-311</v>
      </c>
    </row>
    <row r="607" spans="1:27" ht="81.599999999999994" x14ac:dyDescent="0.3">
      <c r="A607" s="71" t="s">
        <v>993</v>
      </c>
      <c r="B607" s="12">
        <f t="shared" si="117"/>
        <v>300</v>
      </c>
      <c r="C607" s="13" t="str">
        <f t="shared" si="117"/>
        <v>Violencia contra la mujer</v>
      </c>
      <c r="D607" s="13" t="str">
        <f t="shared" si="117"/>
        <v>Mujeres</v>
      </c>
      <c r="E607" s="26">
        <v>5</v>
      </c>
      <c r="F607" s="13" t="s">
        <v>7581</v>
      </c>
      <c r="G607" s="13" t="s">
        <v>7576</v>
      </c>
      <c r="H607" s="29" t="s">
        <v>15</v>
      </c>
      <c r="I607" s="28" t="s">
        <v>371</v>
      </c>
      <c r="J607" s="12" t="s">
        <v>398</v>
      </c>
      <c r="K607" s="12" t="s">
        <v>6396</v>
      </c>
      <c r="L607" s="75" t="str">
        <f t="shared" si="118"/>
        <v>Periodo 2013-2019</v>
      </c>
      <c r="M607" s="12" t="str">
        <f t="shared" si="118"/>
        <v>Porcentaje</v>
      </c>
      <c r="N607" s="33" t="s">
        <v>5964</v>
      </c>
      <c r="O607" s="72" t="str">
        <f>"Variación Trimestral de Sentencias Dictadas (%) en la "&amp;Ingresos_Historicos[[#This Row],[territorio]]&amp;" por Tipo de Delito, durante el Periodo 2013-2019"</f>
        <v>Variación Trimestral de Sentencias Dictadas (%) en la Región de Valparaíso por Tipo de Delito, durante el Periodo 2013-2019</v>
      </c>
      <c r="P607" s="42" t="s">
        <v>6401</v>
      </c>
      <c r="Q607" s="14" t="str">
        <f>+Q606</f>
        <v>Gráfico de Evolución</v>
      </c>
      <c r="R607" s="27" t="s">
        <v>6210</v>
      </c>
      <c r="S607" s="15" t="s">
        <v>7002</v>
      </c>
      <c r="T607" s="65" t="s">
        <v>5927</v>
      </c>
      <c r="U607" s="24" t="s">
        <v>397</v>
      </c>
      <c r="V607" s="19" t="str">
        <f>+Ingresos_Historicos[[#This Row],[idcoleccion]]&amp;"-"&amp;Ingresos_Historicos[[#This Row],[id]]</f>
        <v>300-0597</v>
      </c>
      <c r="W607" s="19">
        <f>+VLOOKUP(Ingresos_Historicos[[#This Row],[Filtro URL]],Estructura!$X$4:$Y$366,2,0)</f>
        <v>30200005</v>
      </c>
      <c r="X607" s="19" t="str">
        <f>+VLOOKUP(Ingresos_Historicos[[#This Row],[tema]],Estructura!$A$4:$C$18,3,0)</f>
        <v>T-310</v>
      </c>
      <c r="Y607" s="19" t="str">
        <f>+VLOOKUP(Ingresos_Historicos[[#This Row],[contenido]],Estructura!$E$4:$G$18,3,0)</f>
        <v>C-303</v>
      </c>
      <c r="Z607" s="19" t="str">
        <f>+VLOOKUP(Ingresos_Historicos[[#This Row],[Filtro Integrado]],Estructura!$M$4:$O$367,3,0)</f>
        <v>FI-303</v>
      </c>
      <c r="AA607" s="19" t="str">
        <f>+VLOOKUP(Ingresos_Historicos[[#This Row],[Muestra]],Estructura!$Q$4:$S$194,3,0)</f>
        <v>M-311</v>
      </c>
    </row>
    <row r="608" spans="1:27" ht="81.599999999999994" x14ac:dyDescent="0.3">
      <c r="A608" s="71" t="s">
        <v>994</v>
      </c>
      <c r="B608" s="12">
        <f t="shared" si="117"/>
        <v>300</v>
      </c>
      <c r="C608" s="13" t="str">
        <f t="shared" si="117"/>
        <v>Violencia contra la mujer</v>
      </c>
      <c r="D608" s="13" t="str">
        <f t="shared" si="117"/>
        <v>Mujeres</v>
      </c>
      <c r="E608" s="26">
        <v>6</v>
      </c>
      <c r="F608" s="13" t="s">
        <v>7581</v>
      </c>
      <c r="G608" s="13" t="s">
        <v>7576</v>
      </c>
      <c r="H608" s="29" t="s">
        <v>15</v>
      </c>
      <c r="I608" s="28" t="s">
        <v>372</v>
      </c>
      <c r="J608" s="12" t="s">
        <v>398</v>
      </c>
      <c r="K608" s="12" t="s">
        <v>6396</v>
      </c>
      <c r="L608" s="75" t="str">
        <f t="shared" si="118"/>
        <v>Periodo 2013-2019</v>
      </c>
      <c r="M608" s="12" t="str">
        <f t="shared" si="118"/>
        <v>Porcentaje</v>
      </c>
      <c r="N608" s="33" t="s">
        <v>5964</v>
      </c>
      <c r="O608" s="72" t="str">
        <f>"Variación Trimestral de Sentencias Dictadas (%) en la "&amp;Ingresos_Historicos[[#This Row],[territorio]]&amp;" por Tipo de Delito, durante el Periodo 2013-2019"</f>
        <v>Variación Trimestral de Sentencias Dictadas (%) en la Región de O'Higgins por Tipo de Delito, durante el Periodo 2013-2019</v>
      </c>
      <c r="P608" s="42" t="s">
        <v>6402</v>
      </c>
      <c r="Q608" s="14" t="str">
        <f t="shared" ref="Q608:Q615" si="119">+Q607</f>
        <v>Gráfico de Evolución</v>
      </c>
      <c r="R608" s="27" t="s">
        <v>6212</v>
      </c>
      <c r="S608" s="15" t="s">
        <v>7003</v>
      </c>
      <c r="T608" s="65" t="s">
        <v>5928</v>
      </c>
      <c r="U608" s="24" t="s">
        <v>397</v>
      </c>
      <c r="V608" s="19" t="str">
        <f>+Ingresos_Historicos[[#This Row],[idcoleccion]]&amp;"-"&amp;Ingresos_Historicos[[#This Row],[id]]</f>
        <v>300-0598</v>
      </c>
      <c r="W608" s="19">
        <f>+VLOOKUP(Ingresos_Historicos[[#This Row],[Filtro URL]],Estructura!$X$4:$Y$366,2,0)</f>
        <v>30200006</v>
      </c>
      <c r="X608" s="19" t="str">
        <f>+VLOOKUP(Ingresos_Historicos[[#This Row],[tema]],Estructura!$A$4:$C$18,3,0)</f>
        <v>T-310</v>
      </c>
      <c r="Y608" s="19" t="str">
        <f>+VLOOKUP(Ingresos_Historicos[[#This Row],[contenido]],Estructura!$E$4:$G$18,3,0)</f>
        <v>C-303</v>
      </c>
      <c r="Z608" s="19" t="str">
        <f>+VLOOKUP(Ingresos_Historicos[[#This Row],[Filtro Integrado]],Estructura!$M$4:$O$367,3,0)</f>
        <v>FI-303</v>
      </c>
      <c r="AA608" s="19" t="str">
        <f>+VLOOKUP(Ingresos_Historicos[[#This Row],[Muestra]],Estructura!$Q$4:$S$194,3,0)</f>
        <v>M-311</v>
      </c>
    </row>
    <row r="609" spans="1:27" ht="81.599999999999994" x14ac:dyDescent="0.3">
      <c r="A609" s="71" t="s">
        <v>995</v>
      </c>
      <c r="B609" s="12">
        <f t="shared" si="117"/>
        <v>300</v>
      </c>
      <c r="C609" s="13" t="str">
        <f t="shared" si="117"/>
        <v>Violencia contra la mujer</v>
      </c>
      <c r="D609" s="13" t="str">
        <f t="shared" si="117"/>
        <v>Mujeres</v>
      </c>
      <c r="E609" s="26">
        <v>7</v>
      </c>
      <c r="F609" s="13" t="s">
        <v>7581</v>
      </c>
      <c r="G609" s="13" t="s">
        <v>7576</v>
      </c>
      <c r="H609" s="29" t="s">
        <v>15</v>
      </c>
      <c r="I609" s="28" t="s">
        <v>373</v>
      </c>
      <c r="J609" s="12" t="s">
        <v>398</v>
      </c>
      <c r="K609" s="12" t="s">
        <v>6396</v>
      </c>
      <c r="L609" s="75" t="str">
        <f t="shared" si="118"/>
        <v>Periodo 2013-2019</v>
      </c>
      <c r="M609" s="12" t="str">
        <f t="shared" si="118"/>
        <v>Porcentaje</v>
      </c>
      <c r="N609" s="33" t="s">
        <v>5964</v>
      </c>
      <c r="O609" s="72" t="str">
        <f>"Variación Trimestral de Sentencias Dictadas (%) en la "&amp;Ingresos_Historicos[[#This Row],[territorio]]&amp;" por Tipo de Delito, durante el Periodo 2013-2019"</f>
        <v>Variación Trimestral de Sentencias Dictadas (%) en la Región de Maule por Tipo de Delito, durante el Periodo 2013-2019</v>
      </c>
      <c r="P609" s="42" t="s">
        <v>6403</v>
      </c>
      <c r="Q609" s="14" t="str">
        <f t="shared" si="119"/>
        <v>Gráfico de Evolución</v>
      </c>
      <c r="R609" s="27" t="s">
        <v>6214</v>
      </c>
      <c r="S609" s="15" t="s">
        <v>7004</v>
      </c>
      <c r="T609" s="65" t="s">
        <v>5929</v>
      </c>
      <c r="U609" s="24" t="s">
        <v>397</v>
      </c>
      <c r="V609" s="19" t="str">
        <f>+Ingresos_Historicos[[#This Row],[idcoleccion]]&amp;"-"&amp;Ingresos_Historicos[[#This Row],[id]]</f>
        <v>300-0599</v>
      </c>
      <c r="W609" s="19">
        <f>+VLOOKUP(Ingresos_Historicos[[#This Row],[Filtro URL]],Estructura!$X$4:$Y$366,2,0)</f>
        <v>30200007</v>
      </c>
      <c r="X609" s="19" t="str">
        <f>+VLOOKUP(Ingresos_Historicos[[#This Row],[tema]],Estructura!$A$4:$C$18,3,0)</f>
        <v>T-310</v>
      </c>
      <c r="Y609" s="19" t="str">
        <f>+VLOOKUP(Ingresos_Historicos[[#This Row],[contenido]],Estructura!$E$4:$G$18,3,0)</f>
        <v>C-303</v>
      </c>
      <c r="Z609" s="19" t="str">
        <f>+VLOOKUP(Ingresos_Historicos[[#This Row],[Filtro Integrado]],Estructura!$M$4:$O$367,3,0)</f>
        <v>FI-303</v>
      </c>
      <c r="AA609" s="19" t="str">
        <f>+VLOOKUP(Ingresos_Historicos[[#This Row],[Muestra]],Estructura!$Q$4:$S$194,3,0)</f>
        <v>M-311</v>
      </c>
    </row>
    <row r="610" spans="1:27" ht="81.599999999999994" x14ac:dyDescent="0.3">
      <c r="A610" s="71" t="s">
        <v>996</v>
      </c>
      <c r="B610" s="12">
        <f t="shared" si="117"/>
        <v>300</v>
      </c>
      <c r="C610" s="13" t="str">
        <f t="shared" si="117"/>
        <v>Violencia contra la mujer</v>
      </c>
      <c r="D610" s="13" t="str">
        <f t="shared" si="117"/>
        <v>Mujeres</v>
      </c>
      <c r="E610" s="26">
        <v>8</v>
      </c>
      <c r="F610" s="13" t="s">
        <v>7581</v>
      </c>
      <c r="G610" s="13" t="s">
        <v>7576</v>
      </c>
      <c r="H610" s="29" t="s">
        <v>15</v>
      </c>
      <c r="I610" s="28" t="s">
        <v>374</v>
      </c>
      <c r="J610" s="12" t="s">
        <v>398</v>
      </c>
      <c r="K610" s="12" t="s">
        <v>6396</v>
      </c>
      <c r="L610" s="75" t="str">
        <f t="shared" si="118"/>
        <v>Periodo 2013-2019</v>
      </c>
      <c r="M610" s="12" t="str">
        <f t="shared" si="118"/>
        <v>Porcentaje</v>
      </c>
      <c r="N610" s="33" t="s">
        <v>5964</v>
      </c>
      <c r="O610" s="72" t="str">
        <f>"Variación Trimestral de Sentencias Dictadas (%) en la "&amp;Ingresos_Historicos[[#This Row],[territorio]]&amp;" por Tipo de Delito, durante el Periodo 2013-2019"</f>
        <v>Variación Trimestral de Sentencias Dictadas (%) en la Región del Biobío por Tipo de Delito, durante el Periodo 2013-2019</v>
      </c>
      <c r="P610" s="42" t="s">
        <v>6404</v>
      </c>
      <c r="Q610" s="14" t="str">
        <f t="shared" si="119"/>
        <v>Gráfico de Evolución</v>
      </c>
      <c r="R610" s="27" t="s">
        <v>6216</v>
      </c>
      <c r="S610" s="15" t="s">
        <v>7005</v>
      </c>
      <c r="T610" s="65" t="s">
        <v>5930</v>
      </c>
      <c r="U610" s="24" t="s">
        <v>397</v>
      </c>
      <c r="V610" s="19" t="str">
        <f>+Ingresos_Historicos[[#This Row],[idcoleccion]]&amp;"-"&amp;Ingresos_Historicos[[#This Row],[id]]</f>
        <v>300-0600</v>
      </c>
      <c r="W610" s="19">
        <f>+VLOOKUP(Ingresos_Historicos[[#This Row],[Filtro URL]],Estructura!$X$4:$Y$366,2,0)</f>
        <v>30200008</v>
      </c>
      <c r="X610" s="19" t="str">
        <f>+VLOOKUP(Ingresos_Historicos[[#This Row],[tema]],Estructura!$A$4:$C$18,3,0)</f>
        <v>T-310</v>
      </c>
      <c r="Y610" s="19" t="str">
        <f>+VLOOKUP(Ingresos_Historicos[[#This Row],[contenido]],Estructura!$E$4:$G$18,3,0)</f>
        <v>C-303</v>
      </c>
      <c r="Z610" s="19" t="str">
        <f>+VLOOKUP(Ingresos_Historicos[[#This Row],[Filtro Integrado]],Estructura!$M$4:$O$367,3,0)</f>
        <v>FI-303</v>
      </c>
      <c r="AA610" s="19" t="str">
        <f>+VLOOKUP(Ingresos_Historicos[[#This Row],[Muestra]],Estructura!$Q$4:$S$194,3,0)</f>
        <v>M-311</v>
      </c>
    </row>
    <row r="611" spans="1:27" ht="81.599999999999994" x14ac:dyDescent="0.3">
      <c r="A611" s="71" t="s">
        <v>997</v>
      </c>
      <c r="B611" s="12">
        <f t="shared" si="117"/>
        <v>300</v>
      </c>
      <c r="C611" s="13" t="str">
        <f t="shared" si="117"/>
        <v>Violencia contra la mujer</v>
      </c>
      <c r="D611" s="13" t="str">
        <f t="shared" si="117"/>
        <v>Mujeres</v>
      </c>
      <c r="E611" s="26">
        <v>9</v>
      </c>
      <c r="F611" s="13" t="s">
        <v>7581</v>
      </c>
      <c r="G611" s="13" t="s">
        <v>7576</v>
      </c>
      <c r="H611" s="29" t="s">
        <v>15</v>
      </c>
      <c r="I611" s="28" t="s">
        <v>375</v>
      </c>
      <c r="J611" s="12" t="s">
        <v>398</v>
      </c>
      <c r="K611" s="12" t="s">
        <v>6396</v>
      </c>
      <c r="L611" s="75" t="str">
        <f t="shared" si="118"/>
        <v>Periodo 2013-2019</v>
      </c>
      <c r="M611" s="12" t="str">
        <f t="shared" si="118"/>
        <v>Porcentaje</v>
      </c>
      <c r="N611" s="33" t="s">
        <v>5964</v>
      </c>
      <c r="O611" s="72" t="str">
        <f>"Variación Trimestral de Sentencias Dictadas (%) en la "&amp;Ingresos_Historicos[[#This Row],[territorio]]&amp;" por Tipo de Delito, durante el Periodo 2013-2019"</f>
        <v>Variación Trimestral de Sentencias Dictadas (%) en la Región de La Araucanía por Tipo de Delito, durante el Periodo 2013-2019</v>
      </c>
      <c r="P611" s="42" t="s">
        <v>6405</v>
      </c>
      <c r="Q611" s="14" t="str">
        <f t="shared" si="119"/>
        <v>Gráfico de Evolución</v>
      </c>
      <c r="R611" s="27" t="s">
        <v>6218</v>
      </c>
      <c r="S611" s="15" t="s">
        <v>7006</v>
      </c>
      <c r="T611" s="65" t="s">
        <v>5931</v>
      </c>
      <c r="U611" s="24" t="s">
        <v>397</v>
      </c>
      <c r="V611" s="19" t="str">
        <f>+Ingresos_Historicos[[#This Row],[idcoleccion]]&amp;"-"&amp;Ingresos_Historicos[[#This Row],[id]]</f>
        <v>300-0601</v>
      </c>
      <c r="W611" s="19">
        <f>+VLOOKUP(Ingresos_Historicos[[#This Row],[Filtro URL]],Estructura!$X$4:$Y$366,2,0)</f>
        <v>30200009</v>
      </c>
      <c r="X611" s="19" t="str">
        <f>+VLOOKUP(Ingresos_Historicos[[#This Row],[tema]],Estructura!$A$4:$C$18,3,0)</f>
        <v>T-310</v>
      </c>
      <c r="Y611" s="19" t="str">
        <f>+VLOOKUP(Ingresos_Historicos[[#This Row],[contenido]],Estructura!$E$4:$G$18,3,0)</f>
        <v>C-303</v>
      </c>
      <c r="Z611" s="19" t="str">
        <f>+VLOOKUP(Ingresos_Historicos[[#This Row],[Filtro Integrado]],Estructura!$M$4:$O$367,3,0)</f>
        <v>FI-303</v>
      </c>
      <c r="AA611" s="19" t="str">
        <f>+VLOOKUP(Ingresos_Historicos[[#This Row],[Muestra]],Estructura!$Q$4:$S$194,3,0)</f>
        <v>M-311</v>
      </c>
    </row>
    <row r="612" spans="1:27" ht="81.599999999999994" x14ac:dyDescent="0.3">
      <c r="A612" s="71" t="s">
        <v>998</v>
      </c>
      <c r="B612" s="12">
        <f t="shared" si="117"/>
        <v>300</v>
      </c>
      <c r="C612" s="13" t="str">
        <f t="shared" si="117"/>
        <v>Violencia contra la mujer</v>
      </c>
      <c r="D612" s="13" t="str">
        <f t="shared" si="117"/>
        <v>Mujeres</v>
      </c>
      <c r="E612" s="26">
        <v>10</v>
      </c>
      <c r="F612" s="13" t="s">
        <v>7581</v>
      </c>
      <c r="G612" s="13" t="s">
        <v>7576</v>
      </c>
      <c r="H612" s="29" t="s">
        <v>15</v>
      </c>
      <c r="I612" s="28" t="s">
        <v>376</v>
      </c>
      <c r="J612" s="12" t="s">
        <v>398</v>
      </c>
      <c r="K612" s="12" t="s">
        <v>6396</v>
      </c>
      <c r="L612" s="75" t="str">
        <f t="shared" si="118"/>
        <v>Periodo 2013-2019</v>
      </c>
      <c r="M612" s="12" t="str">
        <f t="shared" si="118"/>
        <v>Porcentaje</v>
      </c>
      <c r="N612" s="33" t="s">
        <v>5964</v>
      </c>
      <c r="O612" s="72" t="str">
        <f>"Variación Trimestral de Sentencias Dictadas (%) en la "&amp;Ingresos_Historicos[[#This Row],[territorio]]&amp;" por Tipo de Delito, durante el Periodo 2013-2019"</f>
        <v>Variación Trimestral de Sentencias Dictadas (%) en la Región de Los Lagos por Tipo de Delito, durante el Periodo 2013-2019</v>
      </c>
      <c r="P612" s="42" t="s">
        <v>6406</v>
      </c>
      <c r="Q612" s="14" t="str">
        <f t="shared" si="119"/>
        <v>Gráfico de Evolución</v>
      </c>
      <c r="R612" s="27" t="s">
        <v>6220</v>
      </c>
      <c r="S612" s="15" t="s">
        <v>7007</v>
      </c>
      <c r="T612" s="65" t="s">
        <v>5932</v>
      </c>
      <c r="U612" s="24" t="s">
        <v>397</v>
      </c>
      <c r="V612" s="19" t="str">
        <f>+Ingresos_Historicos[[#This Row],[idcoleccion]]&amp;"-"&amp;Ingresos_Historicos[[#This Row],[id]]</f>
        <v>300-0602</v>
      </c>
      <c r="W612" s="19">
        <f>+VLOOKUP(Ingresos_Historicos[[#This Row],[Filtro URL]],Estructura!$X$4:$Y$366,2,0)</f>
        <v>30200010</v>
      </c>
      <c r="X612" s="19" t="str">
        <f>+VLOOKUP(Ingresos_Historicos[[#This Row],[tema]],Estructura!$A$4:$C$18,3,0)</f>
        <v>T-310</v>
      </c>
      <c r="Y612" s="19" t="str">
        <f>+VLOOKUP(Ingresos_Historicos[[#This Row],[contenido]],Estructura!$E$4:$G$18,3,0)</f>
        <v>C-303</v>
      </c>
      <c r="Z612" s="19" t="str">
        <f>+VLOOKUP(Ingresos_Historicos[[#This Row],[Filtro Integrado]],Estructura!$M$4:$O$367,3,0)</f>
        <v>FI-303</v>
      </c>
      <c r="AA612" s="19" t="str">
        <f>+VLOOKUP(Ingresos_Historicos[[#This Row],[Muestra]],Estructura!$Q$4:$S$194,3,0)</f>
        <v>M-311</v>
      </c>
    </row>
    <row r="613" spans="1:27" ht="81.599999999999994" x14ac:dyDescent="0.3">
      <c r="A613" s="71" t="s">
        <v>999</v>
      </c>
      <c r="B613" s="12">
        <f t="shared" si="117"/>
        <v>300</v>
      </c>
      <c r="C613" s="13" t="str">
        <f t="shared" si="117"/>
        <v>Violencia contra la mujer</v>
      </c>
      <c r="D613" s="13" t="str">
        <f t="shared" si="117"/>
        <v>Mujeres</v>
      </c>
      <c r="E613" s="26">
        <v>11</v>
      </c>
      <c r="F613" s="13" t="s">
        <v>7581</v>
      </c>
      <c r="G613" s="13" t="s">
        <v>7576</v>
      </c>
      <c r="H613" s="29" t="s">
        <v>15</v>
      </c>
      <c r="I613" s="28" t="s">
        <v>377</v>
      </c>
      <c r="J613" s="12" t="s">
        <v>398</v>
      </c>
      <c r="K613" s="12" t="s">
        <v>6396</v>
      </c>
      <c r="L613" s="75" t="str">
        <f t="shared" si="118"/>
        <v>Periodo 2013-2019</v>
      </c>
      <c r="M613" s="12" t="str">
        <f t="shared" si="118"/>
        <v>Porcentaje</v>
      </c>
      <c r="N613" s="33" t="s">
        <v>5964</v>
      </c>
      <c r="O613" s="72" t="str">
        <f>"Variación Trimestral de Sentencias Dictadas (%) en la "&amp;Ingresos_Historicos[[#This Row],[territorio]]&amp;" por Tipo de Delito, durante el Periodo 2013-2019"</f>
        <v>Variación Trimestral de Sentencias Dictadas (%) en la Región de Aysén por Tipo de Delito, durante el Periodo 2013-2019</v>
      </c>
      <c r="P613" s="42" t="s">
        <v>6407</v>
      </c>
      <c r="Q613" s="14" t="str">
        <f t="shared" si="119"/>
        <v>Gráfico de Evolución</v>
      </c>
      <c r="R613" s="27" t="s">
        <v>6222</v>
      </c>
      <c r="S613" s="15" t="s">
        <v>7008</v>
      </c>
      <c r="T613" s="65" t="s">
        <v>5933</v>
      </c>
      <c r="U613" s="24" t="s">
        <v>397</v>
      </c>
      <c r="V613" s="19" t="str">
        <f>+Ingresos_Historicos[[#This Row],[idcoleccion]]&amp;"-"&amp;Ingresos_Historicos[[#This Row],[id]]</f>
        <v>300-0603</v>
      </c>
      <c r="W613" s="19">
        <f>+VLOOKUP(Ingresos_Historicos[[#This Row],[Filtro URL]],Estructura!$X$4:$Y$366,2,0)</f>
        <v>30200011</v>
      </c>
      <c r="X613" s="19" t="str">
        <f>+VLOOKUP(Ingresos_Historicos[[#This Row],[tema]],Estructura!$A$4:$C$18,3,0)</f>
        <v>T-310</v>
      </c>
      <c r="Y613" s="19" t="str">
        <f>+VLOOKUP(Ingresos_Historicos[[#This Row],[contenido]],Estructura!$E$4:$G$18,3,0)</f>
        <v>C-303</v>
      </c>
      <c r="Z613" s="19" t="str">
        <f>+VLOOKUP(Ingresos_Historicos[[#This Row],[Filtro Integrado]],Estructura!$M$4:$O$367,3,0)</f>
        <v>FI-303</v>
      </c>
      <c r="AA613" s="19" t="str">
        <f>+VLOOKUP(Ingresos_Historicos[[#This Row],[Muestra]],Estructura!$Q$4:$S$194,3,0)</f>
        <v>M-311</v>
      </c>
    </row>
    <row r="614" spans="1:27" ht="81.599999999999994" x14ac:dyDescent="0.3">
      <c r="A614" s="71" t="s">
        <v>1000</v>
      </c>
      <c r="B614" s="12">
        <f t="shared" ref="B614:D629" si="120">+B613</f>
        <v>300</v>
      </c>
      <c r="C614" s="13" t="str">
        <f t="shared" si="120"/>
        <v>Violencia contra la mujer</v>
      </c>
      <c r="D614" s="13" t="str">
        <f t="shared" si="120"/>
        <v>Mujeres</v>
      </c>
      <c r="E614" s="26">
        <v>12</v>
      </c>
      <c r="F614" s="13" t="s">
        <v>7581</v>
      </c>
      <c r="G614" s="13" t="s">
        <v>7576</v>
      </c>
      <c r="H614" s="29" t="s">
        <v>15</v>
      </c>
      <c r="I614" s="28" t="s">
        <v>378</v>
      </c>
      <c r="J614" s="12" t="s">
        <v>398</v>
      </c>
      <c r="K614" s="12" t="s">
        <v>6396</v>
      </c>
      <c r="L614" s="75" t="str">
        <f t="shared" si="118"/>
        <v>Periodo 2013-2019</v>
      </c>
      <c r="M614" s="12" t="str">
        <f t="shared" si="118"/>
        <v>Porcentaje</v>
      </c>
      <c r="N614" s="33" t="s">
        <v>5964</v>
      </c>
      <c r="O614" s="72" t="str">
        <f>"Variación Trimestral de Sentencias Dictadas (%) en la "&amp;Ingresos_Historicos[[#This Row],[territorio]]&amp;" por Tipo de Delito, durante el Periodo 2013-2019"</f>
        <v>Variación Trimestral de Sentencias Dictadas (%) en la Región de Magallanes por Tipo de Delito, durante el Periodo 2013-2019</v>
      </c>
      <c r="P614" s="42" t="s">
        <v>6408</v>
      </c>
      <c r="Q614" s="14" t="str">
        <f t="shared" si="119"/>
        <v>Gráfico de Evolución</v>
      </c>
      <c r="R614" s="27" t="s">
        <v>6224</v>
      </c>
      <c r="S614" s="15" t="s">
        <v>7009</v>
      </c>
      <c r="T614" s="65" t="s">
        <v>5934</v>
      </c>
      <c r="U614" s="24" t="s">
        <v>397</v>
      </c>
      <c r="V614" s="19" t="str">
        <f>+Ingresos_Historicos[[#This Row],[idcoleccion]]&amp;"-"&amp;Ingresos_Historicos[[#This Row],[id]]</f>
        <v>300-0604</v>
      </c>
      <c r="W614" s="19">
        <f>+VLOOKUP(Ingresos_Historicos[[#This Row],[Filtro URL]],Estructura!$X$4:$Y$366,2,0)</f>
        <v>30200012</v>
      </c>
      <c r="X614" s="19" t="str">
        <f>+VLOOKUP(Ingresos_Historicos[[#This Row],[tema]],Estructura!$A$4:$C$18,3,0)</f>
        <v>T-310</v>
      </c>
      <c r="Y614" s="19" t="str">
        <f>+VLOOKUP(Ingresos_Historicos[[#This Row],[contenido]],Estructura!$E$4:$G$18,3,0)</f>
        <v>C-303</v>
      </c>
      <c r="Z614" s="19" t="str">
        <f>+VLOOKUP(Ingresos_Historicos[[#This Row],[Filtro Integrado]],Estructura!$M$4:$O$367,3,0)</f>
        <v>FI-303</v>
      </c>
      <c r="AA614" s="19" t="str">
        <f>+VLOOKUP(Ingresos_Historicos[[#This Row],[Muestra]],Estructura!$Q$4:$S$194,3,0)</f>
        <v>M-311</v>
      </c>
    </row>
    <row r="615" spans="1:27" ht="81.599999999999994" x14ac:dyDescent="0.3">
      <c r="A615" s="71" t="s">
        <v>1001</v>
      </c>
      <c r="B615" s="12">
        <f t="shared" si="120"/>
        <v>300</v>
      </c>
      <c r="C615" s="13" t="str">
        <f t="shared" si="120"/>
        <v>Violencia contra la mujer</v>
      </c>
      <c r="D615" s="13" t="str">
        <f t="shared" si="120"/>
        <v>Mujeres</v>
      </c>
      <c r="E615" s="26">
        <v>13</v>
      </c>
      <c r="F615" s="13" t="s">
        <v>7581</v>
      </c>
      <c r="G615" s="13" t="s">
        <v>7576</v>
      </c>
      <c r="H615" s="29" t="s">
        <v>15</v>
      </c>
      <c r="I615" s="28" t="s">
        <v>379</v>
      </c>
      <c r="J615" s="12" t="s">
        <v>398</v>
      </c>
      <c r="K615" s="12" t="s">
        <v>6396</v>
      </c>
      <c r="L615" s="75" t="str">
        <f t="shared" si="118"/>
        <v>Periodo 2013-2019</v>
      </c>
      <c r="M615" s="12" t="str">
        <f t="shared" si="118"/>
        <v>Porcentaje</v>
      </c>
      <c r="N615" s="33" t="s">
        <v>5964</v>
      </c>
      <c r="O615" s="72" t="str">
        <f>"Variación Trimestral de Sentencias Dictadas (%) en la "&amp;Ingresos_Historicos[[#This Row],[territorio]]&amp;" por Tipo de Delito, durante el Periodo 2013-2019"</f>
        <v>Variación Trimestral de Sentencias Dictadas (%) en la Región Metropolitana por Tipo de Delito, durante el Periodo 2013-2019</v>
      </c>
      <c r="P615" s="42" t="s">
        <v>6409</v>
      </c>
      <c r="Q615" s="14" t="str">
        <f t="shared" si="119"/>
        <v>Gráfico de Evolución</v>
      </c>
      <c r="R615" s="27" t="s">
        <v>6226</v>
      </c>
      <c r="S615" s="15" t="s">
        <v>7010</v>
      </c>
      <c r="T615" s="65" t="s">
        <v>5935</v>
      </c>
      <c r="U615" s="24" t="s">
        <v>397</v>
      </c>
      <c r="V615" s="19" t="str">
        <f>+Ingresos_Historicos[[#This Row],[idcoleccion]]&amp;"-"&amp;Ingresos_Historicos[[#This Row],[id]]</f>
        <v>300-0605</v>
      </c>
      <c r="W615" s="19">
        <f>+VLOOKUP(Ingresos_Historicos[[#This Row],[Filtro URL]],Estructura!$X$4:$Y$366,2,0)</f>
        <v>30200013</v>
      </c>
      <c r="X615" s="19" t="str">
        <f>+VLOOKUP(Ingresos_Historicos[[#This Row],[tema]],Estructura!$A$4:$C$18,3,0)</f>
        <v>T-310</v>
      </c>
      <c r="Y615" s="19" t="str">
        <f>+VLOOKUP(Ingresos_Historicos[[#This Row],[contenido]],Estructura!$E$4:$G$18,3,0)</f>
        <v>C-303</v>
      </c>
      <c r="Z615" s="19" t="str">
        <f>+VLOOKUP(Ingresos_Historicos[[#This Row],[Filtro Integrado]],Estructura!$M$4:$O$367,3,0)</f>
        <v>FI-303</v>
      </c>
      <c r="AA615" s="19" t="str">
        <f>+VLOOKUP(Ingresos_Historicos[[#This Row],[Muestra]],Estructura!$Q$4:$S$194,3,0)</f>
        <v>M-311</v>
      </c>
    </row>
    <row r="616" spans="1:27" ht="81.599999999999994" x14ac:dyDescent="0.3">
      <c r="A616" s="71" t="s">
        <v>1002</v>
      </c>
      <c r="B616" s="12">
        <f t="shared" si="120"/>
        <v>300</v>
      </c>
      <c r="C616" s="13" t="str">
        <f t="shared" si="120"/>
        <v>Violencia contra la mujer</v>
      </c>
      <c r="D616" s="13" t="str">
        <f t="shared" si="120"/>
        <v>Mujeres</v>
      </c>
      <c r="E616" s="26">
        <v>14</v>
      </c>
      <c r="F616" s="13" t="s">
        <v>7581</v>
      </c>
      <c r="G616" s="13" t="s">
        <v>7576</v>
      </c>
      <c r="H616" s="29" t="s">
        <v>15</v>
      </c>
      <c r="I616" s="28" t="s">
        <v>380</v>
      </c>
      <c r="J616" s="12" t="s">
        <v>398</v>
      </c>
      <c r="K616" s="12" t="s">
        <v>6396</v>
      </c>
      <c r="L616" s="75" t="str">
        <f t="shared" ref="L616:M631" si="121">+L615</f>
        <v>Periodo 2013-2019</v>
      </c>
      <c r="M616" s="12" t="str">
        <f t="shared" si="121"/>
        <v>Porcentaje</v>
      </c>
      <c r="N616" s="33" t="s">
        <v>5964</v>
      </c>
      <c r="O616" s="72" t="str">
        <f>"Variación Trimestral de Sentencias Dictadas (%) en la "&amp;Ingresos_Historicos[[#This Row],[territorio]]&amp;" por Tipo de Delito, durante el Periodo 2013-2019"</f>
        <v>Variación Trimestral de Sentencias Dictadas (%) en la Región de Los Ríos por Tipo de Delito, durante el Periodo 2013-2019</v>
      </c>
      <c r="P616" s="42" t="s">
        <v>6410</v>
      </c>
      <c r="Q616" s="14" t="str">
        <f>+Q615</f>
        <v>Gráfico de Evolución</v>
      </c>
      <c r="R616" s="27" t="s">
        <v>6228</v>
      </c>
      <c r="S616" s="15" t="s">
        <v>7011</v>
      </c>
      <c r="T616" s="65" t="s">
        <v>5936</v>
      </c>
      <c r="U616" s="24" t="s">
        <v>397</v>
      </c>
      <c r="V616" s="19" t="str">
        <f>+Ingresos_Historicos[[#This Row],[idcoleccion]]&amp;"-"&amp;Ingresos_Historicos[[#This Row],[id]]</f>
        <v>300-0606</v>
      </c>
      <c r="W616" s="19">
        <f>+VLOOKUP(Ingresos_Historicos[[#This Row],[Filtro URL]],Estructura!$X$4:$Y$366,2,0)</f>
        <v>30200014</v>
      </c>
      <c r="X616" s="19" t="str">
        <f>+VLOOKUP(Ingresos_Historicos[[#This Row],[tema]],Estructura!$A$4:$C$18,3,0)</f>
        <v>T-310</v>
      </c>
      <c r="Y616" s="19" t="str">
        <f>+VLOOKUP(Ingresos_Historicos[[#This Row],[contenido]],Estructura!$E$4:$G$18,3,0)</f>
        <v>C-303</v>
      </c>
      <c r="Z616" s="19" t="str">
        <f>+VLOOKUP(Ingresos_Historicos[[#This Row],[Filtro Integrado]],Estructura!$M$4:$O$367,3,0)</f>
        <v>FI-303</v>
      </c>
      <c r="AA616" s="19" t="str">
        <f>+VLOOKUP(Ingresos_Historicos[[#This Row],[Muestra]],Estructura!$Q$4:$S$194,3,0)</f>
        <v>M-311</v>
      </c>
    </row>
    <row r="617" spans="1:27" ht="81.599999999999994" x14ac:dyDescent="0.3">
      <c r="A617" s="71" t="s">
        <v>1003</v>
      </c>
      <c r="B617" s="12">
        <f t="shared" si="120"/>
        <v>300</v>
      </c>
      <c r="C617" s="13" t="str">
        <f t="shared" si="120"/>
        <v>Violencia contra la mujer</v>
      </c>
      <c r="D617" s="13" t="str">
        <f t="shared" si="120"/>
        <v>Mujeres</v>
      </c>
      <c r="E617" s="26">
        <v>15</v>
      </c>
      <c r="F617" s="13" t="s">
        <v>7581</v>
      </c>
      <c r="G617" s="13" t="s">
        <v>7576</v>
      </c>
      <c r="H617" s="29" t="s">
        <v>15</v>
      </c>
      <c r="I617" s="28" t="s">
        <v>381</v>
      </c>
      <c r="J617" s="12" t="s">
        <v>398</v>
      </c>
      <c r="K617" s="12" t="s">
        <v>6396</v>
      </c>
      <c r="L617" s="75" t="str">
        <f t="shared" si="121"/>
        <v>Periodo 2013-2019</v>
      </c>
      <c r="M617" s="12" t="str">
        <f t="shared" si="121"/>
        <v>Porcentaje</v>
      </c>
      <c r="N617" s="33" t="s">
        <v>5964</v>
      </c>
      <c r="O617" s="72" t="str">
        <f>"Variación Trimestral de Sentencias Dictadas (%) en la "&amp;Ingresos_Historicos[[#This Row],[territorio]]&amp;" por Tipo de Delito, durante el Periodo 2013-2019"</f>
        <v>Variación Trimestral de Sentencias Dictadas (%) en la Región de Arica y Parinacota por Tipo de Delito, durante el Periodo 2013-2019</v>
      </c>
      <c r="P617" s="42" t="s">
        <v>6411</v>
      </c>
      <c r="Q617" s="14" t="str">
        <f>+Q616</f>
        <v>Gráfico de Evolución</v>
      </c>
      <c r="R617" s="27" t="s">
        <v>6230</v>
      </c>
      <c r="S617" s="15" t="s">
        <v>7012</v>
      </c>
      <c r="T617" s="65" t="s">
        <v>5937</v>
      </c>
      <c r="U617" s="24" t="s">
        <v>397</v>
      </c>
      <c r="V617" s="19" t="str">
        <f>+Ingresos_Historicos[[#This Row],[idcoleccion]]&amp;"-"&amp;Ingresos_Historicos[[#This Row],[id]]</f>
        <v>300-0607</v>
      </c>
      <c r="W617" s="19">
        <f>+VLOOKUP(Ingresos_Historicos[[#This Row],[Filtro URL]],Estructura!$X$4:$Y$366,2,0)</f>
        <v>30200015</v>
      </c>
      <c r="X617" s="19" t="str">
        <f>+VLOOKUP(Ingresos_Historicos[[#This Row],[tema]],Estructura!$A$4:$C$18,3,0)</f>
        <v>T-310</v>
      </c>
      <c r="Y617" s="19" t="str">
        <f>+VLOOKUP(Ingresos_Historicos[[#This Row],[contenido]],Estructura!$E$4:$G$18,3,0)</f>
        <v>C-303</v>
      </c>
      <c r="Z617" s="19" t="str">
        <f>+VLOOKUP(Ingresos_Historicos[[#This Row],[Filtro Integrado]],Estructura!$M$4:$O$367,3,0)</f>
        <v>FI-303</v>
      </c>
      <c r="AA617" s="19" t="str">
        <f>+VLOOKUP(Ingresos_Historicos[[#This Row],[Muestra]],Estructura!$Q$4:$S$194,3,0)</f>
        <v>M-311</v>
      </c>
    </row>
    <row r="618" spans="1:27" ht="81.599999999999994" x14ac:dyDescent="0.3">
      <c r="A618" s="71" t="s">
        <v>1004</v>
      </c>
      <c r="B618" s="12">
        <f t="shared" si="120"/>
        <v>300</v>
      </c>
      <c r="C618" s="13" t="str">
        <f t="shared" si="120"/>
        <v>Violencia contra la mujer</v>
      </c>
      <c r="D618" s="13" t="str">
        <f t="shared" si="120"/>
        <v>Mujeres</v>
      </c>
      <c r="E618" s="26">
        <v>16</v>
      </c>
      <c r="F618" s="13" t="s">
        <v>7581</v>
      </c>
      <c r="G618" s="13" t="s">
        <v>7576</v>
      </c>
      <c r="H618" s="29" t="s">
        <v>15</v>
      </c>
      <c r="I618" s="28" t="s">
        <v>382</v>
      </c>
      <c r="J618" s="12" t="s">
        <v>398</v>
      </c>
      <c r="K618" s="12" t="s">
        <v>6396</v>
      </c>
      <c r="L618" s="75" t="str">
        <f t="shared" si="121"/>
        <v>Periodo 2013-2019</v>
      </c>
      <c r="M618" s="12" t="str">
        <f t="shared" si="121"/>
        <v>Porcentaje</v>
      </c>
      <c r="N618" s="33" t="s">
        <v>5964</v>
      </c>
      <c r="O618" s="72" t="str">
        <f>"Variación Trimestral de Sentencias Dictadas (%) en la "&amp;Ingresos_Historicos[[#This Row],[territorio]]&amp;" por Tipo de Delito, durante el Periodo 2013-2019"</f>
        <v>Variación Trimestral de Sentencias Dictadas (%) en la Región de Ñuble por Tipo de Delito, durante el Periodo 2013-2019</v>
      </c>
      <c r="P618" s="42" t="s">
        <v>6412</v>
      </c>
      <c r="Q618" s="14" t="str">
        <f>+Q617</f>
        <v>Gráfico de Evolución</v>
      </c>
      <c r="R618" s="27" t="s">
        <v>6232</v>
      </c>
      <c r="S618" s="15" t="s">
        <v>7013</v>
      </c>
      <c r="T618" s="65" t="s">
        <v>5924</v>
      </c>
      <c r="U618" s="24" t="s">
        <v>397</v>
      </c>
      <c r="V618" s="19" t="str">
        <f>+Ingresos_Historicos[[#This Row],[idcoleccion]]&amp;"-"&amp;Ingresos_Historicos[[#This Row],[id]]</f>
        <v>300-0608</v>
      </c>
      <c r="W618" s="19">
        <f>+VLOOKUP(Ingresos_Historicos[[#This Row],[Filtro URL]],Estructura!$X$4:$Y$366,2,0)</f>
        <v>30200016</v>
      </c>
      <c r="X618" s="19" t="str">
        <f>+VLOOKUP(Ingresos_Historicos[[#This Row],[tema]],Estructura!$A$4:$C$18,3,0)</f>
        <v>T-310</v>
      </c>
      <c r="Y618" s="19" t="str">
        <f>+VLOOKUP(Ingresos_Historicos[[#This Row],[contenido]],Estructura!$E$4:$G$18,3,0)</f>
        <v>C-303</v>
      </c>
      <c r="Z618" s="19" t="str">
        <f>+VLOOKUP(Ingresos_Historicos[[#This Row],[Filtro Integrado]],Estructura!$M$4:$O$367,3,0)</f>
        <v>FI-303</v>
      </c>
      <c r="AA618" s="19" t="str">
        <f>+VLOOKUP(Ingresos_Historicos[[#This Row],[Muestra]],Estructura!$Q$4:$S$194,3,0)</f>
        <v>M-311</v>
      </c>
    </row>
    <row r="619" spans="1:27" ht="40.799999999999997" x14ac:dyDescent="0.3">
      <c r="A619" s="32" t="s">
        <v>1005</v>
      </c>
      <c r="B619" s="12">
        <f t="shared" si="120"/>
        <v>300</v>
      </c>
      <c r="C619" s="13" t="str">
        <f t="shared" si="120"/>
        <v>Violencia contra la mujer</v>
      </c>
      <c r="D619" s="13" t="str">
        <f t="shared" si="120"/>
        <v>Mujeres</v>
      </c>
      <c r="E619" s="26">
        <v>1</v>
      </c>
      <c r="F619" s="13" t="s">
        <v>7581</v>
      </c>
      <c r="G619" s="13" t="s">
        <v>7576</v>
      </c>
      <c r="H619" s="29" t="s">
        <v>15</v>
      </c>
      <c r="I619" s="28" t="s">
        <v>367</v>
      </c>
      <c r="J619" s="12" t="s">
        <v>398</v>
      </c>
      <c r="K619" s="12" t="s">
        <v>6396</v>
      </c>
      <c r="L619" s="75" t="str">
        <f t="shared" si="121"/>
        <v>Periodo 2013-2019</v>
      </c>
      <c r="M619" s="12" t="str">
        <f t="shared" si="121"/>
        <v>Porcentaje</v>
      </c>
      <c r="N619" s="33" t="s">
        <v>5964</v>
      </c>
      <c r="O619" s="72" t="str">
        <f>"Variación Trimestral de Sentencias Dictadas (%) en la "&amp;Ingresos_Historicos[[#This Row],[territorio]]&amp;" por Delito, durante el Periodo 2013-2019"</f>
        <v>Variación Trimestral de Sentencias Dictadas (%) en la Región de Tarapacá por Delito, durante el Periodo 2013-2019</v>
      </c>
      <c r="P619"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Tarapacá por Delito, durante el Periodo 2013-2019 de acuerdo a datos provenientes del Poder Judicial de Chile.</v>
      </c>
      <c r="Q619" s="14" t="str">
        <f t="shared" ref="Q619:Q658" si="122">+Q618</f>
        <v>Gráfico de Evolución</v>
      </c>
      <c r="R619" s="27" t="s">
        <v>6233</v>
      </c>
      <c r="S619" s="15" t="s">
        <v>7014</v>
      </c>
      <c r="T619" s="65" t="s">
        <v>5922</v>
      </c>
      <c r="U619" s="24" t="s">
        <v>397</v>
      </c>
      <c r="V619" s="19" t="str">
        <f>+Ingresos_Historicos[[#This Row],[idcoleccion]]&amp;"-"&amp;Ingresos_Historicos[[#This Row],[id]]</f>
        <v>300-0609</v>
      </c>
      <c r="W619" s="19">
        <f>+VLOOKUP(Ingresos_Historicos[[#This Row],[Filtro URL]],Estructura!$X$4:$Y$366,2,0)</f>
        <v>30200001</v>
      </c>
      <c r="X619" s="19" t="str">
        <f>+VLOOKUP(Ingresos_Historicos[[#This Row],[tema]],Estructura!$A$4:$C$18,3,0)</f>
        <v>T-310</v>
      </c>
      <c r="Y619" s="19" t="str">
        <f>+VLOOKUP(Ingresos_Historicos[[#This Row],[contenido]],Estructura!$E$4:$G$18,3,0)</f>
        <v>C-303</v>
      </c>
      <c r="Z619" s="19" t="str">
        <f>+VLOOKUP(Ingresos_Historicos[[#This Row],[Filtro Integrado]],Estructura!$M$4:$O$367,3,0)</f>
        <v>FI-303</v>
      </c>
      <c r="AA619" s="19" t="str">
        <f>+VLOOKUP(Ingresos_Historicos[[#This Row],[Muestra]],Estructura!$Q$4:$S$194,3,0)</f>
        <v>M-311</v>
      </c>
    </row>
    <row r="620" spans="1:27" ht="40.799999999999997" x14ac:dyDescent="0.3">
      <c r="A620" s="71" t="s">
        <v>1006</v>
      </c>
      <c r="B620" s="12">
        <f t="shared" si="120"/>
        <v>300</v>
      </c>
      <c r="C620" s="13" t="str">
        <f t="shared" si="120"/>
        <v>Violencia contra la mujer</v>
      </c>
      <c r="D620" s="13" t="str">
        <f t="shared" si="120"/>
        <v>Mujeres</v>
      </c>
      <c r="E620" s="26">
        <v>2</v>
      </c>
      <c r="F620" s="13" t="s">
        <v>7581</v>
      </c>
      <c r="G620" s="13" t="s">
        <v>7576</v>
      </c>
      <c r="H620" s="29" t="s">
        <v>15</v>
      </c>
      <c r="I620" s="28" t="s">
        <v>368</v>
      </c>
      <c r="J620" s="12" t="s">
        <v>398</v>
      </c>
      <c r="K620" s="12" t="s">
        <v>6396</v>
      </c>
      <c r="L620" s="75" t="str">
        <f t="shared" si="121"/>
        <v>Periodo 2013-2019</v>
      </c>
      <c r="M620" s="12" t="str">
        <f t="shared" si="121"/>
        <v>Porcentaje</v>
      </c>
      <c r="N620" s="33" t="s">
        <v>5964</v>
      </c>
      <c r="O620" s="72" t="str">
        <f>"Variación Trimestral de Sentencias Dictadas (%) en la "&amp;Ingresos_Historicos[[#This Row],[territorio]]&amp;" por Delito, durante el Periodo 2013-2019"</f>
        <v>Variación Trimestral de Sentencias Dictadas (%) en la Región de Antofagasta por Delito, durante el Periodo 2013-2019</v>
      </c>
      <c r="P620"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Antofagasta por Delito, durante el Periodo 2013-2019 de acuerdo a datos provenientes del Poder Judicial de Chile.</v>
      </c>
      <c r="Q620" s="14" t="str">
        <f t="shared" si="122"/>
        <v>Gráfico de Evolución</v>
      </c>
      <c r="R620" s="27" t="s">
        <v>6234</v>
      </c>
      <c r="S620" s="15" t="s">
        <v>7015</v>
      </c>
      <c r="T620" s="65" t="s">
        <v>5923</v>
      </c>
      <c r="U620" s="24" t="s">
        <v>397</v>
      </c>
      <c r="V620" s="19" t="str">
        <f>+Ingresos_Historicos[[#This Row],[idcoleccion]]&amp;"-"&amp;Ingresos_Historicos[[#This Row],[id]]</f>
        <v>300-0610</v>
      </c>
      <c r="W620" s="19">
        <f>+VLOOKUP(Ingresos_Historicos[[#This Row],[Filtro URL]],Estructura!$X$4:$Y$366,2,0)</f>
        <v>30200002</v>
      </c>
      <c r="X620" s="19" t="str">
        <f>+VLOOKUP(Ingresos_Historicos[[#This Row],[tema]],Estructura!$A$4:$C$18,3,0)</f>
        <v>T-310</v>
      </c>
      <c r="Y620" s="19" t="str">
        <f>+VLOOKUP(Ingresos_Historicos[[#This Row],[contenido]],Estructura!$E$4:$G$18,3,0)</f>
        <v>C-303</v>
      </c>
      <c r="Z620" s="19" t="str">
        <f>+VLOOKUP(Ingresos_Historicos[[#This Row],[Filtro Integrado]],Estructura!$M$4:$O$367,3,0)</f>
        <v>FI-303</v>
      </c>
      <c r="AA620" s="19" t="str">
        <f>+VLOOKUP(Ingresos_Historicos[[#This Row],[Muestra]],Estructura!$Q$4:$S$194,3,0)</f>
        <v>M-311</v>
      </c>
    </row>
    <row r="621" spans="1:27" ht="40.799999999999997" x14ac:dyDescent="0.3">
      <c r="A621" s="71" t="s">
        <v>1007</v>
      </c>
      <c r="B621" s="12">
        <f t="shared" si="120"/>
        <v>300</v>
      </c>
      <c r="C621" s="13" t="str">
        <f t="shared" si="120"/>
        <v>Violencia contra la mujer</v>
      </c>
      <c r="D621" s="13" t="str">
        <f t="shared" si="120"/>
        <v>Mujeres</v>
      </c>
      <c r="E621" s="26">
        <v>3</v>
      </c>
      <c r="F621" s="13" t="s">
        <v>7581</v>
      </c>
      <c r="G621" s="13" t="s">
        <v>7576</v>
      </c>
      <c r="H621" s="29" t="s">
        <v>15</v>
      </c>
      <c r="I621" s="28" t="s">
        <v>369</v>
      </c>
      <c r="J621" s="12" t="s">
        <v>398</v>
      </c>
      <c r="K621" s="12" t="s">
        <v>6396</v>
      </c>
      <c r="L621" s="75" t="str">
        <f t="shared" si="121"/>
        <v>Periodo 2013-2019</v>
      </c>
      <c r="M621" s="12" t="str">
        <f t="shared" si="121"/>
        <v>Porcentaje</v>
      </c>
      <c r="N621" s="33" t="s">
        <v>5964</v>
      </c>
      <c r="O621" s="72" t="str">
        <f>"Variación Trimestral de Sentencias Dictadas (%) en la "&amp;Ingresos_Historicos[[#This Row],[territorio]]&amp;" por Delito, durante el Periodo 2013-2019"</f>
        <v>Variación Trimestral de Sentencias Dictadas (%) en la Región de Atacama por Delito, durante el Periodo 2013-2019</v>
      </c>
      <c r="P621"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Atacama por Delito, durante el Periodo 2013-2019 de acuerdo a datos provenientes del Poder Judicial de Chile.</v>
      </c>
      <c r="Q621" s="14" t="str">
        <f t="shared" si="122"/>
        <v>Gráfico de Evolución</v>
      </c>
      <c r="R621" s="27" t="s">
        <v>6235</v>
      </c>
      <c r="S621" s="15" t="s">
        <v>7016</v>
      </c>
      <c r="T621" s="65" t="s">
        <v>5925</v>
      </c>
      <c r="U621" s="24" t="s">
        <v>397</v>
      </c>
      <c r="V621" s="19" t="str">
        <f>+Ingresos_Historicos[[#This Row],[idcoleccion]]&amp;"-"&amp;Ingresos_Historicos[[#This Row],[id]]</f>
        <v>300-0611</v>
      </c>
      <c r="W621" s="19">
        <f>+VLOOKUP(Ingresos_Historicos[[#This Row],[Filtro URL]],Estructura!$X$4:$Y$366,2,0)</f>
        <v>30200003</v>
      </c>
      <c r="X621" s="19" t="str">
        <f>+VLOOKUP(Ingresos_Historicos[[#This Row],[tema]],Estructura!$A$4:$C$18,3,0)</f>
        <v>T-310</v>
      </c>
      <c r="Y621" s="19" t="str">
        <f>+VLOOKUP(Ingresos_Historicos[[#This Row],[contenido]],Estructura!$E$4:$G$18,3,0)</f>
        <v>C-303</v>
      </c>
      <c r="Z621" s="19" t="str">
        <f>+VLOOKUP(Ingresos_Historicos[[#This Row],[Filtro Integrado]],Estructura!$M$4:$O$367,3,0)</f>
        <v>FI-303</v>
      </c>
      <c r="AA621" s="19" t="str">
        <f>+VLOOKUP(Ingresos_Historicos[[#This Row],[Muestra]],Estructura!$Q$4:$S$194,3,0)</f>
        <v>M-311</v>
      </c>
    </row>
    <row r="622" spans="1:27" ht="40.799999999999997" x14ac:dyDescent="0.3">
      <c r="A622" s="71" t="s">
        <v>1008</v>
      </c>
      <c r="B622" s="12">
        <f t="shared" si="120"/>
        <v>300</v>
      </c>
      <c r="C622" s="13" t="str">
        <f t="shared" si="120"/>
        <v>Violencia contra la mujer</v>
      </c>
      <c r="D622" s="13" t="str">
        <f t="shared" si="120"/>
        <v>Mujeres</v>
      </c>
      <c r="E622" s="26">
        <v>4</v>
      </c>
      <c r="F622" s="13" t="s">
        <v>7581</v>
      </c>
      <c r="G622" s="13" t="s">
        <v>7576</v>
      </c>
      <c r="H622" s="29" t="s">
        <v>15</v>
      </c>
      <c r="I622" s="28" t="s">
        <v>370</v>
      </c>
      <c r="J622" s="12" t="s">
        <v>398</v>
      </c>
      <c r="K622" s="12" t="s">
        <v>6396</v>
      </c>
      <c r="L622" s="75" t="str">
        <f t="shared" si="121"/>
        <v>Periodo 2013-2019</v>
      </c>
      <c r="M622" s="12" t="str">
        <f t="shared" si="121"/>
        <v>Porcentaje</v>
      </c>
      <c r="N622" s="33" t="s">
        <v>5964</v>
      </c>
      <c r="O622" s="72" t="str">
        <f>"Variación Trimestral de Sentencias Dictadas (%) en la "&amp;Ingresos_Historicos[[#This Row],[territorio]]&amp;" por Delito, durante el Periodo 2013-2019"</f>
        <v>Variación Trimestral de Sentencias Dictadas (%) en la Región de Coquimbo por Delito, durante el Periodo 2013-2019</v>
      </c>
      <c r="P622"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Coquimbo por Delito, durante el Periodo 2013-2019 de acuerdo a datos provenientes del Poder Judicial de Chile.</v>
      </c>
      <c r="Q622" s="14" t="str">
        <f t="shared" si="122"/>
        <v>Gráfico de Evolución</v>
      </c>
      <c r="R622" s="27" t="s">
        <v>6236</v>
      </c>
      <c r="S622" s="15" t="s">
        <v>7017</v>
      </c>
      <c r="T622" s="65" t="s">
        <v>5926</v>
      </c>
      <c r="U622" s="24" t="s">
        <v>397</v>
      </c>
      <c r="V622" s="19" t="str">
        <f>+Ingresos_Historicos[[#This Row],[idcoleccion]]&amp;"-"&amp;Ingresos_Historicos[[#This Row],[id]]</f>
        <v>300-0612</v>
      </c>
      <c r="W622" s="19">
        <f>+VLOOKUP(Ingresos_Historicos[[#This Row],[Filtro URL]],Estructura!$X$4:$Y$366,2,0)</f>
        <v>30200004</v>
      </c>
      <c r="X622" s="19" t="str">
        <f>+VLOOKUP(Ingresos_Historicos[[#This Row],[tema]],Estructura!$A$4:$C$18,3,0)</f>
        <v>T-310</v>
      </c>
      <c r="Y622" s="19" t="str">
        <f>+VLOOKUP(Ingresos_Historicos[[#This Row],[contenido]],Estructura!$E$4:$G$18,3,0)</f>
        <v>C-303</v>
      </c>
      <c r="Z622" s="19" t="str">
        <f>+VLOOKUP(Ingresos_Historicos[[#This Row],[Filtro Integrado]],Estructura!$M$4:$O$367,3,0)</f>
        <v>FI-303</v>
      </c>
      <c r="AA622" s="19" t="str">
        <f>+VLOOKUP(Ingresos_Historicos[[#This Row],[Muestra]],Estructura!$Q$4:$S$194,3,0)</f>
        <v>M-311</v>
      </c>
    </row>
    <row r="623" spans="1:27" ht="40.799999999999997" x14ac:dyDescent="0.3">
      <c r="A623" s="71" t="s">
        <v>1009</v>
      </c>
      <c r="B623" s="12">
        <f t="shared" si="120"/>
        <v>300</v>
      </c>
      <c r="C623" s="13" t="str">
        <f t="shared" si="120"/>
        <v>Violencia contra la mujer</v>
      </c>
      <c r="D623" s="13" t="str">
        <f t="shared" si="120"/>
        <v>Mujeres</v>
      </c>
      <c r="E623" s="26">
        <v>5</v>
      </c>
      <c r="F623" s="13" t="s">
        <v>7581</v>
      </c>
      <c r="G623" s="13" t="s">
        <v>7576</v>
      </c>
      <c r="H623" s="29" t="s">
        <v>15</v>
      </c>
      <c r="I623" s="28" t="s">
        <v>371</v>
      </c>
      <c r="J623" s="12" t="s">
        <v>398</v>
      </c>
      <c r="K623" s="12" t="s">
        <v>6396</v>
      </c>
      <c r="L623" s="75" t="str">
        <f t="shared" si="121"/>
        <v>Periodo 2013-2019</v>
      </c>
      <c r="M623" s="12" t="str">
        <f t="shared" si="121"/>
        <v>Porcentaje</v>
      </c>
      <c r="N623" s="33" t="s">
        <v>5964</v>
      </c>
      <c r="O623" s="72" t="str">
        <f>"Variación Trimestral de Sentencias Dictadas (%) en la "&amp;Ingresos_Historicos[[#This Row],[territorio]]&amp;" por Delito, durante el Periodo 2013-2019"</f>
        <v>Variación Trimestral de Sentencias Dictadas (%) en la Región de Valparaíso por Delito, durante el Periodo 2013-2019</v>
      </c>
      <c r="P623"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Valparaíso por Delito, durante el Periodo 2013-2019 de acuerdo a datos provenientes del Poder Judicial de Chile.</v>
      </c>
      <c r="Q623" s="14" t="str">
        <f t="shared" si="122"/>
        <v>Gráfico de Evolución</v>
      </c>
      <c r="R623" s="27" t="s">
        <v>6237</v>
      </c>
      <c r="S623" s="15" t="s">
        <v>7018</v>
      </c>
      <c r="T623" s="65" t="s">
        <v>5927</v>
      </c>
      <c r="U623" s="24" t="s">
        <v>397</v>
      </c>
      <c r="V623" s="19" t="str">
        <f>+Ingresos_Historicos[[#This Row],[idcoleccion]]&amp;"-"&amp;Ingresos_Historicos[[#This Row],[id]]</f>
        <v>300-0613</v>
      </c>
      <c r="W623" s="19">
        <f>+VLOOKUP(Ingresos_Historicos[[#This Row],[Filtro URL]],Estructura!$X$4:$Y$366,2,0)</f>
        <v>30200005</v>
      </c>
      <c r="X623" s="19" t="str">
        <f>+VLOOKUP(Ingresos_Historicos[[#This Row],[tema]],Estructura!$A$4:$C$18,3,0)</f>
        <v>T-310</v>
      </c>
      <c r="Y623" s="19" t="str">
        <f>+VLOOKUP(Ingresos_Historicos[[#This Row],[contenido]],Estructura!$E$4:$G$18,3,0)</f>
        <v>C-303</v>
      </c>
      <c r="Z623" s="19" t="str">
        <f>+VLOOKUP(Ingresos_Historicos[[#This Row],[Filtro Integrado]],Estructura!$M$4:$O$367,3,0)</f>
        <v>FI-303</v>
      </c>
      <c r="AA623" s="19" t="str">
        <f>+VLOOKUP(Ingresos_Historicos[[#This Row],[Muestra]],Estructura!$Q$4:$S$194,3,0)</f>
        <v>M-311</v>
      </c>
    </row>
    <row r="624" spans="1:27" ht="40.799999999999997" x14ac:dyDescent="0.3">
      <c r="A624" s="71" t="s">
        <v>1010</v>
      </c>
      <c r="B624" s="12">
        <f t="shared" si="120"/>
        <v>300</v>
      </c>
      <c r="C624" s="13" t="str">
        <f t="shared" si="120"/>
        <v>Violencia contra la mujer</v>
      </c>
      <c r="D624" s="13" t="str">
        <f t="shared" si="120"/>
        <v>Mujeres</v>
      </c>
      <c r="E624" s="26">
        <v>6</v>
      </c>
      <c r="F624" s="13" t="s">
        <v>7581</v>
      </c>
      <c r="G624" s="13" t="s">
        <v>7576</v>
      </c>
      <c r="H624" s="29" t="s">
        <v>15</v>
      </c>
      <c r="I624" s="28" t="s">
        <v>372</v>
      </c>
      <c r="J624" s="12" t="s">
        <v>398</v>
      </c>
      <c r="K624" s="12" t="s">
        <v>6396</v>
      </c>
      <c r="L624" s="75" t="str">
        <f t="shared" si="121"/>
        <v>Periodo 2013-2019</v>
      </c>
      <c r="M624" s="12" t="str">
        <f t="shared" si="121"/>
        <v>Porcentaje</v>
      </c>
      <c r="N624" s="33" t="s">
        <v>5964</v>
      </c>
      <c r="O624" s="72" t="str">
        <f>"Variación Trimestral de Sentencias Dictadas (%) en la "&amp;Ingresos_Historicos[[#This Row],[territorio]]&amp;" por Delito, durante el Periodo 2013-2019"</f>
        <v>Variación Trimestral de Sentencias Dictadas (%) en la Región de O'Higgins por Delito, durante el Periodo 2013-2019</v>
      </c>
      <c r="P624"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O'Higgins por Delito, durante el Periodo 2013-2019 de acuerdo a datos provenientes del Poder Judicial de Chile.</v>
      </c>
      <c r="Q624" s="14" t="str">
        <f t="shared" si="122"/>
        <v>Gráfico de Evolución</v>
      </c>
      <c r="R624" s="27" t="s">
        <v>6238</v>
      </c>
      <c r="S624" s="15" t="s">
        <v>7019</v>
      </c>
      <c r="T624" s="65" t="s">
        <v>5928</v>
      </c>
      <c r="U624" s="24" t="s">
        <v>397</v>
      </c>
      <c r="V624" s="19" t="str">
        <f>+Ingresos_Historicos[[#This Row],[idcoleccion]]&amp;"-"&amp;Ingresos_Historicos[[#This Row],[id]]</f>
        <v>300-0614</v>
      </c>
      <c r="W624" s="19">
        <f>+VLOOKUP(Ingresos_Historicos[[#This Row],[Filtro URL]],Estructura!$X$4:$Y$366,2,0)</f>
        <v>30200006</v>
      </c>
      <c r="X624" s="19" t="str">
        <f>+VLOOKUP(Ingresos_Historicos[[#This Row],[tema]],Estructura!$A$4:$C$18,3,0)</f>
        <v>T-310</v>
      </c>
      <c r="Y624" s="19" t="str">
        <f>+VLOOKUP(Ingresos_Historicos[[#This Row],[contenido]],Estructura!$E$4:$G$18,3,0)</f>
        <v>C-303</v>
      </c>
      <c r="Z624" s="19" t="str">
        <f>+VLOOKUP(Ingresos_Historicos[[#This Row],[Filtro Integrado]],Estructura!$M$4:$O$367,3,0)</f>
        <v>FI-303</v>
      </c>
      <c r="AA624" s="19" t="str">
        <f>+VLOOKUP(Ingresos_Historicos[[#This Row],[Muestra]],Estructura!$Q$4:$S$194,3,0)</f>
        <v>M-311</v>
      </c>
    </row>
    <row r="625" spans="1:27" ht="40.799999999999997" x14ac:dyDescent="0.3">
      <c r="A625" s="71" t="s">
        <v>1011</v>
      </c>
      <c r="B625" s="12">
        <f t="shared" si="120"/>
        <v>300</v>
      </c>
      <c r="C625" s="13" t="str">
        <f t="shared" si="120"/>
        <v>Violencia contra la mujer</v>
      </c>
      <c r="D625" s="13" t="str">
        <f t="shared" si="120"/>
        <v>Mujeres</v>
      </c>
      <c r="E625" s="26">
        <v>7</v>
      </c>
      <c r="F625" s="13" t="s">
        <v>7581</v>
      </c>
      <c r="G625" s="13" t="s">
        <v>7576</v>
      </c>
      <c r="H625" s="29" t="s">
        <v>15</v>
      </c>
      <c r="I625" s="28" t="s">
        <v>373</v>
      </c>
      <c r="J625" s="12" t="s">
        <v>398</v>
      </c>
      <c r="K625" s="12" t="s">
        <v>6396</v>
      </c>
      <c r="L625" s="75" t="str">
        <f t="shared" si="121"/>
        <v>Periodo 2013-2019</v>
      </c>
      <c r="M625" s="12" t="str">
        <f t="shared" si="121"/>
        <v>Porcentaje</v>
      </c>
      <c r="N625" s="33" t="s">
        <v>5964</v>
      </c>
      <c r="O625" s="72" t="str">
        <f>"Variación Trimestral de Sentencias Dictadas (%) en la "&amp;Ingresos_Historicos[[#This Row],[territorio]]&amp;" por Delito, durante el Periodo 2013-2019"</f>
        <v>Variación Trimestral de Sentencias Dictadas (%) en la Región de Maule por Delito, durante el Periodo 2013-2019</v>
      </c>
      <c r="P625"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Maule por Delito, durante el Periodo 2013-2019 de acuerdo a datos provenientes del Poder Judicial de Chile.</v>
      </c>
      <c r="Q625" s="14" t="str">
        <f t="shared" si="122"/>
        <v>Gráfico de Evolución</v>
      </c>
      <c r="R625" s="27" t="s">
        <v>6239</v>
      </c>
      <c r="S625" s="15" t="s">
        <v>7020</v>
      </c>
      <c r="T625" s="65" t="s">
        <v>5929</v>
      </c>
      <c r="U625" s="24" t="s">
        <v>397</v>
      </c>
      <c r="V625" s="19" t="str">
        <f>+Ingresos_Historicos[[#This Row],[idcoleccion]]&amp;"-"&amp;Ingresos_Historicos[[#This Row],[id]]</f>
        <v>300-0615</v>
      </c>
      <c r="W625" s="19">
        <f>+VLOOKUP(Ingresos_Historicos[[#This Row],[Filtro URL]],Estructura!$X$4:$Y$366,2,0)</f>
        <v>30200007</v>
      </c>
      <c r="X625" s="19" t="str">
        <f>+VLOOKUP(Ingresos_Historicos[[#This Row],[tema]],Estructura!$A$4:$C$18,3,0)</f>
        <v>T-310</v>
      </c>
      <c r="Y625" s="19" t="str">
        <f>+VLOOKUP(Ingresos_Historicos[[#This Row],[contenido]],Estructura!$E$4:$G$18,3,0)</f>
        <v>C-303</v>
      </c>
      <c r="Z625" s="19" t="str">
        <f>+VLOOKUP(Ingresos_Historicos[[#This Row],[Filtro Integrado]],Estructura!$M$4:$O$367,3,0)</f>
        <v>FI-303</v>
      </c>
      <c r="AA625" s="19" t="str">
        <f>+VLOOKUP(Ingresos_Historicos[[#This Row],[Muestra]],Estructura!$Q$4:$S$194,3,0)</f>
        <v>M-311</v>
      </c>
    </row>
    <row r="626" spans="1:27" ht="40.799999999999997" x14ac:dyDescent="0.3">
      <c r="A626" s="71" t="s">
        <v>1012</v>
      </c>
      <c r="B626" s="12">
        <f t="shared" si="120"/>
        <v>300</v>
      </c>
      <c r="C626" s="13" t="str">
        <f t="shared" si="120"/>
        <v>Violencia contra la mujer</v>
      </c>
      <c r="D626" s="13" t="str">
        <f t="shared" si="120"/>
        <v>Mujeres</v>
      </c>
      <c r="E626" s="26">
        <v>8</v>
      </c>
      <c r="F626" s="13" t="s">
        <v>7581</v>
      </c>
      <c r="G626" s="13" t="s">
        <v>7576</v>
      </c>
      <c r="H626" s="29" t="s">
        <v>15</v>
      </c>
      <c r="I626" s="28" t="s">
        <v>374</v>
      </c>
      <c r="J626" s="12" t="s">
        <v>398</v>
      </c>
      <c r="K626" s="12" t="s">
        <v>6396</v>
      </c>
      <c r="L626" s="75" t="str">
        <f t="shared" si="121"/>
        <v>Periodo 2013-2019</v>
      </c>
      <c r="M626" s="12" t="str">
        <f t="shared" si="121"/>
        <v>Porcentaje</v>
      </c>
      <c r="N626" s="33" t="s">
        <v>5964</v>
      </c>
      <c r="O626" s="72" t="str">
        <f>"Variación Trimestral de Sentencias Dictadas (%) en la "&amp;Ingresos_Historicos[[#This Row],[territorio]]&amp;" por Delito, durante el Periodo 2013-2019"</f>
        <v>Variación Trimestral de Sentencias Dictadas (%) en la Región del Biobío por Delito, durante el Periodo 2013-2019</v>
      </c>
      <c r="P626"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del Biobío por Delito, durante el Periodo 2013-2019 de acuerdo a datos provenientes del Poder Judicial de Chile.</v>
      </c>
      <c r="Q626" s="14" t="str">
        <f t="shared" si="122"/>
        <v>Gráfico de Evolución</v>
      </c>
      <c r="R626" s="27" t="s">
        <v>6240</v>
      </c>
      <c r="S626" s="15" t="s">
        <v>7021</v>
      </c>
      <c r="T626" s="65" t="s">
        <v>5930</v>
      </c>
      <c r="U626" s="24" t="s">
        <v>397</v>
      </c>
      <c r="V626" s="19" t="str">
        <f>+Ingresos_Historicos[[#This Row],[idcoleccion]]&amp;"-"&amp;Ingresos_Historicos[[#This Row],[id]]</f>
        <v>300-0616</v>
      </c>
      <c r="W626" s="19">
        <f>+VLOOKUP(Ingresos_Historicos[[#This Row],[Filtro URL]],Estructura!$X$4:$Y$366,2,0)</f>
        <v>30200008</v>
      </c>
      <c r="X626" s="19" t="str">
        <f>+VLOOKUP(Ingresos_Historicos[[#This Row],[tema]],Estructura!$A$4:$C$18,3,0)</f>
        <v>T-310</v>
      </c>
      <c r="Y626" s="19" t="str">
        <f>+VLOOKUP(Ingresos_Historicos[[#This Row],[contenido]],Estructura!$E$4:$G$18,3,0)</f>
        <v>C-303</v>
      </c>
      <c r="Z626" s="19" t="str">
        <f>+VLOOKUP(Ingresos_Historicos[[#This Row],[Filtro Integrado]],Estructura!$M$4:$O$367,3,0)</f>
        <v>FI-303</v>
      </c>
      <c r="AA626" s="19" t="str">
        <f>+VLOOKUP(Ingresos_Historicos[[#This Row],[Muestra]],Estructura!$Q$4:$S$194,3,0)</f>
        <v>M-311</v>
      </c>
    </row>
    <row r="627" spans="1:27" ht="40.799999999999997" x14ac:dyDescent="0.3">
      <c r="A627" s="71" t="s">
        <v>1013</v>
      </c>
      <c r="B627" s="12">
        <f t="shared" si="120"/>
        <v>300</v>
      </c>
      <c r="C627" s="13" t="str">
        <f t="shared" si="120"/>
        <v>Violencia contra la mujer</v>
      </c>
      <c r="D627" s="13" t="str">
        <f t="shared" si="120"/>
        <v>Mujeres</v>
      </c>
      <c r="E627" s="26">
        <v>9</v>
      </c>
      <c r="F627" s="13" t="s">
        <v>7581</v>
      </c>
      <c r="G627" s="13" t="s">
        <v>7576</v>
      </c>
      <c r="H627" s="29" t="s">
        <v>15</v>
      </c>
      <c r="I627" s="28" t="s">
        <v>375</v>
      </c>
      <c r="J627" s="12" t="s">
        <v>398</v>
      </c>
      <c r="K627" s="12" t="s">
        <v>6396</v>
      </c>
      <c r="L627" s="75" t="str">
        <f t="shared" si="121"/>
        <v>Periodo 2013-2019</v>
      </c>
      <c r="M627" s="12" t="str">
        <f t="shared" si="121"/>
        <v>Porcentaje</v>
      </c>
      <c r="N627" s="33" t="s">
        <v>5964</v>
      </c>
      <c r="O627" s="72" t="str">
        <f>"Variación Trimestral de Sentencias Dictadas (%) en la "&amp;Ingresos_Historicos[[#This Row],[territorio]]&amp;" por Delito, durante el Periodo 2013-2019"</f>
        <v>Variación Trimestral de Sentencias Dictadas (%) en la Región de La Araucanía por Delito, durante el Periodo 2013-2019</v>
      </c>
      <c r="P627"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La Araucanía por Delito, durante el Periodo 2013-2019 de acuerdo a datos provenientes del Poder Judicial de Chile.</v>
      </c>
      <c r="Q627" s="14" t="str">
        <f t="shared" si="122"/>
        <v>Gráfico de Evolución</v>
      </c>
      <c r="R627" s="27" t="s">
        <v>6241</v>
      </c>
      <c r="S627" s="15" t="s">
        <v>7022</v>
      </c>
      <c r="T627" s="65" t="s">
        <v>5931</v>
      </c>
      <c r="U627" s="24" t="s">
        <v>397</v>
      </c>
      <c r="V627" s="19" t="str">
        <f>+Ingresos_Historicos[[#This Row],[idcoleccion]]&amp;"-"&amp;Ingresos_Historicos[[#This Row],[id]]</f>
        <v>300-0617</v>
      </c>
      <c r="W627" s="19">
        <f>+VLOOKUP(Ingresos_Historicos[[#This Row],[Filtro URL]],Estructura!$X$4:$Y$366,2,0)</f>
        <v>30200009</v>
      </c>
      <c r="X627" s="19" t="str">
        <f>+VLOOKUP(Ingresos_Historicos[[#This Row],[tema]],Estructura!$A$4:$C$18,3,0)</f>
        <v>T-310</v>
      </c>
      <c r="Y627" s="19" t="str">
        <f>+VLOOKUP(Ingresos_Historicos[[#This Row],[contenido]],Estructura!$E$4:$G$18,3,0)</f>
        <v>C-303</v>
      </c>
      <c r="Z627" s="19" t="str">
        <f>+VLOOKUP(Ingresos_Historicos[[#This Row],[Filtro Integrado]],Estructura!$M$4:$O$367,3,0)</f>
        <v>FI-303</v>
      </c>
      <c r="AA627" s="19" t="str">
        <f>+VLOOKUP(Ingresos_Historicos[[#This Row],[Muestra]],Estructura!$Q$4:$S$194,3,0)</f>
        <v>M-311</v>
      </c>
    </row>
    <row r="628" spans="1:27" ht="40.799999999999997" x14ac:dyDescent="0.3">
      <c r="A628" s="71" t="s">
        <v>1014</v>
      </c>
      <c r="B628" s="12">
        <f t="shared" si="120"/>
        <v>300</v>
      </c>
      <c r="C628" s="13" t="str">
        <f t="shared" si="120"/>
        <v>Violencia contra la mujer</v>
      </c>
      <c r="D628" s="13" t="str">
        <f t="shared" si="120"/>
        <v>Mujeres</v>
      </c>
      <c r="E628" s="26">
        <v>10</v>
      </c>
      <c r="F628" s="13" t="s">
        <v>7581</v>
      </c>
      <c r="G628" s="13" t="s">
        <v>7576</v>
      </c>
      <c r="H628" s="29" t="s">
        <v>15</v>
      </c>
      <c r="I628" s="28" t="s">
        <v>376</v>
      </c>
      <c r="J628" s="12" t="s">
        <v>398</v>
      </c>
      <c r="K628" s="12" t="s">
        <v>6396</v>
      </c>
      <c r="L628" s="75" t="str">
        <f t="shared" si="121"/>
        <v>Periodo 2013-2019</v>
      </c>
      <c r="M628" s="12" t="str">
        <f t="shared" si="121"/>
        <v>Porcentaje</v>
      </c>
      <c r="N628" s="33" t="s">
        <v>5964</v>
      </c>
      <c r="O628" s="72" t="str">
        <f>"Variación Trimestral de Sentencias Dictadas (%) en la "&amp;Ingresos_Historicos[[#This Row],[territorio]]&amp;" por Delito, durante el Periodo 2013-2019"</f>
        <v>Variación Trimestral de Sentencias Dictadas (%) en la Región de Los Lagos por Delito, durante el Periodo 2013-2019</v>
      </c>
      <c r="P628"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Los Lagos por Delito, durante el Periodo 2013-2019 de acuerdo a datos provenientes del Poder Judicial de Chile.</v>
      </c>
      <c r="Q628" s="14" t="str">
        <f t="shared" si="122"/>
        <v>Gráfico de Evolución</v>
      </c>
      <c r="R628" s="27" t="s">
        <v>6242</v>
      </c>
      <c r="S628" s="15" t="s">
        <v>7023</v>
      </c>
      <c r="T628" s="65" t="s">
        <v>5932</v>
      </c>
      <c r="U628" s="24" t="s">
        <v>397</v>
      </c>
      <c r="V628" s="19" t="str">
        <f>+Ingresos_Historicos[[#This Row],[idcoleccion]]&amp;"-"&amp;Ingresos_Historicos[[#This Row],[id]]</f>
        <v>300-0618</v>
      </c>
      <c r="W628" s="19">
        <f>+VLOOKUP(Ingresos_Historicos[[#This Row],[Filtro URL]],Estructura!$X$4:$Y$366,2,0)</f>
        <v>30200010</v>
      </c>
      <c r="X628" s="19" t="str">
        <f>+VLOOKUP(Ingresos_Historicos[[#This Row],[tema]],Estructura!$A$4:$C$18,3,0)</f>
        <v>T-310</v>
      </c>
      <c r="Y628" s="19" t="str">
        <f>+VLOOKUP(Ingresos_Historicos[[#This Row],[contenido]],Estructura!$E$4:$G$18,3,0)</f>
        <v>C-303</v>
      </c>
      <c r="Z628" s="19" t="str">
        <f>+VLOOKUP(Ingresos_Historicos[[#This Row],[Filtro Integrado]],Estructura!$M$4:$O$367,3,0)</f>
        <v>FI-303</v>
      </c>
      <c r="AA628" s="19" t="str">
        <f>+VLOOKUP(Ingresos_Historicos[[#This Row],[Muestra]],Estructura!$Q$4:$S$194,3,0)</f>
        <v>M-311</v>
      </c>
    </row>
    <row r="629" spans="1:27" ht="40.799999999999997" x14ac:dyDescent="0.3">
      <c r="A629" s="71" t="s">
        <v>1015</v>
      </c>
      <c r="B629" s="12">
        <f t="shared" si="120"/>
        <v>300</v>
      </c>
      <c r="C629" s="13" t="str">
        <f t="shared" si="120"/>
        <v>Violencia contra la mujer</v>
      </c>
      <c r="D629" s="13" t="str">
        <f t="shared" si="120"/>
        <v>Mujeres</v>
      </c>
      <c r="E629" s="26">
        <v>11</v>
      </c>
      <c r="F629" s="13" t="s">
        <v>7581</v>
      </c>
      <c r="G629" s="13" t="s">
        <v>7576</v>
      </c>
      <c r="H629" s="29" t="s">
        <v>15</v>
      </c>
      <c r="I629" s="28" t="s">
        <v>377</v>
      </c>
      <c r="J629" s="12" t="s">
        <v>398</v>
      </c>
      <c r="K629" s="12" t="s">
        <v>6396</v>
      </c>
      <c r="L629" s="75" t="str">
        <f t="shared" si="121"/>
        <v>Periodo 2013-2019</v>
      </c>
      <c r="M629" s="12" t="str">
        <f t="shared" si="121"/>
        <v>Porcentaje</v>
      </c>
      <c r="N629" s="33" t="s">
        <v>5964</v>
      </c>
      <c r="O629" s="72" t="str">
        <f>"Variación Trimestral de Sentencias Dictadas (%) en la "&amp;Ingresos_Historicos[[#This Row],[territorio]]&amp;" por Delito, durante el Periodo 2013-2019"</f>
        <v>Variación Trimestral de Sentencias Dictadas (%) en la Región de Aysén por Delito, durante el Periodo 2013-2019</v>
      </c>
      <c r="P629"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Aysén por Delito, durante el Periodo 2013-2019 de acuerdo a datos provenientes del Poder Judicial de Chile.</v>
      </c>
      <c r="Q629" s="14" t="str">
        <f t="shared" si="122"/>
        <v>Gráfico de Evolución</v>
      </c>
      <c r="R629" s="27" t="s">
        <v>6243</v>
      </c>
      <c r="S629" s="15" t="s">
        <v>7024</v>
      </c>
      <c r="T629" s="65" t="s">
        <v>5933</v>
      </c>
      <c r="U629" s="24" t="s">
        <v>397</v>
      </c>
      <c r="V629" s="19" t="str">
        <f>+Ingresos_Historicos[[#This Row],[idcoleccion]]&amp;"-"&amp;Ingresos_Historicos[[#This Row],[id]]</f>
        <v>300-0619</v>
      </c>
      <c r="W629" s="19">
        <f>+VLOOKUP(Ingresos_Historicos[[#This Row],[Filtro URL]],Estructura!$X$4:$Y$366,2,0)</f>
        <v>30200011</v>
      </c>
      <c r="X629" s="19" t="str">
        <f>+VLOOKUP(Ingresos_Historicos[[#This Row],[tema]],Estructura!$A$4:$C$18,3,0)</f>
        <v>T-310</v>
      </c>
      <c r="Y629" s="19" t="str">
        <f>+VLOOKUP(Ingresos_Historicos[[#This Row],[contenido]],Estructura!$E$4:$G$18,3,0)</f>
        <v>C-303</v>
      </c>
      <c r="Z629" s="19" t="str">
        <f>+VLOOKUP(Ingresos_Historicos[[#This Row],[Filtro Integrado]],Estructura!$M$4:$O$367,3,0)</f>
        <v>FI-303</v>
      </c>
      <c r="AA629" s="19" t="str">
        <f>+VLOOKUP(Ingresos_Historicos[[#This Row],[Muestra]],Estructura!$Q$4:$S$194,3,0)</f>
        <v>M-311</v>
      </c>
    </row>
    <row r="630" spans="1:27" ht="40.799999999999997" x14ac:dyDescent="0.3">
      <c r="A630" s="71" t="s">
        <v>1016</v>
      </c>
      <c r="B630" s="12">
        <f t="shared" ref="B630:D645" si="123">+B629</f>
        <v>300</v>
      </c>
      <c r="C630" s="13" t="str">
        <f t="shared" si="123"/>
        <v>Violencia contra la mujer</v>
      </c>
      <c r="D630" s="13" t="str">
        <f t="shared" si="123"/>
        <v>Mujeres</v>
      </c>
      <c r="E630" s="26">
        <v>12</v>
      </c>
      <c r="F630" s="13" t="s">
        <v>7581</v>
      </c>
      <c r="G630" s="13" t="s">
        <v>7576</v>
      </c>
      <c r="H630" s="29" t="s">
        <v>15</v>
      </c>
      <c r="I630" s="28" t="s">
        <v>378</v>
      </c>
      <c r="J630" s="12" t="s">
        <v>398</v>
      </c>
      <c r="K630" s="12" t="s">
        <v>6396</v>
      </c>
      <c r="L630" s="75" t="str">
        <f t="shared" si="121"/>
        <v>Periodo 2013-2019</v>
      </c>
      <c r="M630" s="12" t="str">
        <f t="shared" si="121"/>
        <v>Porcentaje</v>
      </c>
      <c r="N630" s="33" t="s">
        <v>5964</v>
      </c>
      <c r="O630" s="72" t="str">
        <f>"Variación Trimestral de Sentencias Dictadas (%) en la "&amp;Ingresos_Historicos[[#This Row],[territorio]]&amp;" por Delito, durante el Periodo 2013-2019"</f>
        <v>Variación Trimestral de Sentencias Dictadas (%) en la Región de Magallanes por Delito, durante el Periodo 2013-2019</v>
      </c>
      <c r="P630"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Magallanes por Delito, durante el Periodo 2013-2019 de acuerdo a datos provenientes del Poder Judicial de Chile.</v>
      </c>
      <c r="Q630" s="14" t="str">
        <f t="shared" si="122"/>
        <v>Gráfico de Evolución</v>
      </c>
      <c r="R630" s="27" t="s">
        <v>6244</v>
      </c>
      <c r="S630" s="15" t="s">
        <v>7025</v>
      </c>
      <c r="T630" s="65" t="s">
        <v>5934</v>
      </c>
      <c r="U630" s="24" t="s">
        <v>397</v>
      </c>
      <c r="V630" s="19" t="str">
        <f>+Ingresos_Historicos[[#This Row],[idcoleccion]]&amp;"-"&amp;Ingresos_Historicos[[#This Row],[id]]</f>
        <v>300-0620</v>
      </c>
      <c r="W630" s="19">
        <f>+VLOOKUP(Ingresos_Historicos[[#This Row],[Filtro URL]],Estructura!$X$4:$Y$366,2,0)</f>
        <v>30200012</v>
      </c>
      <c r="X630" s="19" t="str">
        <f>+VLOOKUP(Ingresos_Historicos[[#This Row],[tema]],Estructura!$A$4:$C$18,3,0)</f>
        <v>T-310</v>
      </c>
      <c r="Y630" s="19" t="str">
        <f>+VLOOKUP(Ingresos_Historicos[[#This Row],[contenido]],Estructura!$E$4:$G$18,3,0)</f>
        <v>C-303</v>
      </c>
      <c r="Z630" s="19" t="str">
        <f>+VLOOKUP(Ingresos_Historicos[[#This Row],[Filtro Integrado]],Estructura!$M$4:$O$367,3,0)</f>
        <v>FI-303</v>
      </c>
      <c r="AA630" s="19" t="str">
        <f>+VLOOKUP(Ingresos_Historicos[[#This Row],[Muestra]],Estructura!$Q$4:$S$194,3,0)</f>
        <v>M-311</v>
      </c>
    </row>
    <row r="631" spans="1:27" ht="40.799999999999997" x14ac:dyDescent="0.3">
      <c r="A631" s="71" t="s">
        <v>1017</v>
      </c>
      <c r="B631" s="12">
        <f t="shared" si="123"/>
        <v>300</v>
      </c>
      <c r="C631" s="13" t="str">
        <f t="shared" si="123"/>
        <v>Violencia contra la mujer</v>
      </c>
      <c r="D631" s="13" t="str">
        <f t="shared" si="123"/>
        <v>Mujeres</v>
      </c>
      <c r="E631" s="26">
        <v>13</v>
      </c>
      <c r="F631" s="13" t="s">
        <v>7581</v>
      </c>
      <c r="G631" s="13" t="s">
        <v>7576</v>
      </c>
      <c r="H631" s="29" t="s">
        <v>15</v>
      </c>
      <c r="I631" s="28" t="s">
        <v>379</v>
      </c>
      <c r="J631" s="12" t="s">
        <v>398</v>
      </c>
      <c r="K631" s="12" t="s">
        <v>6396</v>
      </c>
      <c r="L631" s="75" t="str">
        <f t="shared" si="121"/>
        <v>Periodo 2013-2019</v>
      </c>
      <c r="M631" s="12" t="str">
        <f t="shared" si="121"/>
        <v>Porcentaje</v>
      </c>
      <c r="N631" s="33" t="s">
        <v>5964</v>
      </c>
      <c r="O631" s="72" t="str">
        <f>"Variación Trimestral de Sentencias Dictadas (%) en la "&amp;Ingresos_Historicos[[#This Row],[territorio]]&amp;" por Delito, durante el Periodo 2013-2019"</f>
        <v>Variación Trimestral de Sentencias Dictadas (%) en la Región Metropolitana por Delito, durante el Periodo 2013-2019</v>
      </c>
      <c r="P631"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Metropolitana por Delito, durante el Periodo 2013-2019 de acuerdo a datos provenientes del Poder Judicial de Chile.</v>
      </c>
      <c r="Q631" s="14" t="str">
        <f t="shared" si="122"/>
        <v>Gráfico de Evolución</v>
      </c>
      <c r="R631" s="27" t="s">
        <v>6245</v>
      </c>
      <c r="S631" s="15" t="s">
        <v>7026</v>
      </c>
      <c r="T631" s="65" t="s">
        <v>5935</v>
      </c>
      <c r="U631" s="24" t="s">
        <v>397</v>
      </c>
      <c r="V631" s="19" t="str">
        <f>+Ingresos_Historicos[[#This Row],[idcoleccion]]&amp;"-"&amp;Ingresos_Historicos[[#This Row],[id]]</f>
        <v>300-0621</v>
      </c>
      <c r="W631" s="19">
        <f>+VLOOKUP(Ingresos_Historicos[[#This Row],[Filtro URL]],Estructura!$X$4:$Y$366,2,0)</f>
        <v>30200013</v>
      </c>
      <c r="X631" s="19" t="str">
        <f>+VLOOKUP(Ingresos_Historicos[[#This Row],[tema]],Estructura!$A$4:$C$18,3,0)</f>
        <v>T-310</v>
      </c>
      <c r="Y631" s="19" t="str">
        <f>+VLOOKUP(Ingresos_Historicos[[#This Row],[contenido]],Estructura!$E$4:$G$18,3,0)</f>
        <v>C-303</v>
      </c>
      <c r="Z631" s="19" t="str">
        <f>+VLOOKUP(Ingresos_Historicos[[#This Row],[Filtro Integrado]],Estructura!$M$4:$O$367,3,0)</f>
        <v>FI-303</v>
      </c>
      <c r="AA631" s="19" t="str">
        <f>+VLOOKUP(Ingresos_Historicos[[#This Row],[Muestra]],Estructura!$Q$4:$S$194,3,0)</f>
        <v>M-311</v>
      </c>
    </row>
    <row r="632" spans="1:27" ht="40.799999999999997" x14ac:dyDescent="0.3">
      <c r="A632" s="71" t="s">
        <v>1018</v>
      </c>
      <c r="B632" s="12">
        <f t="shared" si="123"/>
        <v>300</v>
      </c>
      <c r="C632" s="13" t="str">
        <f t="shared" si="123"/>
        <v>Violencia contra la mujer</v>
      </c>
      <c r="D632" s="13" t="str">
        <f t="shared" si="123"/>
        <v>Mujeres</v>
      </c>
      <c r="E632" s="26">
        <v>14</v>
      </c>
      <c r="F632" s="13" t="s">
        <v>7581</v>
      </c>
      <c r="G632" s="13" t="s">
        <v>7576</v>
      </c>
      <c r="H632" s="29" t="s">
        <v>15</v>
      </c>
      <c r="I632" s="28" t="s">
        <v>380</v>
      </c>
      <c r="J632" s="12" t="s">
        <v>398</v>
      </c>
      <c r="K632" s="12" t="s">
        <v>6396</v>
      </c>
      <c r="L632" s="75" t="str">
        <f t="shared" ref="L632:M647" si="124">+L631</f>
        <v>Periodo 2013-2019</v>
      </c>
      <c r="M632" s="12" t="str">
        <f t="shared" si="124"/>
        <v>Porcentaje</v>
      </c>
      <c r="N632" s="33" t="s">
        <v>5964</v>
      </c>
      <c r="O632" s="72" t="str">
        <f>"Variación Trimestral de Sentencias Dictadas (%) en la "&amp;Ingresos_Historicos[[#This Row],[territorio]]&amp;" por Delito, durante el Periodo 2013-2019"</f>
        <v>Variación Trimestral de Sentencias Dictadas (%) en la Región de Los Ríos por Delito, durante el Periodo 2013-2019</v>
      </c>
      <c r="P632"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Los Ríos por Delito, durante el Periodo 2013-2019 de acuerdo a datos provenientes del Poder Judicial de Chile.</v>
      </c>
      <c r="Q632" s="14" t="str">
        <f t="shared" si="122"/>
        <v>Gráfico de Evolución</v>
      </c>
      <c r="R632" s="27" t="s">
        <v>6246</v>
      </c>
      <c r="S632" s="15" t="s">
        <v>7027</v>
      </c>
      <c r="T632" s="65" t="s">
        <v>5936</v>
      </c>
      <c r="U632" s="24" t="s">
        <v>397</v>
      </c>
      <c r="V632" s="19" t="str">
        <f>+Ingresos_Historicos[[#This Row],[idcoleccion]]&amp;"-"&amp;Ingresos_Historicos[[#This Row],[id]]</f>
        <v>300-0622</v>
      </c>
      <c r="W632" s="19">
        <f>+VLOOKUP(Ingresos_Historicos[[#This Row],[Filtro URL]],Estructura!$X$4:$Y$366,2,0)</f>
        <v>30200014</v>
      </c>
      <c r="X632" s="19" t="str">
        <f>+VLOOKUP(Ingresos_Historicos[[#This Row],[tema]],Estructura!$A$4:$C$18,3,0)</f>
        <v>T-310</v>
      </c>
      <c r="Y632" s="19" t="str">
        <f>+VLOOKUP(Ingresos_Historicos[[#This Row],[contenido]],Estructura!$E$4:$G$18,3,0)</f>
        <v>C-303</v>
      </c>
      <c r="Z632" s="19" t="str">
        <f>+VLOOKUP(Ingresos_Historicos[[#This Row],[Filtro Integrado]],Estructura!$M$4:$O$367,3,0)</f>
        <v>FI-303</v>
      </c>
      <c r="AA632" s="19" t="str">
        <f>+VLOOKUP(Ingresos_Historicos[[#This Row],[Muestra]],Estructura!$Q$4:$S$194,3,0)</f>
        <v>M-311</v>
      </c>
    </row>
    <row r="633" spans="1:27" ht="40.799999999999997" x14ac:dyDescent="0.3">
      <c r="A633" s="71" t="s">
        <v>1019</v>
      </c>
      <c r="B633" s="12">
        <f t="shared" si="123"/>
        <v>300</v>
      </c>
      <c r="C633" s="13" t="str">
        <f t="shared" si="123"/>
        <v>Violencia contra la mujer</v>
      </c>
      <c r="D633" s="13" t="str">
        <f t="shared" si="123"/>
        <v>Mujeres</v>
      </c>
      <c r="E633" s="26">
        <v>15</v>
      </c>
      <c r="F633" s="13" t="s">
        <v>7581</v>
      </c>
      <c r="G633" s="13" t="s">
        <v>7576</v>
      </c>
      <c r="H633" s="29" t="s">
        <v>15</v>
      </c>
      <c r="I633" s="28" t="s">
        <v>381</v>
      </c>
      <c r="J633" s="12" t="s">
        <v>398</v>
      </c>
      <c r="K633" s="12" t="s">
        <v>6396</v>
      </c>
      <c r="L633" s="75" t="str">
        <f t="shared" si="124"/>
        <v>Periodo 2013-2019</v>
      </c>
      <c r="M633" s="12" t="str">
        <f t="shared" si="124"/>
        <v>Porcentaje</v>
      </c>
      <c r="N633" s="33" t="s">
        <v>5964</v>
      </c>
      <c r="O633" s="72" t="str">
        <f>"Variación Trimestral de Sentencias Dictadas (%) en la "&amp;Ingresos_Historicos[[#This Row],[territorio]]&amp;" por Delito, durante el Periodo 2013-2019"</f>
        <v>Variación Trimestral de Sentencias Dictadas (%) en la Región de Arica y Parinacota por Delito, durante el Periodo 2013-2019</v>
      </c>
      <c r="P633"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Arica y Parinacota por Delito, durante el Periodo 2013-2019 de acuerdo a datos provenientes del Poder Judicial de Chile.</v>
      </c>
      <c r="Q633" s="14" t="str">
        <f t="shared" si="122"/>
        <v>Gráfico de Evolución</v>
      </c>
      <c r="R633" s="27" t="s">
        <v>6247</v>
      </c>
      <c r="S633" s="15" t="s">
        <v>7028</v>
      </c>
      <c r="T633" s="65" t="s">
        <v>5937</v>
      </c>
      <c r="U633" s="24" t="s">
        <v>397</v>
      </c>
      <c r="V633" s="19" t="str">
        <f>+Ingresos_Historicos[[#This Row],[idcoleccion]]&amp;"-"&amp;Ingresos_Historicos[[#This Row],[id]]</f>
        <v>300-0623</v>
      </c>
      <c r="W633" s="19">
        <f>+VLOOKUP(Ingresos_Historicos[[#This Row],[Filtro URL]],Estructura!$X$4:$Y$366,2,0)</f>
        <v>30200015</v>
      </c>
      <c r="X633" s="19" t="str">
        <f>+VLOOKUP(Ingresos_Historicos[[#This Row],[tema]],Estructura!$A$4:$C$18,3,0)</f>
        <v>T-310</v>
      </c>
      <c r="Y633" s="19" t="str">
        <f>+VLOOKUP(Ingresos_Historicos[[#This Row],[contenido]],Estructura!$E$4:$G$18,3,0)</f>
        <v>C-303</v>
      </c>
      <c r="Z633" s="19" t="str">
        <f>+VLOOKUP(Ingresos_Historicos[[#This Row],[Filtro Integrado]],Estructura!$M$4:$O$367,3,0)</f>
        <v>FI-303</v>
      </c>
      <c r="AA633" s="19" t="str">
        <f>+VLOOKUP(Ingresos_Historicos[[#This Row],[Muestra]],Estructura!$Q$4:$S$194,3,0)</f>
        <v>M-311</v>
      </c>
    </row>
    <row r="634" spans="1:27" ht="40.799999999999997" x14ac:dyDescent="0.3">
      <c r="A634" s="71" t="s">
        <v>1020</v>
      </c>
      <c r="B634" s="12">
        <f t="shared" si="123"/>
        <v>300</v>
      </c>
      <c r="C634" s="13" t="str">
        <f t="shared" si="123"/>
        <v>Violencia contra la mujer</v>
      </c>
      <c r="D634" s="13" t="str">
        <f t="shared" si="123"/>
        <v>Mujeres</v>
      </c>
      <c r="E634" s="26">
        <v>16</v>
      </c>
      <c r="F634" s="13" t="s">
        <v>7581</v>
      </c>
      <c r="G634" s="13" t="s">
        <v>7576</v>
      </c>
      <c r="H634" s="29" t="s">
        <v>15</v>
      </c>
      <c r="I634" s="28" t="s">
        <v>382</v>
      </c>
      <c r="J634" s="12" t="s">
        <v>398</v>
      </c>
      <c r="K634" s="12" t="s">
        <v>6396</v>
      </c>
      <c r="L634" s="75" t="str">
        <f t="shared" si="124"/>
        <v>Periodo 2013-2019</v>
      </c>
      <c r="M634" s="12" t="str">
        <f t="shared" si="124"/>
        <v>Porcentaje</v>
      </c>
      <c r="N634" s="33" t="s">
        <v>5964</v>
      </c>
      <c r="O634" s="72" t="str">
        <f>"Variación Trimestral de Sentencias Dictadas (%) en la "&amp;Ingresos_Historicos[[#This Row],[territorio]]&amp;" por Delito, durante el Periodo 2013-2019"</f>
        <v>Variación Trimestral de Sentencias Dictadas (%) en la Región de Ñuble por Delito, durante el Periodo 2013-2019</v>
      </c>
      <c r="P634" s="42" t="str">
        <f>"El gráfico muestra la tendencia de la Variación Trimestral de Sentencias Dictadas (%) en la "&amp;Ingresos_Historicos[[#This Row],[territorio]]&amp;" por Delito, durante el Periodo 2013-2019 de acuerdo a datos provenientes del Poder Judicial de Chile."</f>
        <v>El gráfico muestra la tendencia de la Variación Trimestral de Sentencias Dictadas (%) en la Región de Ñuble por Delito, durante el Periodo 2013-2019 de acuerdo a datos provenientes del Poder Judicial de Chile.</v>
      </c>
      <c r="Q634" s="14" t="str">
        <f t="shared" si="122"/>
        <v>Gráfico de Evolución</v>
      </c>
      <c r="R634" s="27" t="s">
        <v>6248</v>
      </c>
      <c r="S634" s="15" t="s">
        <v>7029</v>
      </c>
      <c r="T634" s="65" t="s">
        <v>5924</v>
      </c>
      <c r="U634" s="24" t="s">
        <v>397</v>
      </c>
      <c r="V634" s="19" t="str">
        <f>+Ingresos_Historicos[[#This Row],[idcoleccion]]&amp;"-"&amp;Ingresos_Historicos[[#This Row],[id]]</f>
        <v>300-0624</v>
      </c>
      <c r="W634" s="19">
        <f>+VLOOKUP(Ingresos_Historicos[[#This Row],[Filtro URL]],Estructura!$X$4:$Y$366,2,0)</f>
        <v>30200016</v>
      </c>
      <c r="X634" s="19" t="str">
        <f>+VLOOKUP(Ingresos_Historicos[[#This Row],[tema]],Estructura!$A$4:$C$18,3,0)</f>
        <v>T-310</v>
      </c>
      <c r="Y634" s="19" t="str">
        <f>+VLOOKUP(Ingresos_Historicos[[#This Row],[contenido]],Estructura!$E$4:$G$18,3,0)</f>
        <v>C-303</v>
      </c>
      <c r="Z634" s="19" t="str">
        <f>+VLOOKUP(Ingresos_Historicos[[#This Row],[Filtro Integrado]],Estructura!$M$4:$O$367,3,0)</f>
        <v>FI-303</v>
      </c>
      <c r="AA634" s="19" t="str">
        <f>+VLOOKUP(Ingresos_Historicos[[#This Row],[Muestra]],Estructura!$Q$4:$S$194,3,0)</f>
        <v>M-311</v>
      </c>
    </row>
    <row r="635" spans="1:27" ht="57.6" x14ac:dyDescent="0.3">
      <c r="A635" s="32" t="s">
        <v>1021</v>
      </c>
      <c r="B635" s="12">
        <f t="shared" si="123"/>
        <v>300</v>
      </c>
      <c r="C635" s="13" t="str">
        <f t="shared" si="123"/>
        <v>Violencia contra la mujer</v>
      </c>
      <c r="D635" s="13" t="str">
        <f t="shared" si="123"/>
        <v>Mujeres</v>
      </c>
      <c r="E635" s="26">
        <v>1</v>
      </c>
      <c r="F635" s="13" t="s">
        <v>7578</v>
      </c>
      <c r="G635" s="13" t="s">
        <v>7576</v>
      </c>
      <c r="H635" s="29" t="s">
        <v>15</v>
      </c>
      <c r="I635" s="28" t="s">
        <v>367</v>
      </c>
      <c r="J635" s="12" t="s">
        <v>398</v>
      </c>
      <c r="K635" s="12" t="s">
        <v>6396</v>
      </c>
      <c r="L635" s="75" t="str">
        <f t="shared" si="124"/>
        <v>Periodo 2013-2019</v>
      </c>
      <c r="M635" s="12" t="str">
        <f t="shared" si="124"/>
        <v>Porcentaje</v>
      </c>
      <c r="N635" s="33" t="s">
        <v>5964</v>
      </c>
      <c r="O635"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Tarapacá, por Juzgado de Garantía, durante el Periodo 2013-2019</v>
      </c>
      <c r="P635"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Tarapacá por Juzgado de Garantía, durante el Periodo 2013-2019 de acuerdo a datos provenientes del Poder Judicial de Chile.</v>
      </c>
      <c r="Q635" s="14" t="str">
        <f t="shared" si="122"/>
        <v>Gráfico de Evolución</v>
      </c>
      <c r="R635" s="27" t="s">
        <v>6249</v>
      </c>
      <c r="S635" s="25" t="s">
        <v>7030</v>
      </c>
      <c r="T635" s="65" t="s">
        <v>5907</v>
      </c>
      <c r="U635" s="24" t="s">
        <v>397</v>
      </c>
      <c r="V635" s="19" t="str">
        <f>+Ingresos_Historicos[[#This Row],[idcoleccion]]&amp;"-"&amp;Ingresos_Historicos[[#This Row],[id]]</f>
        <v>300-0625</v>
      </c>
      <c r="W635" s="19">
        <f>+VLOOKUP(Ingresos_Historicos[[#This Row],[Filtro URL]],Estructura!$X$4:$Y$366,2,0)</f>
        <v>30200001</v>
      </c>
      <c r="X635" s="19" t="str">
        <f>+VLOOKUP(Ingresos_Historicos[[#This Row],[tema]],Estructura!$A$4:$C$18,3,0)</f>
        <v>T-311</v>
      </c>
      <c r="Y635" s="19" t="str">
        <f>+VLOOKUP(Ingresos_Historicos[[#This Row],[contenido]],Estructura!$E$4:$G$18,3,0)</f>
        <v>C-303</v>
      </c>
      <c r="Z635" s="19" t="str">
        <f>+VLOOKUP(Ingresos_Historicos[[#This Row],[Filtro Integrado]],Estructura!$M$4:$O$367,3,0)</f>
        <v>FI-303</v>
      </c>
      <c r="AA635" s="19" t="str">
        <f>+VLOOKUP(Ingresos_Historicos[[#This Row],[Muestra]],Estructura!$Q$4:$S$194,3,0)</f>
        <v>M-311</v>
      </c>
    </row>
    <row r="636" spans="1:27" ht="40.799999999999997" x14ac:dyDescent="0.3">
      <c r="A636" s="71" t="s">
        <v>1022</v>
      </c>
      <c r="B636" s="12">
        <f t="shared" si="123"/>
        <v>300</v>
      </c>
      <c r="C636" s="13" t="str">
        <f t="shared" si="123"/>
        <v>Violencia contra la mujer</v>
      </c>
      <c r="D636" s="13" t="str">
        <f t="shared" si="123"/>
        <v>Mujeres</v>
      </c>
      <c r="E636" s="26">
        <v>2</v>
      </c>
      <c r="F636" s="13" t="s">
        <v>7578</v>
      </c>
      <c r="G636" s="13" t="s">
        <v>7576</v>
      </c>
      <c r="H636" s="29" t="s">
        <v>15</v>
      </c>
      <c r="I636" s="28" t="s">
        <v>368</v>
      </c>
      <c r="J636" s="12" t="s">
        <v>398</v>
      </c>
      <c r="K636" s="12" t="s">
        <v>6396</v>
      </c>
      <c r="L636" s="75" t="str">
        <f t="shared" si="124"/>
        <v>Periodo 2013-2019</v>
      </c>
      <c r="M636" s="12" t="str">
        <f t="shared" si="124"/>
        <v>Porcentaje</v>
      </c>
      <c r="N636" s="33" t="s">
        <v>5964</v>
      </c>
      <c r="O636"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Antofagasta, por Juzgado de Garantía, durante el Periodo 2013-2019</v>
      </c>
      <c r="P636"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Antofagasta por Juzgado de Garantía, durante el Periodo 2013-2019 de acuerdo a datos provenientes del Poder Judicial de Chile.</v>
      </c>
      <c r="Q636" s="14" t="str">
        <f t="shared" si="122"/>
        <v>Gráfico de Evolución</v>
      </c>
      <c r="R636" s="27" t="s">
        <v>6250</v>
      </c>
      <c r="S636" s="15" t="s">
        <v>7031</v>
      </c>
      <c r="T636" s="65" t="s">
        <v>5908</v>
      </c>
      <c r="U636" s="24" t="s">
        <v>397</v>
      </c>
      <c r="V636" s="19" t="str">
        <f>+Ingresos_Historicos[[#This Row],[idcoleccion]]&amp;"-"&amp;Ingresos_Historicos[[#This Row],[id]]</f>
        <v>300-0626</v>
      </c>
      <c r="W636" s="19">
        <f>+VLOOKUP(Ingresos_Historicos[[#This Row],[Filtro URL]],Estructura!$X$4:$Y$366,2,0)</f>
        <v>30200002</v>
      </c>
      <c r="X636" s="19" t="str">
        <f>+VLOOKUP(Ingresos_Historicos[[#This Row],[tema]],Estructura!$A$4:$C$18,3,0)</f>
        <v>T-311</v>
      </c>
      <c r="Y636" s="19" t="str">
        <f>+VLOOKUP(Ingresos_Historicos[[#This Row],[contenido]],Estructura!$E$4:$G$18,3,0)</f>
        <v>C-303</v>
      </c>
      <c r="Z636" s="19" t="str">
        <f>+VLOOKUP(Ingresos_Historicos[[#This Row],[Filtro Integrado]],Estructura!$M$4:$O$367,3,0)</f>
        <v>FI-303</v>
      </c>
      <c r="AA636" s="19" t="str">
        <f>+VLOOKUP(Ingresos_Historicos[[#This Row],[Muestra]],Estructura!$Q$4:$S$194,3,0)</f>
        <v>M-311</v>
      </c>
    </row>
    <row r="637" spans="1:27" ht="40.799999999999997" x14ac:dyDescent="0.3">
      <c r="A637" s="71" t="s">
        <v>1023</v>
      </c>
      <c r="B637" s="12">
        <f t="shared" si="123"/>
        <v>300</v>
      </c>
      <c r="C637" s="13" t="str">
        <f t="shared" si="123"/>
        <v>Violencia contra la mujer</v>
      </c>
      <c r="D637" s="13" t="str">
        <f t="shared" si="123"/>
        <v>Mujeres</v>
      </c>
      <c r="E637" s="26">
        <v>3</v>
      </c>
      <c r="F637" s="13" t="s">
        <v>7578</v>
      </c>
      <c r="G637" s="13" t="s">
        <v>7576</v>
      </c>
      <c r="H637" s="29" t="s">
        <v>15</v>
      </c>
      <c r="I637" s="28" t="s">
        <v>369</v>
      </c>
      <c r="J637" s="12" t="s">
        <v>398</v>
      </c>
      <c r="K637" s="12" t="s">
        <v>6396</v>
      </c>
      <c r="L637" s="75" t="str">
        <f t="shared" si="124"/>
        <v>Periodo 2013-2019</v>
      </c>
      <c r="M637" s="12" t="str">
        <f t="shared" si="124"/>
        <v>Porcentaje</v>
      </c>
      <c r="N637" s="33" t="s">
        <v>5964</v>
      </c>
      <c r="O637"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Atacama, por Juzgado de Garantía, durante el Periodo 2013-2019</v>
      </c>
      <c r="P637"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Atacama por Juzgado de Garantía, durante el Periodo 2013-2019 de acuerdo a datos provenientes del Poder Judicial de Chile.</v>
      </c>
      <c r="Q637" s="14" t="str">
        <f t="shared" si="122"/>
        <v>Gráfico de Evolución</v>
      </c>
      <c r="R637" s="27" t="s">
        <v>6251</v>
      </c>
      <c r="S637" s="15" t="s">
        <v>7032</v>
      </c>
      <c r="T637" s="65" t="s">
        <v>5909</v>
      </c>
      <c r="U637" s="24" t="s">
        <v>397</v>
      </c>
      <c r="V637" s="19" t="str">
        <f>+Ingresos_Historicos[[#This Row],[idcoleccion]]&amp;"-"&amp;Ingresos_Historicos[[#This Row],[id]]</f>
        <v>300-0627</v>
      </c>
      <c r="W637" s="19">
        <f>+VLOOKUP(Ingresos_Historicos[[#This Row],[Filtro URL]],Estructura!$X$4:$Y$366,2,0)</f>
        <v>30200003</v>
      </c>
      <c r="X637" s="19" t="str">
        <f>+VLOOKUP(Ingresos_Historicos[[#This Row],[tema]],Estructura!$A$4:$C$18,3,0)</f>
        <v>T-311</v>
      </c>
      <c r="Y637" s="19" t="str">
        <f>+VLOOKUP(Ingresos_Historicos[[#This Row],[contenido]],Estructura!$E$4:$G$18,3,0)</f>
        <v>C-303</v>
      </c>
      <c r="Z637" s="19" t="str">
        <f>+VLOOKUP(Ingresos_Historicos[[#This Row],[Filtro Integrado]],Estructura!$M$4:$O$367,3,0)</f>
        <v>FI-303</v>
      </c>
      <c r="AA637" s="19" t="str">
        <f>+VLOOKUP(Ingresos_Historicos[[#This Row],[Muestra]],Estructura!$Q$4:$S$194,3,0)</f>
        <v>M-311</v>
      </c>
    </row>
    <row r="638" spans="1:27" ht="40.799999999999997" x14ac:dyDescent="0.3">
      <c r="A638" s="71" t="s">
        <v>1024</v>
      </c>
      <c r="B638" s="12">
        <f t="shared" si="123"/>
        <v>300</v>
      </c>
      <c r="C638" s="13" t="str">
        <f t="shared" si="123"/>
        <v>Violencia contra la mujer</v>
      </c>
      <c r="D638" s="13" t="str">
        <f t="shared" si="123"/>
        <v>Mujeres</v>
      </c>
      <c r="E638" s="26">
        <v>4</v>
      </c>
      <c r="F638" s="13" t="s">
        <v>7578</v>
      </c>
      <c r="G638" s="13" t="s">
        <v>7576</v>
      </c>
      <c r="H638" s="29" t="s">
        <v>15</v>
      </c>
      <c r="I638" s="28" t="s">
        <v>370</v>
      </c>
      <c r="J638" s="12" t="s">
        <v>398</v>
      </c>
      <c r="K638" s="12" t="s">
        <v>6396</v>
      </c>
      <c r="L638" s="75" t="str">
        <f t="shared" si="124"/>
        <v>Periodo 2013-2019</v>
      </c>
      <c r="M638" s="12" t="str">
        <f t="shared" si="124"/>
        <v>Porcentaje</v>
      </c>
      <c r="N638" s="33" t="s">
        <v>5964</v>
      </c>
      <c r="O638"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Coquimbo, por Juzgado de Garantía, durante el Periodo 2013-2019</v>
      </c>
      <c r="P638"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Coquimbo por Juzgado de Garantía, durante el Periodo 2013-2019 de acuerdo a datos provenientes del Poder Judicial de Chile.</v>
      </c>
      <c r="Q638" s="14" t="str">
        <f t="shared" si="122"/>
        <v>Gráfico de Evolución</v>
      </c>
      <c r="R638" s="27" t="s">
        <v>6252</v>
      </c>
      <c r="S638" s="15" t="s">
        <v>7033</v>
      </c>
      <c r="T638" s="65" t="s">
        <v>5910</v>
      </c>
      <c r="U638" s="24" t="s">
        <v>397</v>
      </c>
      <c r="V638" s="19" t="str">
        <f>+Ingresos_Historicos[[#This Row],[idcoleccion]]&amp;"-"&amp;Ingresos_Historicos[[#This Row],[id]]</f>
        <v>300-0628</v>
      </c>
      <c r="W638" s="19">
        <f>+VLOOKUP(Ingresos_Historicos[[#This Row],[Filtro URL]],Estructura!$X$4:$Y$366,2,0)</f>
        <v>30200004</v>
      </c>
      <c r="X638" s="19" t="str">
        <f>+VLOOKUP(Ingresos_Historicos[[#This Row],[tema]],Estructura!$A$4:$C$18,3,0)</f>
        <v>T-311</v>
      </c>
      <c r="Y638" s="19" t="str">
        <f>+VLOOKUP(Ingresos_Historicos[[#This Row],[contenido]],Estructura!$E$4:$G$18,3,0)</f>
        <v>C-303</v>
      </c>
      <c r="Z638" s="19" t="str">
        <f>+VLOOKUP(Ingresos_Historicos[[#This Row],[Filtro Integrado]],Estructura!$M$4:$O$367,3,0)</f>
        <v>FI-303</v>
      </c>
      <c r="AA638" s="19" t="str">
        <f>+VLOOKUP(Ingresos_Historicos[[#This Row],[Muestra]],Estructura!$Q$4:$S$194,3,0)</f>
        <v>M-311</v>
      </c>
    </row>
    <row r="639" spans="1:27" ht="40.799999999999997" x14ac:dyDescent="0.3">
      <c r="A639" s="71" t="s">
        <v>1025</v>
      </c>
      <c r="B639" s="12">
        <f t="shared" si="123"/>
        <v>300</v>
      </c>
      <c r="C639" s="13" t="str">
        <f t="shared" si="123"/>
        <v>Violencia contra la mujer</v>
      </c>
      <c r="D639" s="13" t="str">
        <f t="shared" si="123"/>
        <v>Mujeres</v>
      </c>
      <c r="E639" s="26">
        <v>5</v>
      </c>
      <c r="F639" s="13" t="s">
        <v>7578</v>
      </c>
      <c r="G639" s="13" t="s">
        <v>7576</v>
      </c>
      <c r="H639" s="29" t="s">
        <v>15</v>
      </c>
      <c r="I639" s="28" t="s">
        <v>371</v>
      </c>
      <c r="J639" s="12" t="s">
        <v>398</v>
      </c>
      <c r="K639" s="12" t="s">
        <v>6396</v>
      </c>
      <c r="L639" s="75" t="str">
        <f t="shared" si="124"/>
        <v>Periodo 2013-2019</v>
      </c>
      <c r="M639" s="12" t="str">
        <f t="shared" si="124"/>
        <v>Porcentaje</v>
      </c>
      <c r="N639" s="33" t="s">
        <v>5964</v>
      </c>
      <c r="O639"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Valparaíso, por Juzgado de Garantía, durante el Periodo 2013-2019</v>
      </c>
      <c r="P639"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Valparaíso por Juzgado de Garantía, durante el Periodo 2013-2019 de acuerdo a datos provenientes del Poder Judicial de Chile.</v>
      </c>
      <c r="Q639" s="14" t="str">
        <f t="shared" si="122"/>
        <v>Gráfico de Evolución</v>
      </c>
      <c r="R639" s="27" t="s">
        <v>6253</v>
      </c>
      <c r="S639" s="15" t="s">
        <v>7034</v>
      </c>
      <c r="T639" s="65" t="s">
        <v>5911</v>
      </c>
      <c r="U639" s="24" t="s">
        <v>397</v>
      </c>
      <c r="V639" s="19" t="str">
        <f>+Ingresos_Historicos[[#This Row],[idcoleccion]]&amp;"-"&amp;Ingresos_Historicos[[#This Row],[id]]</f>
        <v>300-0629</v>
      </c>
      <c r="W639" s="19">
        <f>+VLOOKUP(Ingresos_Historicos[[#This Row],[Filtro URL]],Estructura!$X$4:$Y$366,2,0)</f>
        <v>30200005</v>
      </c>
      <c r="X639" s="19" t="str">
        <f>+VLOOKUP(Ingresos_Historicos[[#This Row],[tema]],Estructura!$A$4:$C$18,3,0)</f>
        <v>T-311</v>
      </c>
      <c r="Y639" s="19" t="str">
        <f>+VLOOKUP(Ingresos_Historicos[[#This Row],[contenido]],Estructura!$E$4:$G$18,3,0)</f>
        <v>C-303</v>
      </c>
      <c r="Z639" s="19" t="str">
        <f>+VLOOKUP(Ingresos_Historicos[[#This Row],[Filtro Integrado]],Estructura!$M$4:$O$367,3,0)</f>
        <v>FI-303</v>
      </c>
      <c r="AA639" s="19" t="str">
        <f>+VLOOKUP(Ingresos_Historicos[[#This Row],[Muestra]],Estructura!$Q$4:$S$194,3,0)</f>
        <v>M-311</v>
      </c>
    </row>
    <row r="640" spans="1:27" ht="40.799999999999997" x14ac:dyDescent="0.3">
      <c r="A640" s="71" t="s">
        <v>1026</v>
      </c>
      <c r="B640" s="12">
        <f t="shared" si="123"/>
        <v>300</v>
      </c>
      <c r="C640" s="13" t="str">
        <f t="shared" si="123"/>
        <v>Violencia contra la mujer</v>
      </c>
      <c r="D640" s="13" t="str">
        <f t="shared" si="123"/>
        <v>Mujeres</v>
      </c>
      <c r="E640" s="26">
        <v>6</v>
      </c>
      <c r="F640" s="13" t="s">
        <v>7578</v>
      </c>
      <c r="G640" s="13" t="s">
        <v>7576</v>
      </c>
      <c r="H640" s="29" t="s">
        <v>15</v>
      </c>
      <c r="I640" s="28" t="s">
        <v>372</v>
      </c>
      <c r="J640" s="12" t="s">
        <v>398</v>
      </c>
      <c r="K640" s="12" t="s">
        <v>6396</v>
      </c>
      <c r="L640" s="75" t="str">
        <f t="shared" si="124"/>
        <v>Periodo 2013-2019</v>
      </c>
      <c r="M640" s="12" t="str">
        <f t="shared" si="124"/>
        <v>Porcentaje</v>
      </c>
      <c r="N640" s="33" t="s">
        <v>5964</v>
      </c>
      <c r="O640"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O'Higgins, por Juzgado de Garantía, durante el Periodo 2013-2019</v>
      </c>
      <c r="P640"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O'Higgins por Juzgado de Garantía, durante el Periodo 2013-2019 de acuerdo a datos provenientes del Poder Judicial de Chile.</v>
      </c>
      <c r="Q640" s="14" t="str">
        <f t="shared" si="122"/>
        <v>Gráfico de Evolución</v>
      </c>
      <c r="R640" s="27" t="s">
        <v>6254</v>
      </c>
      <c r="S640" s="15" t="s">
        <v>7035</v>
      </c>
      <c r="T640" s="65" t="s">
        <v>5912</v>
      </c>
      <c r="U640" s="24" t="s">
        <v>397</v>
      </c>
      <c r="V640" s="19" t="str">
        <f>+Ingresos_Historicos[[#This Row],[idcoleccion]]&amp;"-"&amp;Ingresos_Historicos[[#This Row],[id]]</f>
        <v>300-0630</v>
      </c>
      <c r="W640" s="19">
        <f>+VLOOKUP(Ingresos_Historicos[[#This Row],[Filtro URL]],Estructura!$X$4:$Y$366,2,0)</f>
        <v>30200006</v>
      </c>
      <c r="X640" s="19" t="str">
        <f>+VLOOKUP(Ingresos_Historicos[[#This Row],[tema]],Estructura!$A$4:$C$18,3,0)</f>
        <v>T-311</v>
      </c>
      <c r="Y640" s="19" t="str">
        <f>+VLOOKUP(Ingresos_Historicos[[#This Row],[contenido]],Estructura!$E$4:$G$18,3,0)</f>
        <v>C-303</v>
      </c>
      <c r="Z640" s="19" t="str">
        <f>+VLOOKUP(Ingresos_Historicos[[#This Row],[Filtro Integrado]],Estructura!$M$4:$O$367,3,0)</f>
        <v>FI-303</v>
      </c>
      <c r="AA640" s="19" t="str">
        <f>+VLOOKUP(Ingresos_Historicos[[#This Row],[Muestra]],Estructura!$Q$4:$S$194,3,0)</f>
        <v>M-311</v>
      </c>
    </row>
    <row r="641" spans="1:27" ht="40.799999999999997" x14ac:dyDescent="0.3">
      <c r="A641" s="71" t="s">
        <v>1027</v>
      </c>
      <c r="B641" s="12">
        <f t="shared" si="123"/>
        <v>300</v>
      </c>
      <c r="C641" s="13" t="str">
        <f t="shared" si="123"/>
        <v>Violencia contra la mujer</v>
      </c>
      <c r="D641" s="13" t="str">
        <f t="shared" si="123"/>
        <v>Mujeres</v>
      </c>
      <c r="E641" s="26">
        <v>7</v>
      </c>
      <c r="F641" s="13" t="s">
        <v>7578</v>
      </c>
      <c r="G641" s="13" t="s">
        <v>7576</v>
      </c>
      <c r="H641" s="29" t="s">
        <v>15</v>
      </c>
      <c r="I641" s="28" t="s">
        <v>373</v>
      </c>
      <c r="J641" s="12" t="s">
        <v>398</v>
      </c>
      <c r="K641" s="12" t="s">
        <v>6396</v>
      </c>
      <c r="L641" s="75" t="str">
        <f t="shared" si="124"/>
        <v>Periodo 2013-2019</v>
      </c>
      <c r="M641" s="12" t="str">
        <f t="shared" si="124"/>
        <v>Porcentaje</v>
      </c>
      <c r="N641" s="33" t="s">
        <v>5964</v>
      </c>
      <c r="O641"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Maule, por Juzgado de Garantía, durante el Periodo 2013-2019</v>
      </c>
      <c r="P641"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Maule por Juzgado de Garantía, durante el Periodo 2013-2019 de acuerdo a datos provenientes del Poder Judicial de Chile.</v>
      </c>
      <c r="Q641" s="14" t="str">
        <f t="shared" si="122"/>
        <v>Gráfico de Evolución</v>
      </c>
      <c r="R641" s="27" t="s">
        <v>6255</v>
      </c>
      <c r="S641" s="15" t="s">
        <v>7036</v>
      </c>
      <c r="T641" s="65" t="s">
        <v>5913</v>
      </c>
      <c r="U641" s="24" t="s">
        <v>397</v>
      </c>
      <c r="V641" s="19" t="str">
        <f>+Ingresos_Historicos[[#This Row],[idcoleccion]]&amp;"-"&amp;Ingresos_Historicos[[#This Row],[id]]</f>
        <v>300-0631</v>
      </c>
      <c r="W641" s="19">
        <f>+VLOOKUP(Ingresos_Historicos[[#This Row],[Filtro URL]],Estructura!$X$4:$Y$366,2,0)</f>
        <v>30200007</v>
      </c>
      <c r="X641" s="19" t="str">
        <f>+VLOOKUP(Ingresos_Historicos[[#This Row],[tema]],Estructura!$A$4:$C$18,3,0)</f>
        <v>T-311</v>
      </c>
      <c r="Y641" s="19" t="str">
        <f>+VLOOKUP(Ingresos_Historicos[[#This Row],[contenido]],Estructura!$E$4:$G$18,3,0)</f>
        <v>C-303</v>
      </c>
      <c r="Z641" s="19" t="str">
        <f>+VLOOKUP(Ingresos_Historicos[[#This Row],[Filtro Integrado]],Estructura!$M$4:$O$367,3,0)</f>
        <v>FI-303</v>
      </c>
      <c r="AA641" s="19" t="str">
        <f>+VLOOKUP(Ingresos_Historicos[[#This Row],[Muestra]],Estructura!$Q$4:$S$194,3,0)</f>
        <v>M-311</v>
      </c>
    </row>
    <row r="642" spans="1:27" ht="40.799999999999997" x14ac:dyDescent="0.3">
      <c r="A642" s="71" t="s">
        <v>1028</v>
      </c>
      <c r="B642" s="12">
        <f t="shared" si="123"/>
        <v>300</v>
      </c>
      <c r="C642" s="13" t="str">
        <f t="shared" si="123"/>
        <v>Violencia contra la mujer</v>
      </c>
      <c r="D642" s="13" t="str">
        <f t="shared" si="123"/>
        <v>Mujeres</v>
      </c>
      <c r="E642" s="26">
        <v>8</v>
      </c>
      <c r="F642" s="13" t="s">
        <v>7578</v>
      </c>
      <c r="G642" s="13" t="s">
        <v>7576</v>
      </c>
      <c r="H642" s="29" t="s">
        <v>15</v>
      </c>
      <c r="I642" s="28" t="s">
        <v>374</v>
      </c>
      <c r="J642" s="12" t="s">
        <v>398</v>
      </c>
      <c r="K642" s="12" t="s">
        <v>6396</v>
      </c>
      <c r="L642" s="75" t="str">
        <f t="shared" si="124"/>
        <v>Periodo 2013-2019</v>
      </c>
      <c r="M642" s="12" t="str">
        <f t="shared" si="124"/>
        <v>Porcentaje</v>
      </c>
      <c r="N642" s="33" t="s">
        <v>5964</v>
      </c>
      <c r="O642"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del Biobío, por Juzgado de Garantía, durante el Periodo 2013-2019</v>
      </c>
      <c r="P642"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del Biobío por Juzgado de Garantía, durante el Periodo 2013-2019 de acuerdo a datos provenientes del Poder Judicial de Chile.</v>
      </c>
      <c r="Q642" s="14" t="str">
        <f t="shared" si="122"/>
        <v>Gráfico de Evolución</v>
      </c>
      <c r="R642" s="27" t="s">
        <v>6256</v>
      </c>
      <c r="S642" s="15" t="s">
        <v>7037</v>
      </c>
      <c r="T642" s="65" t="s">
        <v>5914</v>
      </c>
      <c r="U642" s="24" t="s">
        <v>397</v>
      </c>
      <c r="V642" s="19" t="str">
        <f>+Ingresos_Historicos[[#This Row],[idcoleccion]]&amp;"-"&amp;Ingresos_Historicos[[#This Row],[id]]</f>
        <v>300-0632</v>
      </c>
      <c r="W642" s="19">
        <f>+VLOOKUP(Ingresos_Historicos[[#This Row],[Filtro URL]],Estructura!$X$4:$Y$366,2,0)</f>
        <v>30200008</v>
      </c>
      <c r="X642" s="19" t="str">
        <f>+VLOOKUP(Ingresos_Historicos[[#This Row],[tema]],Estructura!$A$4:$C$18,3,0)</f>
        <v>T-311</v>
      </c>
      <c r="Y642" s="19" t="str">
        <f>+VLOOKUP(Ingresos_Historicos[[#This Row],[contenido]],Estructura!$E$4:$G$18,3,0)</f>
        <v>C-303</v>
      </c>
      <c r="Z642" s="19" t="str">
        <f>+VLOOKUP(Ingresos_Historicos[[#This Row],[Filtro Integrado]],Estructura!$M$4:$O$367,3,0)</f>
        <v>FI-303</v>
      </c>
      <c r="AA642" s="19" t="str">
        <f>+VLOOKUP(Ingresos_Historicos[[#This Row],[Muestra]],Estructura!$Q$4:$S$194,3,0)</f>
        <v>M-311</v>
      </c>
    </row>
    <row r="643" spans="1:27" ht="40.799999999999997" x14ac:dyDescent="0.3">
      <c r="A643" s="71" t="s">
        <v>1029</v>
      </c>
      <c r="B643" s="12">
        <f t="shared" si="123"/>
        <v>300</v>
      </c>
      <c r="C643" s="13" t="str">
        <f t="shared" si="123"/>
        <v>Violencia contra la mujer</v>
      </c>
      <c r="D643" s="13" t="str">
        <f t="shared" si="123"/>
        <v>Mujeres</v>
      </c>
      <c r="E643" s="26">
        <v>9</v>
      </c>
      <c r="F643" s="13" t="s">
        <v>7578</v>
      </c>
      <c r="G643" s="13" t="s">
        <v>7576</v>
      </c>
      <c r="H643" s="29" t="s">
        <v>15</v>
      </c>
      <c r="I643" s="28" t="s">
        <v>375</v>
      </c>
      <c r="J643" s="12" t="s">
        <v>398</v>
      </c>
      <c r="K643" s="12" t="s">
        <v>6396</v>
      </c>
      <c r="L643" s="75" t="str">
        <f t="shared" si="124"/>
        <v>Periodo 2013-2019</v>
      </c>
      <c r="M643" s="12" t="str">
        <f t="shared" si="124"/>
        <v>Porcentaje</v>
      </c>
      <c r="N643" s="33" t="s">
        <v>5964</v>
      </c>
      <c r="O643"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La Araucanía, por Juzgado de Garantía, durante el Periodo 2013-2019</v>
      </c>
      <c r="P643"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La Araucanía por Juzgado de Garantía, durante el Periodo 2013-2019 de acuerdo a datos provenientes del Poder Judicial de Chile.</v>
      </c>
      <c r="Q643" s="14" t="str">
        <f t="shared" si="122"/>
        <v>Gráfico de Evolución</v>
      </c>
      <c r="R643" s="27" t="s">
        <v>6257</v>
      </c>
      <c r="S643" s="15" t="s">
        <v>7038</v>
      </c>
      <c r="T643" s="65" t="s">
        <v>5915</v>
      </c>
      <c r="U643" s="24" t="s">
        <v>397</v>
      </c>
      <c r="V643" s="19" t="str">
        <f>+Ingresos_Historicos[[#This Row],[idcoleccion]]&amp;"-"&amp;Ingresos_Historicos[[#This Row],[id]]</f>
        <v>300-0633</v>
      </c>
      <c r="W643" s="19">
        <f>+VLOOKUP(Ingresos_Historicos[[#This Row],[Filtro URL]],Estructura!$X$4:$Y$366,2,0)</f>
        <v>30200009</v>
      </c>
      <c r="X643" s="19" t="str">
        <f>+VLOOKUP(Ingresos_Historicos[[#This Row],[tema]],Estructura!$A$4:$C$18,3,0)</f>
        <v>T-311</v>
      </c>
      <c r="Y643" s="19" t="str">
        <f>+VLOOKUP(Ingresos_Historicos[[#This Row],[contenido]],Estructura!$E$4:$G$18,3,0)</f>
        <v>C-303</v>
      </c>
      <c r="Z643" s="19" t="str">
        <f>+VLOOKUP(Ingresos_Historicos[[#This Row],[Filtro Integrado]],Estructura!$M$4:$O$367,3,0)</f>
        <v>FI-303</v>
      </c>
      <c r="AA643" s="19" t="str">
        <f>+VLOOKUP(Ingresos_Historicos[[#This Row],[Muestra]],Estructura!$Q$4:$S$194,3,0)</f>
        <v>M-311</v>
      </c>
    </row>
    <row r="644" spans="1:27" ht="40.799999999999997" x14ac:dyDescent="0.3">
      <c r="A644" s="71" t="s">
        <v>1030</v>
      </c>
      <c r="B644" s="12">
        <f t="shared" si="123"/>
        <v>300</v>
      </c>
      <c r="C644" s="13" t="str">
        <f t="shared" si="123"/>
        <v>Violencia contra la mujer</v>
      </c>
      <c r="D644" s="13" t="str">
        <f t="shared" si="123"/>
        <v>Mujeres</v>
      </c>
      <c r="E644" s="26">
        <v>10</v>
      </c>
      <c r="F644" s="13" t="s">
        <v>7578</v>
      </c>
      <c r="G644" s="13" t="s">
        <v>7576</v>
      </c>
      <c r="H644" s="29" t="s">
        <v>15</v>
      </c>
      <c r="I644" s="28" t="s">
        <v>376</v>
      </c>
      <c r="J644" s="12" t="s">
        <v>398</v>
      </c>
      <c r="K644" s="12" t="s">
        <v>6396</v>
      </c>
      <c r="L644" s="75" t="str">
        <f t="shared" si="124"/>
        <v>Periodo 2013-2019</v>
      </c>
      <c r="M644" s="12" t="str">
        <f t="shared" si="124"/>
        <v>Porcentaje</v>
      </c>
      <c r="N644" s="33" t="s">
        <v>5964</v>
      </c>
      <c r="O644"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Los Lagos, por Juzgado de Garantía, durante el Periodo 2013-2019</v>
      </c>
      <c r="P644"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Los Lagos por Juzgado de Garantía, durante el Periodo 2013-2019 de acuerdo a datos provenientes del Poder Judicial de Chile.</v>
      </c>
      <c r="Q644" s="14" t="str">
        <f t="shared" si="122"/>
        <v>Gráfico de Evolución</v>
      </c>
      <c r="R644" s="27" t="s">
        <v>6258</v>
      </c>
      <c r="S644" s="15" t="s">
        <v>7039</v>
      </c>
      <c r="T644" s="65" t="s">
        <v>5916</v>
      </c>
      <c r="U644" s="24" t="s">
        <v>397</v>
      </c>
      <c r="V644" s="19" t="str">
        <f>+Ingresos_Historicos[[#This Row],[idcoleccion]]&amp;"-"&amp;Ingresos_Historicos[[#This Row],[id]]</f>
        <v>300-0634</v>
      </c>
      <c r="W644" s="19">
        <f>+VLOOKUP(Ingresos_Historicos[[#This Row],[Filtro URL]],Estructura!$X$4:$Y$366,2,0)</f>
        <v>30200010</v>
      </c>
      <c r="X644" s="19" t="str">
        <f>+VLOOKUP(Ingresos_Historicos[[#This Row],[tema]],Estructura!$A$4:$C$18,3,0)</f>
        <v>T-311</v>
      </c>
      <c r="Y644" s="19" t="str">
        <f>+VLOOKUP(Ingresos_Historicos[[#This Row],[contenido]],Estructura!$E$4:$G$18,3,0)</f>
        <v>C-303</v>
      </c>
      <c r="Z644" s="19" t="str">
        <f>+VLOOKUP(Ingresos_Historicos[[#This Row],[Filtro Integrado]],Estructura!$M$4:$O$367,3,0)</f>
        <v>FI-303</v>
      </c>
      <c r="AA644" s="19" t="str">
        <f>+VLOOKUP(Ingresos_Historicos[[#This Row],[Muestra]],Estructura!$Q$4:$S$194,3,0)</f>
        <v>M-311</v>
      </c>
    </row>
    <row r="645" spans="1:27" ht="40.799999999999997" x14ac:dyDescent="0.3">
      <c r="A645" s="71" t="s">
        <v>1031</v>
      </c>
      <c r="B645" s="12">
        <f t="shared" si="123"/>
        <v>300</v>
      </c>
      <c r="C645" s="13" t="str">
        <f t="shared" si="123"/>
        <v>Violencia contra la mujer</v>
      </c>
      <c r="D645" s="13" t="str">
        <f t="shared" si="123"/>
        <v>Mujeres</v>
      </c>
      <c r="E645" s="26">
        <v>11</v>
      </c>
      <c r="F645" s="13" t="s">
        <v>7578</v>
      </c>
      <c r="G645" s="13" t="s">
        <v>7576</v>
      </c>
      <c r="H645" s="29" t="s">
        <v>15</v>
      </c>
      <c r="I645" s="28" t="s">
        <v>377</v>
      </c>
      <c r="J645" s="12" t="s">
        <v>398</v>
      </c>
      <c r="K645" s="12" t="s">
        <v>6396</v>
      </c>
      <c r="L645" s="75" t="str">
        <f t="shared" si="124"/>
        <v>Periodo 2013-2019</v>
      </c>
      <c r="M645" s="12" t="str">
        <f t="shared" si="124"/>
        <v>Porcentaje</v>
      </c>
      <c r="N645" s="33" t="s">
        <v>5964</v>
      </c>
      <c r="O645"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Aysén, por Juzgado de Garantía, durante el Periodo 2013-2019</v>
      </c>
      <c r="P645"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Aysén por Juzgado de Garantía, durante el Periodo 2013-2019 de acuerdo a datos provenientes del Poder Judicial de Chile.</v>
      </c>
      <c r="Q645" s="14" t="str">
        <f t="shared" si="122"/>
        <v>Gráfico de Evolución</v>
      </c>
      <c r="R645" s="27" t="s">
        <v>6259</v>
      </c>
      <c r="S645" s="15" t="s">
        <v>7040</v>
      </c>
      <c r="T645" s="65" t="s">
        <v>5917</v>
      </c>
      <c r="U645" s="24" t="s">
        <v>397</v>
      </c>
      <c r="V645" s="19" t="str">
        <f>+Ingresos_Historicos[[#This Row],[idcoleccion]]&amp;"-"&amp;Ingresos_Historicos[[#This Row],[id]]</f>
        <v>300-0635</v>
      </c>
      <c r="W645" s="19">
        <f>+VLOOKUP(Ingresos_Historicos[[#This Row],[Filtro URL]],Estructura!$X$4:$Y$366,2,0)</f>
        <v>30200011</v>
      </c>
      <c r="X645" s="19" t="str">
        <f>+VLOOKUP(Ingresos_Historicos[[#This Row],[tema]],Estructura!$A$4:$C$18,3,0)</f>
        <v>T-311</v>
      </c>
      <c r="Y645" s="19" t="str">
        <f>+VLOOKUP(Ingresos_Historicos[[#This Row],[contenido]],Estructura!$E$4:$G$18,3,0)</f>
        <v>C-303</v>
      </c>
      <c r="Z645" s="19" t="str">
        <f>+VLOOKUP(Ingresos_Historicos[[#This Row],[Filtro Integrado]],Estructura!$M$4:$O$367,3,0)</f>
        <v>FI-303</v>
      </c>
      <c r="AA645" s="19" t="str">
        <f>+VLOOKUP(Ingresos_Historicos[[#This Row],[Muestra]],Estructura!$Q$4:$S$194,3,0)</f>
        <v>M-311</v>
      </c>
    </row>
    <row r="646" spans="1:27" ht="40.799999999999997" x14ac:dyDescent="0.3">
      <c r="A646" s="71" t="s">
        <v>1032</v>
      </c>
      <c r="B646" s="12">
        <f t="shared" ref="B646:D661" si="125">+B645</f>
        <v>300</v>
      </c>
      <c r="C646" s="13" t="str">
        <f t="shared" si="125"/>
        <v>Violencia contra la mujer</v>
      </c>
      <c r="D646" s="13" t="str">
        <f t="shared" si="125"/>
        <v>Mujeres</v>
      </c>
      <c r="E646" s="26">
        <v>12</v>
      </c>
      <c r="F646" s="13" t="s">
        <v>7578</v>
      </c>
      <c r="G646" s="13" t="s">
        <v>7576</v>
      </c>
      <c r="H646" s="29" t="s">
        <v>15</v>
      </c>
      <c r="I646" s="28" t="s">
        <v>378</v>
      </c>
      <c r="J646" s="12" t="s">
        <v>398</v>
      </c>
      <c r="K646" s="12" t="s">
        <v>6396</v>
      </c>
      <c r="L646" s="75" t="str">
        <f t="shared" si="124"/>
        <v>Periodo 2013-2019</v>
      </c>
      <c r="M646" s="12" t="str">
        <f t="shared" si="124"/>
        <v>Porcentaje</v>
      </c>
      <c r="N646" s="33" t="s">
        <v>5964</v>
      </c>
      <c r="O646"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Magallanes, por Juzgado de Garantía, durante el Periodo 2013-2019</v>
      </c>
      <c r="P646"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Magallanes por Juzgado de Garantía, durante el Periodo 2013-2019 de acuerdo a datos provenientes del Poder Judicial de Chile.</v>
      </c>
      <c r="Q646" s="14" t="str">
        <f t="shared" si="122"/>
        <v>Gráfico de Evolución</v>
      </c>
      <c r="R646" s="27" t="s">
        <v>6260</v>
      </c>
      <c r="S646" s="15" t="s">
        <v>7041</v>
      </c>
      <c r="T646" s="65" t="s">
        <v>5918</v>
      </c>
      <c r="U646" s="24" t="s">
        <v>397</v>
      </c>
      <c r="V646" s="19" t="str">
        <f>+Ingresos_Historicos[[#This Row],[idcoleccion]]&amp;"-"&amp;Ingresos_Historicos[[#This Row],[id]]</f>
        <v>300-0636</v>
      </c>
      <c r="W646" s="19">
        <f>+VLOOKUP(Ingresos_Historicos[[#This Row],[Filtro URL]],Estructura!$X$4:$Y$366,2,0)</f>
        <v>30200012</v>
      </c>
      <c r="X646" s="19" t="str">
        <f>+VLOOKUP(Ingresos_Historicos[[#This Row],[tema]],Estructura!$A$4:$C$18,3,0)</f>
        <v>T-311</v>
      </c>
      <c r="Y646" s="19" t="str">
        <f>+VLOOKUP(Ingresos_Historicos[[#This Row],[contenido]],Estructura!$E$4:$G$18,3,0)</f>
        <v>C-303</v>
      </c>
      <c r="Z646" s="19" t="str">
        <f>+VLOOKUP(Ingresos_Historicos[[#This Row],[Filtro Integrado]],Estructura!$M$4:$O$367,3,0)</f>
        <v>FI-303</v>
      </c>
      <c r="AA646" s="19" t="str">
        <f>+VLOOKUP(Ingresos_Historicos[[#This Row],[Muestra]],Estructura!$Q$4:$S$194,3,0)</f>
        <v>M-311</v>
      </c>
    </row>
    <row r="647" spans="1:27" ht="40.799999999999997" x14ac:dyDescent="0.3">
      <c r="A647" s="71" t="s">
        <v>1033</v>
      </c>
      <c r="B647" s="12">
        <f t="shared" si="125"/>
        <v>300</v>
      </c>
      <c r="C647" s="13" t="str">
        <f t="shared" si="125"/>
        <v>Violencia contra la mujer</v>
      </c>
      <c r="D647" s="13" t="str">
        <f t="shared" si="125"/>
        <v>Mujeres</v>
      </c>
      <c r="E647" s="26">
        <v>13</v>
      </c>
      <c r="F647" s="13" t="s">
        <v>7578</v>
      </c>
      <c r="G647" s="13" t="s">
        <v>7576</v>
      </c>
      <c r="H647" s="29" t="s">
        <v>15</v>
      </c>
      <c r="I647" s="28" t="s">
        <v>379</v>
      </c>
      <c r="J647" s="12" t="s">
        <v>398</v>
      </c>
      <c r="K647" s="12" t="s">
        <v>6396</v>
      </c>
      <c r="L647" s="75" t="str">
        <f t="shared" si="124"/>
        <v>Periodo 2013-2019</v>
      </c>
      <c r="M647" s="12" t="str">
        <f t="shared" si="124"/>
        <v>Porcentaje</v>
      </c>
      <c r="N647" s="33" t="s">
        <v>5964</v>
      </c>
      <c r="O647"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Metropolitana, por Juzgado de Garantía, durante el Periodo 2013-2019</v>
      </c>
      <c r="P647"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Metropolitana por Juzgado de Garantía, durante el Periodo 2013-2019 de acuerdo a datos provenientes del Poder Judicial de Chile.</v>
      </c>
      <c r="Q647" s="14" t="str">
        <f t="shared" si="122"/>
        <v>Gráfico de Evolución</v>
      </c>
      <c r="R647" s="27" t="s">
        <v>6261</v>
      </c>
      <c r="S647" s="15" t="s">
        <v>7042</v>
      </c>
      <c r="T647" s="65" t="s">
        <v>5919</v>
      </c>
      <c r="U647" s="24" t="s">
        <v>397</v>
      </c>
      <c r="V647" s="19" t="str">
        <f>+Ingresos_Historicos[[#This Row],[idcoleccion]]&amp;"-"&amp;Ingresos_Historicos[[#This Row],[id]]</f>
        <v>300-0637</v>
      </c>
      <c r="W647" s="19">
        <f>+VLOOKUP(Ingresos_Historicos[[#This Row],[Filtro URL]],Estructura!$X$4:$Y$366,2,0)</f>
        <v>30200013</v>
      </c>
      <c r="X647" s="19" t="str">
        <f>+VLOOKUP(Ingresos_Historicos[[#This Row],[tema]],Estructura!$A$4:$C$18,3,0)</f>
        <v>T-311</v>
      </c>
      <c r="Y647" s="19" t="str">
        <f>+VLOOKUP(Ingresos_Historicos[[#This Row],[contenido]],Estructura!$E$4:$G$18,3,0)</f>
        <v>C-303</v>
      </c>
      <c r="Z647" s="19" t="str">
        <f>+VLOOKUP(Ingresos_Historicos[[#This Row],[Filtro Integrado]],Estructura!$M$4:$O$367,3,0)</f>
        <v>FI-303</v>
      </c>
      <c r="AA647" s="19" t="str">
        <f>+VLOOKUP(Ingresos_Historicos[[#This Row],[Muestra]],Estructura!$Q$4:$S$194,3,0)</f>
        <v>M-311</v>
      </c>
    </row>
    <row r="648" spans="1:27" ht="40.799999999999997" x14ac:dyDescent="0.3">
      <c r="A648" s="71" t="s">
        <v>1034</v>
      </c>
      <c r="B648" s="12">
        <f t="shared" si="125"/>
        <v>300</v>
      </c>
      <c r="C648" s="13" t="str">
        <f t="shared" si="125"/>
        <v>Violencia contra la mujer</v>
      </c>
      <c r="D648" s="13" t="str">
        <f t="shared" si="125"/>
        <v>Mujeres</v>
      </c>
      <c r="E648" s="26">
        <v>14</v>
      </c>
      <c r="F648" s="13" t="s">
        <v>7578</v>
      </c>
      <c r="G648" s="13" t="s">
        <v>7576</v>
      </c>
      <c r="H648" s="29" t="s">
        <v>15</v>
      </c>
      <c r="I648" s="28" t="s">
        <v>380</v>
      </c>
      <c r="J648" s="12" t="s">
        <v>398</v>
      </c>
      <c r="K648" s="12" t="s">
        <v>6396</v>
      </c>
      <c r="L648" s="75" t="str">
        <f t="shared" ref="L648:M663" si="126">+L647</f>
        <v>Periodo 2013-2019</v>
      </c>
      <c r="M648" s="12" t="str">
        <f t="shared" si="126"/>
        <v>Porcentaje</v>
      </c>
      <c r="N648" s="33" t="s">
        <v>5964</v>
      </c>
      <c r="O648"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Los Ríos, por Juzgado de Garantía, durante el Periodo 2013-2019</v>
      </c>
      <c r="P648"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Los Ríos por Juzgado de Garantía, durante el Periodo 2013-2019 de acuerdo a datos provenientes del Poder Judicial de Chile.</v>
      </c>
      <c r="Q648" s="14" t="str">
        <f t="shared" si="122"/>
        <v>Gráfico de Evolución</v>
      </c>
      <c r="R648" s="27" t="s">
        <v>6262</v>
      </c>
      <c r="S648" s="15" t="s">
        <v>7043</v>
      </c>
      <c r="T648" s="65" t="s">
        <v>5920</v>
      </c>
      <c r="U648" s="24" t="s">
        <v>397</v>
      </c>
      <c r="V648" s="19" t="str">
        <f>+Ingresos_Historicos[[#This Row],[idcoleccion]]&amp;"-"&amp;Ingresos_Historicos[[#This Row],[id]]</f>
        <v>300-0638</v>
      </c>
      <c r="W648" s="19">
        <f>+VLOOKUP(Ingresos_Historicos[[#This Row],[Filtro URL]],Estructura!$X$4:$Y$366,2,0)</f>
        <v>30200014</v>
      </c>
      <c r="X648" s="19" t="str">
        <f>+VLOOKUP(Ingresos_Historicos[[#This Row],[tema]],Estructura!$A$4:$C$18,3,0)</f>
        <v>T-311</v>
      </c>
      <c r="Y648" s="19" t="str">
        <f>+VLOOKUP(Ingresos_Historicos[[#This Row],[contenido]],Estructura!$E$4:$G$18,3,0)</f>
        <v>C-303</v>
      </c>
      <c r="Z648" s="19" t="str">
        <f>+VLOOKUP(Ingresos_Historicos[[#This Row],[Filtro Integrado]],Estructura!$M$4:$O$367,3,0)</f>
        <v>FI-303</v>
      </c>
      <c r="AA648" s="19" t="str">
        <f>+VLOOKUP(Ingresos_Historicos[[#This Row],[Muestra]],Estructura!$Q$4:$S$194,3,0)</f>
        <v>M-311</v>
      </c>
    </row>
    <row r="649" spans="1:27" ht="40.799999999999997" x14ac:dyDescent="0.3">
      <c r="A649" s="71" t="s">
        <v>1035</v>
      </c>
      <c r="B649" s="12">
        <f t="shared" si="125"/>
        <v>300</v>
      </c>
      <c r="C649" s="13" t="str">
        <f t="shared" si="125"/>
        <v>Violencia contra la mujer</v>
      </c>
      <c r="D649" s="13" t="str">
        <f t="shared" si="125"/>
        <v>Mujeres</v>
      </c>
      <c r="E649" s="26">
        <v>15</v>
      </c>
      <c r="F649" s="13" t="s">
        <v>7578</v>
      </c>
      <c r="G649" s="13" t="s">
        <v>7576</v>
      </c>
      <c r="H649" s="29" t="s">
        <v>15</v>
      </c>
      <c r="I649" s="28" t="s">
        <v>381</v>
      </c>
      <c r="J649" s="12" t="s">
        <v>398</v>
      </c>
      <c r="K649" s="12" t="s">
        <v>6396</v>
      </c>
      <c r="L649" s="75" t="str">
        <f t="shared" si="126"/>
        <v>Periodo 2013-2019</v>
      </c>
      <c r="M649" s="12" t="str">
        <f t="shared" si="126"/>
        <v>Porcentaje</v>
      </c>
      <c r="N649" s="33" t="s">
        <v>5964</v>
      </c>
      <c r="O649"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Arica y Parinacota, por Juzgado de Garantía, durante el Periodo 2013-2019</v>
      </c>
      <c r="P649"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Arica y Parinacota por Juzgado de Garantía, durante el Periodo 2013-2019 de acuerdo a datos provenientes del Poder Judicial de Chile.</v>
      </c>
      <c r="Q649" s="14" t="str">
        <f t="shared" si="122"/>
        <v>Gráfico de Evolución</v>
      </c>
      <c r="R649" s="27" t="s">
        <v>6263</v>
      </c>
      <c r="S649" s="15" t="s">
        <v>7044</v>
      </c>
      <c r="T649" s="65" t="s">
        <v>5921</v>
      </c>
      <c r="U649" s="24" t="s">
        <v>397</v>
      </c>
      <c r="V649" s="19" t="str">
        <f>+Ingresos_Historicos[[#This Row],[idcoleccion]]&amp;"-"&amp;Ingresos_Historicos[[#This Row],[id]]</f>
        <v>300-0639</v>
      </c>
      <c r="W649" s="19">
        <f>+VLOOKUP(Ingresos_Historicos[[#This Row],[Filtro URL]],Estructura!$X$4:$Y$366,2,0)</f>
        <v>30200015</v>
      </c>
      <c r="X649" s="19" t="str">
        <f>+VLOOKUP(Ingresos_Historicos[[#This Row],[tema]],Estructura!$A$4:$C$18,3,0)</f>
        <v>T-311</v>
      </c>
      <c r="Y649" s="19" t="str">
        <f>+VLOOKUP(Ingresos_Historicos[[#This Row],[contenido]],Estructura!$E$4:$G$18,3,0)</f>
        <v>C-303</v>
      </c>
      <c r="Z649" s="19" t="str">
        <f>+VLOOKUP(Ingresos_Historicos[[#This Row],[Filtro Integrado]],Estructura!$M$4:$O$367,3,0)</f>
        <v>FI-303</v>
      </c>
      <c r="AA649" s="19" t="str">
        <f>+VLOOKUP(Ingresos_Historicos[[#This Row],[Muestra]],Estructura!$Q$4:$S$194,3,0)</f>
        <v>M-311</v>
      </c>
    </row>
    <row r="650" spans="1:27" ht="40.799999999999997" x14ac:dyDescent="0.3">
      <c r="A650" s="71" t="s">
        <v>1036</v>
      </c>
      <c r="B650" s="12">
        <f t="shared" si="125"/>
        <v>300</v>
      </c>
      <c r="C650" s="13" t="str">
        <f t="shared" si="125"/>
        <v>Violencia contra la mujer</v>
      </c>
      <c r="D650" s="13" t="str">
        <f t="shared" si="125"/>
        <v>Mujeres</v>
      </c>
      <c r="E650" s="26">
        <v>16</v>
      </c>
      <c r="F650" s="13" t="s">
        <v>7578</v>
      </c>
      <c r="G650" s="13" t="s">
        <v>7576</v>
      </c>
      <c r="H650" s="29" t="s">
        <v>15</v>
      </c>
      <c r="I650" s="28" t="s">
        <v>382</v>
      </c>
      <c r="J650" s="12" t="s">
        <v>398</v>
      </c>
      <c r="K650" s="12" t="s">
        <v>6396</v>
      </c>
      <c r="L650" s="75" t="str">
        <f t="shared" si="126"/>
        <v>Periodo 2013-2019</v>
      </c>
      <c r="M650" s="12" t="str">
        <f t="shared" si="126"/>
        <v>Porcentaje</v>
      </c>
      <c r="N650" s="33" t="s">
        <v>5964</v>
      </c>
      <c r="O650" s="72" t="str">
        <f>"Variación Trimestral de Sentencias Dictadas (%) por Delitos Vinculados a la Mujer en la "&amp;Ingresos_Historicos[[#This Row],[territorio]]&amp;", por Juzgado de Garantía, durante el Periodo 2013-2019"</f>
        <v>Variación Trimestral de Sentencias Dictadas (%) por Delitos Vinculados a la Mujer en la Región de Ñuble, por Juzgado de Garantía, durante el Periodo 2013-2019</v>
      </c>
      <c r="P650" s="42" t="str">
        <f>"El gráfico muestra la tendencia de la Variación Trimestral de Sentencias Dictadas (%) en la "&amp;Ingresos_Historicos[[#This Row],[territorio]]&amp;" por Juzgado de Garantía, durante el Periodo 2013-2019 de acuerdo a datos provenientes del Poder Judicial de Chile."</f>
        <v>El gráfico muestra la tendencia de la Variación Trimestral de Sentencias Dictadas (%) en la Región de Ñuble por Juzgado de Garantía, durante el Periodo 2013-2019 de acuerdo a datos provenientes del Poder Judicial de Chile.</v>
      </c>
      <c r="Q650" s="14" t="str">
        <f t="shared" si="122"/>
        <v>Gráfico de Evolución</v>
      </c>
      <c r="R650" s="27" t="s">
        <v>6264</v>
      </c>
      <c r="S650" s="15" t="s">
        <v>7045</v>
      </c>
      <c r="T650" s="65" t="s">
        <v>5958</v>
      </c>
      <c r="U650" s="24" t="s">
        <v>397</v>
      </c>
      <c r="V650" s="19" t="str">
        <f>+Ingresos_Historicos[[#This Row],[idcoleccion]]&amp;"-"&amp;Ingresos_Historicos[[#This Row],[id]]</f>
        <v>300-0640</v>
      </c>
      <c r="W650" s="19">
        <f>+VLOOKUP(Ingresos_Historicos[[#This Row],[Filtro URL]],Estructura!$X$4:$Y$366,2,0)</f>
        <v>30200016</v>
      </c>
      <c r="X650" s="19" t="str">
        <f>+VLOOKUP(Ingresos_Historicos[[#This Row],[tema]],Estructura!$A$4:$C$18,3,0)</f>
        <v>T-311</v>
      </c>
      <c r="Y650" s="19" t="str">
        <f>+VLOOKUP(Ingresos_Historicos[[#This Row],[contenido]],Estructura!$E$4:$G$18,3,0)</f>
        <v>C-303</v>
      </c>
      <c r="Z650" s="19" t="str">
        <f>+VLOOKUP(Ingresos_Historicos[[#This Row],[Filtro Integrado]],Estructura!$M$4:$O$367,3,0)</f>
        <v>FI-303</v>
      </c>
      <c r="AA650" s="19" t="str">
        <f>+VLOOKUP(Ingresos_Historicos[[#This Row],[Muestra]],Estructura!$Q$4:$S$194,3,0)</f>
        <v>M-311</v>
      </c>
    </row>
    <row r="651" spans="1:27" ht="40.799999999999997" x14ac:dyDescent="0.3">
      <c r="A651" s="32" t="s">
        <v>1037</v>
      </c>
      <c r="B651" s="12">
        <f t="shared" si="125"/>
        <v>300</v>
      </c>
      <c r="C651" s="13" t="str">
        <f t="shared" si="125"/>
        <v>Violencia contra la mujer</v>
      </c>
      <c r="D651" s="13" t="str">
        <f t="shared" si="125"/>
        <v>Mujeres</v>
      </c>
      <c r="E651" s="18">
        <v>270103002</v>
      </c>
      <c r="F651" s="13" t="s">
        <v>7577</v>
      </c>
      <c r="G651" s="13" t="s">
        <v>7576</v>
      </c>
      <c r="H651" s="30" t="s">
        <v>19</v>
      </c>
      <c r="I651" s="31" t="s">
        <v>14</v>
      </c>
      <c r="J651" s="12" t="s">
        <v>398</v>
      </c>
      <c r="K651" s="12" t="s">
        <v>6396</v>
      </c>
      <c r="L651" s="75" t="str">
        <f t="shared" si="126"/>
        <v>Periodo 2013-2019</v>
      </c>
      <c r="M651" s="12" t="str">
        <f t="shared" si="126"/>
        <v>Porcentaje</v>
      </c>
      <c r="N651" s="33" t="s">
        <v>5964</v>
      </c>
      <c r="O651" s="72" t="s">
        <v>6413</v>
      </c>
      <c r="P651" s="42" t="s">
        <v>6414</v>
      </c>
      <c r="Q651" s="14" t="str">
        <f t="shared" si="122"/>
        <v>Gráfico de Evolución</v>
      </c>
      <c r="R651" s="27" t="s">
        <v>6351</v>
      </c>
      <c r="S651" s="15" t="s">
        <v>7046</v>
      </c>
      <c r="T651" s="65" t="s">
        <v>5906</v>
      </c>
      <c r="U651" s="24" t="s">
        <v>397</v>
      </c>
      <c r="V651" s="19" t="str">
        <f>+Ingresos_Historicos[[#This Row],[idcoleccion]]&amp;"-"&amp;Ingresos_Historicos[[#This Row],[id]]</f>
        <v>300-0641</v>
      </c>
      <c r="W651" s="19" t="e">
        <f>+VLOOKUP(Ingresos_Historicos[[#This Row],[Filtro URL]],Estructura!$X$4:$Y$366,2,0)</f>
        <v>#N/A</v>
      </c>
      <c r="X651" s="19" t="str">
        <f>+VLOOKUP(Ingresos_Historicos[[#This Row],[tema]],Estructura!$A$4:$C$18,3,0)</f>
        <v>T-307</v>
      </c>
      <c r="Y651" s="19" t="str">
        <f>+VLOOKUP(Ingresos_Historicos[[#This Row],[contenido]],Estructura!$E$4:$G$18,3,0)</f>
        <v>C-303</v>
      </c>
      <c r="Z651" s="19" t="str">
        <f>+VLOOKUP(Ingresos_Historicos[[#This Row],[Filtro Integrado]],Estructura!$M$4:$O$367,3,0)</f>
        <v>FI-303</v>
      </c>
      <c r="AA651" s="19" t="str">
        <f>+VLOOKUP(Ingresos_Historicos[[#This Row],[Muestra]],Estructura!$Q$4:$S$194,3,0)</f>
        <v>M-311</v>
      </c>
    </row>
    <row r="652" spans="1:27" ht="51" x14ac:dyDescent="0.3">
      <c r="A652" s="32" t="s">
        <v>1038</v>
      </c>
      <c r="B652" s="12">
        <f t="shared" si="125"/>
        <v>300</v>
      </c>
      <c r="C652" s="13" t="str">
        <f t="shared" si="125"/>
        <v>Violencia contra la mujer</v>
      </c>
      <c r="D652" s="13" t="str">
        <f t="shared" si="125"/>
        <v>Mujeres</v>
      </c>
      <c r="E652" s="18">
        <v>270103003</v>
      </c>
      <c r="F652" s="13" t="s">
        <v>7577</v>
      </c>
      <c r="G652" s="13" t="s">
        <v>7576</v>
      </c>
      <c r="H652" s="30" t="s">
        <v>19</v>
      </c>
      <c r="I652" s="31" t="s">
        <v>14</v>
      </c>
      <c r="J652" s="12" t="s">
        <v>398</v>
      </c>
      <c r="K652" s="12" t="s">
        <v>6396</v>
      </c>
      <c r="L652" s="75" t="str">
        <f t="shared" si="126"/>
        <v>Periodo 2013-2019</v>
      </c>
      <c r="M652" s="12" t="str">
        <f t="shared" si="126"/>
        <v>Porcentaje</v>
      </c>
      <c r="N652" s="33" t="s">
        <v>5964</v>
      </c>
      <c r="O652" s="72" t="s">
        <v>6415</v>
      </c>
      <c r="P652" s="42" t="s">
        <v>6416</v>
      </c>
      <c r="Q652" s="14" t="str">
        <f t="shared" si="122"/>
        <v>Gráfico de Evolución</v>
      </c>
      <c r="R652" s="27" t="s">
        <v>6354</v>
      </c>
      <c r="S652" s="15" t="s">
        <v>7047</v>
      </c>
      <c r="T652" s="65" t="s">
        <v>5906</v>
      </c>
      <c r="U652" s="24" t="s">
        <v>397</v>
      </c>
      <c r="V652" s="19" t="str">
        <f>+Ingresos_Historicos[[#This Row],[idcoleccion]]&amp;"-"&amp;Ingresos_Historicos[[#This Row],[id]]</f>
        <v>300-0642</v>
      </c>
      <c r="W652" s="19" t="e">
        <f>+VLOOKUP(Ingresos_Historicos[[#This Row],[Filtro URL]],Estructura!$X$4:$Y$366,2,0)</f>
        <v>#N/A</v>
      </c>
      <c r="X652" s="19" t="str">
        <f>+VLOOKUP(Ingresos_Historicos[[#This Row],[tema]],Estructura!$A$4:$C$18,3,0)</f>
        <v>T-307</v>
      </c>
      <c r="Y652" s="19" t="str">
        <f>+VLOOKUP(Ingresos_Historicos[[#This Row],[contenido]],Estructura!$E$4:$G$18,3,0)</f>
        <v>C-303</v>
      </c>
      <c r="Z652" s="19" t="str">
        <f>+VLOOKUP(Ingresos_Historicos[[#This Row],[Filtro Integrado]],Estructura!$M$4:$O$367,3,0)</f>
        <v>FI-303</v>
      </c>
      <c r="AA652" s="19" t="str">
        <f>+VLOOKUP(Ingresos_Historicos[[#This Row],[Muestra]],Estructura!$Q$4:$S$194,3,0)</f>
        <v>M-311</v>
      </c>
    </row>
    <row r="653" spans="1:27" ht="51" x14ac:dyDescent="0.3">
      <c r="A653" s="32" t="s">
        <v>1039</v>
      </c>
      <c r="B653" s="12">
        <f t="shared" si="125"/>
        <v>300</v>
      </c>
      <c r="C653" s="13" t="str">
        <f t="shared" si="125"/>
        <v>Violencia contra la mujer</v>
      </c>
      <c r="D653" s="13" t="str">
        <f t="shared" si="125"/>
        <v>Mujeres</v>
      </c>
      <c r="E653" s="18">
        <v>270103004</v>
      </c>
      <c r="F653" s="13" t="s">
        <v>7577</v>
      </c>
      <c r="G653" s="13" t="s">
        <v>7576</v>
      </c>
      <c r="H653" s="30" t="s">
        <v>19</v>
      </c>
      <c r="I653" s="31" t="s">
        <v>14</v>
      </c>
      <c r="J653" s="12" t="s">
        <v>398</v>
      </c>
      <c r="K653" s="12" t="s">
        <v>6396</v>
      </c>
      <c r="L653" s="75" t="str">
        <f t="shared" si="126"/>
        <v>Periodo 2013-2019</v>
      </c>
      <c r="M653" s="12" t="str">
        <f t="shared" si="126"/>
        <v>Porcentaje</v>
      </c>
      <c r="N653" s="33" t="s">
        <v>5964</v>
      </c>
      <c r="O653" s="72" t="s">
        <v>6417</v>
      </c>
      <c r="P653" s="42" t="s">
        <v>6418</v>
      </c>
      <c r="Q653" s="14" t="str">
        <f t="shared" si="122"/>
        <v>Gráfico de Evolución</v>
      </c>
      <c r="R653" s="27" t="s">
        <v>6357</v>
      </c>
      <c r="S653" s="15" t="s">
        <v>7048</v>
      </c>
      <c r="T653" s="65" t="s">
        <v>5906</v>
      </c>
      <c r="U653" s="24" t="s">
        <v>397</v>
      </c>
      <c r="V653" s="19" t="str">
        <f>+Ingresos_Historicos[[#This Row],[idcoleccion]]&amp;"-"&amp;Ingresos_Historicos[[#This Row],[id]]</f>
        <v>300-0643</v>
      </c>
      <c r="W653" s="19" t="e">
        <f>+VLOOKUP(Ingresos_Historicos[[#This Row],[Filtro URL]],Estructura!$X$4:$Y$366,2,0)</f>
        <v>#N/A</v>
      </c>
      <c r="X653" s="19" t="str">
        <f>+VLOOKUP(Ingresos_Historicos[[#This Row],[tema]],Estructura!$A$4:$C$18,3,0)</f>
        <v>T-307</v>
      </c>
      <c r="Y653" s="19" t="str">
        <f>+VLOOKUP(Ingresos_Historicos[[#This Row],[contenido]],Estructura!$E$4:$G$18,3,0)</f>
        <v>C-303</v>
      </c>
      <c r="Z653" s="19" t="str">
        <f>+VLOOKUP(Ingresos_Historicos[[#This Row],[Filtro Integrado]],Estructura!$M$4:$O$367,3,0)</f>
        <v>FI-303</v>
      </c>
      <c r="AA653" s="19" t="str">
        <f>+VLOOKUP(Ingresos_Historicos[[#This Row],[Muestra]],Estructura!$Q$4:$S$194,3,0)</f>
        <v>M-311</v>
      </c>
    </row>
    <row r="654" spans="1:27" ht="51" x14ac:dyDescent="0.3">
      <c r="A654" s="32" t="s">
        <v>1040</v>
      </c>
      <c r="B654" s="12">
        <f t="shared" si="125"/>
        <v>300</v>
      </c>
      <c r="C654" s="13" t="str">
        <f t="shared" si="125"/>
        <v>Violencia contra la mujer</v>
      </c>
      <c r="D654" s="13" t="str">
        <f t="shared" si="125"/>
        <v>Mujeres</v>
      </c>
      <c r="E654" s="18">
        <v>270103005</v>
      </c>
      <c r="F654" s="13" t="s">
        <v>7577</v>
      </c>
      <c r="G654" s="13" t="s">
        <v>7576</v>
      </c>
      <c r="H654" s="30" t="s">
        <v>19</v>
      </c>
      <c r="I654" s="31" t="s">
        <v>14</v>
      </c>
      <c r="J654" s="12" t="s">
        <v>398</v>
      </c>
      <c r="K654" s="12" t="s">
        <v>6396</v>
      </c>
      <c r="L654" s="75" t="str">
        <f t="shared" si="126"/>
        <v>Periodo 2013-2019</v>
      </c>
      <c r="M654" s="12" t="str">
        <f t="shared" si="126"/>
        <v>Porcentaje</v>
      </c>
      <c r="N654" s="33" t="s">
        <v>5964</v>
      </c>
      <c r="O654" s="72" t="s">
        <v>6419</v>
      </c>
      <c r="P654" s="42" t="s">
        <v>6420</v>
      </c>
      <c r="Q654" s="14" t="str">
        <f t="shared" si="122"/>
        <v>Gráfico de Evolución</v>
      </c>
      <c r="R654" s="27" t="s">
        <v>6360</v>
      </c>
      <c r="S654" s="15" t="s">
        <v>7049</v>
      </c>
      <c r="T654" s="65" t="s">
        <v>5906</v>
      </c>
      <c r="U654" s="24" t="s">
        <v>397</v>
      </c>
      <c r="V654" s="19" t="str">
        <f>+Ingresos_Historicos[[#This Row],[idcoleccion]]&amp;"-"&amp;Ingresos_Historicos[[#This Row],[id]]</f>
        <v>300-0644</v>
      </c>
      <c r="W654" s="19" t="e">
        <f>+VLOOKUP(Ingresos_Historicos[[#This Row],[Filtro URL]],Estructura!$X$4:$Y$366,2,0)</f>
        <v>#N/A</v>
      </c>
      <c r="X654" s="19" t="str">
        <f>+VLOOKUP(Ingresos_Historicos[[#This Row],[tema]],Estructura!$A$4:$C$18,3,0)</f>
        <v>T-307</v>
      </c>
      <c r="Y654" s="19" t="str">
        <f>+VLOOKUP(Ingresos_Historicos[[#This Row],[contenido]],Estructura!$E$4:$G$18,3,0)</f>
        <v>C-303</v>
      </c>
      <c r="Z654" s="19" t="str">
        <f>+VLOOKUP(Ingresos_Historicos[[#This Row],[Filtro Integrado]],Estructura!$M$4:$O$367,3,0)</f>
        <v>FI-303</v>
      </c>
      <c r="AA654" s="19" t="str">
        <f>+VLOOKUP(Ingresos_Historicos[[#This Row],[Muestra]],Estructura!$Q$4:$S$194,3,0)</f>
        <v>M-311</v>
      </c>
    </row>
    <row r="655" spans="1:27" ht="51" x14ac:dyDescent="0.3">
      <c r="A655" s="32" t="s">
        <v>1041</v>
      </c>
      <c r="B655" s="12">
        <f t="shared" si="125"/>
        <v>300</v>
      </c>
      <c r="C655" s="13" t="str">
        <f t="shared" si="125"/>
        <v>Violencia contra la mujer</v>
      </c>
      <c r="D655" s="13" t="str">
        <f t="shared" si="125"/>
        <v>Mujeres</v>
      </c>
      <c r="E655" s="18">
        <v>270104001</v>
      </c>
      <c r="F655" s="13" t="s">
        <v>7579</v>
      </c>
      <c r="G655" s="13" t="s">
        <v>7576</v>
      </c>
      <c r="H655" s="30" t="s">
        <v>19</v>
      </c>
      <c r="I655" s="31" t="s">
        <v>14</v>
      </c>
      <c r="J655" s="12" t="s">
        <v>398</v>
      </c>
      <c r="K655" s="12" t="s">
        <v>6396</v>
      </c>
      <c r="L655" s="75" t="str">
        <f t="shared" si="126"/>
        <v>Periodo 2013-2019</v>
      </c>
      <c r="M655" s="12" t="s">
        <v>6115</v>
      </c>
      <c r="N655" s="33" t="s">
        <v>5964</v>
      </c>
      <c r="O655" s="72" t="s">
        <v>6421</v>
      </c>
      <c r="P655" s="42" t="s">
        <v>6422</v>
      </c>
      <c r="Q655" s="14" t="s">
        <v>5967</v>
      </c>
      <c r="R655" s="27" t="s">
        <v>6363</v>
      </c>
      <c r="S655" s="15" t="s">
        <v>7050</v>
      </c>
      <c r="T655" s="65" t="s">
        <v>5906</v>
      </c>
      <c r="U655" s="24" t="s">
        <v>397</v>
      </c>
      <c r="V655" s="19" t="str">
        <f>+Ingresos_Historicos[[#This Row],[idcoleccion]]&amp;"-"&amp;Ingresos_Historicos[[#This Row],[id]]</f>
        <v>300-0645</v>
      </c>
      <c r="W655" s="19" t="e">
        <f>+VLOOKUP(Ingresos_Historicos[[#This Row],[Filtro URL]],Estructura!$X$4:$Y$366,2,0)</f>
        <v>#N/A</v>
      </c>
      <c r="X655" s="19" t="str">
        <f>+VLOOKUP(Ingresos_Historicos[[#This Row],[tema]],Estructura!$A$4:$C$18,3,0)</f>
        <v>T-308</v>
      </c>
      <c r="Y655" s="19" t="str">
        <f>+VLOOKUP(Ingresos_Historicos[[#This Row],[contenido]],Estructura!$E$4:$G$18,3,0)</f>
        <v>C-303</v>
      </c>
      <c r="Z655" s="19" t="str">
        <f>+VLOOKUP(Ingresos_Historicos[[#This Row],[Filtro Integrado]],Estructura!$M$4:$O$367,3,0)</f>
        <v>FI-303</v>
      </c>
      <c r="AA655" s="19" t="str">
        <f>+VLOOKUP(Ingresos_Historicos[[#This Row],[Muestra]],Estructura!$Q$4:$S$194,3,0)</f>
        <v>M-311</v>
      </c>
    </row>
    <row r="656" spans="1:27" ht="51" x14ac:dyDescent="0.3">
      <c r="A656" s="32" t="s">
        <v>1042</v>
      </c>
      <c r="B656" s="12">
        <f t="shared" si="125"/>
        <v>300</v>
      </c>
      <c r="C656" s="13" t="str">
        <f t="shared" si="125"/>
        <v>Violencia contra la mujer</v>
      </c>
      <c r="D656" s="13" t="str">
        <f t="shared" si="125"/>
        <v>Mujeres</v>
      </c>
      <c r="E656" s="18">
        <v>270105001</v>
      </c>
      <c r="F656" s="13" t="s">
        <v>7580</v>
      </c>
      <c r="G656" s="13" t="s">
        <v>7576</v>
      </c>
      <c r="H656" s="30" t="s">
        <v>19</v>
      </c>
      <c r="I656" s="31" t="s">
        <v>14</v>
      </c>
      <c r="J656" s="12" t="s">
        <v>398</v>
      </c>
      <c r="K656" s="12" t="s">
        <v>6396</v>
      </c>
      <c r="L656" s="75" t="str">
        <f t="shared" si="126"/>
        <v>Periodo 2013-2019</v>
      </c>
      <c r="M656" s="12" t="str">
        <f t="shared" si="126"/>
        <v>Porcentaje</v>
      </c>
      <c r="N656" s="33" t="s">
        <v>5964</v>
      </c>
      <c r="O656" s="72" t="s">
        <v>6423</v>
      </c>
      <c r="P656" s="42" t="s">
        <v>6424</v>
      </c>
      <c r="Q656" s="14" t="str">
        <f t="shared" si="122"/>
        <v>Gráfico de Evolución</v>
      </c>
      <c r="R656" s="27" t="s">
        <v>6366</v>
      </c>
      <c r="S656" s="15" t="s">
        <v>7051</v>
      </c>
      <c r="T656" s="65" t="s">
        <v>5906</v>
      </c>
      <c r="U656" s="24" t="s">
        <v>397</v>
      </c>
      <c r="V656" s="19" t="str">
        <f>+Ingresos_Historicos[[#This Row],[idcoleccion]]&amp;"-"&amp;Ingresos_Historicos[[#This Row],[id]]</f>
        <v>300-0646</v>
      </c>
      <c r="W656" s="19" t="e">
        <f>+VLOOKUP(Ingresos_Historicos[[#This Row],[Filtro URL]],Estructura!$X$4:$Y$366,2,0)</f>
        <v>#N/A</v>
      </c>
      <c r="X656" s="19" t="str">
        <f>+VLOOKUP(Ingresos_Historicos[[#This Row],[tema]],Estructura!$A$4:$C$18,3,0)</f>
        <v>T-309</v>
      </c>
      <c r="Y656" s="19" t="str">
        <f>+VLOOKUP(Ingresos_Historicos[[#This Row],[contenido]],Estructura!$E$4:$G$18,3,0)</f>
        <v>C-303</v>
      </c>
      <c r="Z656" s="19" t="str">
        <f>+VLOOKUP(Ingresos_Historicos[[#This Row],[Filtro Integrado]],Estructura!$M$4:$O$367,3,0)</f>
        <v>FI-303</v>
      </c>
      <c r="AA656" s="19" t="str">
        <f>+VLOOKUP(Ingresos_Historicos[[#This Row],[Muestra]],Estructura!$Q$4:$S$194,3,0)</f>
        <v>M-311</v>
      </c>
    </row>
    <row r="657" spans="1:27" ht="51" x14ac:dyDescent="0.3">
      <c r="A657" s="32" t="s">
        <v>1043</v>
      </c>
      <c r="B657" s="12">
        <f t="shared" si="125"/>
        <v>300</v>
      </c>
      <c r="C657" s="13" t="str">
        <f t="shared" si="125"/>
        <v>Violencia contra la mujer</v>
      </c>
      <c r="D657" s="13" t="str">
        <f t="shared" si="125"/>
        <v>Mujeres</v>
      </c>
      <c r="E657" s="18">
        <v>270105002</v>
      </c>
      <c r="F657" s="13" t="s">
        <v>7580</v>
      </c>
      <c r="G657" s="13" t="s">
        <v>7576</v>
      </c>
      <c r="H657" s="30" t="s">
        <v>19</v>
      </c>
      <c r="I657" s="31" t="s">
        <v>14</v>
      </c>
      <c r="J657" s="12" t="s">
        <v>398</v>
      </c>
      <c r="K657" s="12" t="s">
        <v>6396</v>
      </c>
      <c r="L657" s="75" t="str">
        <f t="shared" si="126"/>
        <v>Periodo 2013-2019</v>
      </c>
      <c r="M657" s="12" t="str">
        <f t="shared" si="126"/>
        <v>Porcentaje</v>
      </c>
      <c r="N657" s="33" t="s">
        <v>5964</v>
      </c>
      <c r="O657" s="72" t="s">
        <v>6425</v>
      </c>
      <c r="P657" s="42" t="s">
        <v>6426</v>
      </c>
      <c r="Q657" s="14" t="str">
        <f t="shared" si="122"/>
        <v>Gráfico de Evolución</v>
      </c>
      <c r="R657" s="27" t="s">
        <v>6369</v>
      </c>
      <c r="S657" s="15" t="s">
        <v>7052</v>
      </c>
      <c r="T657" s="65" t="s">
        <v>5906</v>
      </c>
      <c r="U657" s="24" t="s">
        <v>397</v>
      </c>
      <c r="V657" s="19" t="str">
        <f>+Ingresos_Historicos[[#This Row],[idcoleccion]]&amp;"-"&amp;Ingresos_Historicos[[#This Row],[id]]</f>
        <v>300-0647</v>
      </c>
      <c r="W657" s="19" t="e">
        <f>+VLOOKUP(Ingresos_Historicos[[#This Row],[Filtro URL]],Estructura!$X$4:$Y$366,2,0)</f>
        <v>#N/A</v>
      </c>
      <c r="X657" s="19" t="str">
        <f>+VLOOKUP(Ingresos_Historicos[[#This Row],[tema]],Estructura!$A$4:$C$18,3,0)</f>
        <v>T-309</v>
      </c>
      <c r="Y657" s="19" t="str">
        <f>+VLOOKUP(Ingresos_Historicos[[#This Row],[contenido]],Estructura!$E$4:$G$18,3,0)</f>
        <v>C-303</v>
      </c>
      <c r="Z657" s="19" t="str">
        <f>+VLOOKUP(Ingresos_Historicos[[#This Row],[Filtro Integrado]],Estructura!$M$4:$O$367,3,0)</f>
        <v>FI-303</v>
      </c>
      <c r="AA657" s="19" t="str">
        <f>+VLOOKUP(Ingresos_Historicos[[#This Row],[Muestra]],Estructura!$Q$4:$S$194,3,0)</f>
        <v>M-311</v>
      </c>
    </row>
    <row r="658" spans="1:27" ht="40.799999999999997" x14ac:dyDescent="0.3">
      <c r="A658" s="32" t="s">
        <v>1044</v>
      </c>
      <c r="B658" s="12">
        <f t="shared" si="125"/>
        <v>300</v>
      </c>
      <c r="C658" s="13" t="str">
        <f t="shared" si="125"/>
        <v>Violencia contra la mujer</v>
      </c>
      <c r="D658" s="13" t="str">
        <f t="shared" si="125"/>
        <v>Mujeres</v>
      </c>
      <c r="E658" s="18">
        <v>270105003</v>
      </c>
      <c r="F658" s="13" t="s">
        <v>7580</v>
      </c>
      <c r="G658" s="13" t="s">
        <v>7576</v>
      </c>
      <c r="H658" s="30" t="s">
        <v>19</v>
      </c>
      <c r="I658" s="31" t="s">
        <v>14</v>
      </c>
      <c r="J658" s="12" t="s">
        <v>398</v>
      </c>
      <c r="K658" s="12" t="s">
        <v>6396</v>
      </c>
      <c r="L658" s="75" t="str">
        <f t="shared" si="126"/>
        <v>Periodo 2013-2019</v>
      </c>
      <c r="M658" s="12" t="str">
        <f t="shared" si="126"/>
        <v>Porcentaje</v>
      </c>
      <c r="N658" s="33" t="s">
        <v>5964</v>
      </c>
      <c r="O658" s="72" t="s">
        <v>6427</v>
      </c>
      <c r="P658" s="42" t="s">
        <v>6428</v>
      </c>
      <c r="Q658" s="14" t="str">
        <f t="shared" si="122"/>
        <v>Gráfico de Evolución</v>
      </c>
      <c r="R658" s="27" t="s">
        <v>6372</v>
      </c>
      <c r="S658" s="15" t="s">
        <v>7053</v>
      </c>
      <c r="T658" s="65" t="s">
        <v>5906</v>
      </c>
      <c r="U658" s="24" t="s">
        <v>397</v>
      </c>
      <c r="V658" s="19" t="str">
        <f>+Ingresos_Historicos[[#This Row],[idcoleccion]]&amp;"-"&amp;Ingresos_Historicos[[#This Row],[id]]</f>
        <v>300-0648</v>
      </c>
      <c r="W658" s="19" t="e">
        <f>+VLOOKUP(Ingresos_Historicos[[#This Row],[Filtro URL]],Estructura!$X$4:$Y$366,2,0)</f>
        <v>#N/A</v>
      </c>
      <c r="X658" s="19" t="str">
        <f>+VLOOKUP(Ingresos_Historicos[[#This Row],[tema]],Estructura!$A$4:$C$18,3,0)</f>
        <v>T-309</v>
      </c>
      <c r="Y658" s="19" t="str">
        <f>+VLOOKUP(Ingresos_Historicos[[#This Row],[contenido]],Estructura!$E$4:$G$18,3,0)</f>
        <v>C-303</v>
      </c>
      <c r="Z658" s="19" t="str">
        <f>+VLOOKUP(Ingresos_Historicos[[#This Row],[Filtro Integrado]],Estructura!$M$4:$O$367,3,0)</f>
        <v>FI-303</v>
      </c>
      <c r="AA658" s="19" t="str">
        <f>+VLOOKUP(Ingresos_Historicos[[#This Row],[Muestra]],Estructura!$Q$4:$S$194,3,0)</f>
        <v>M-311</v>
      </c>
    </row>
    <row r="659" spans="1:27" ht="51" x14ac:dyDescent="0.3">
      <c r="A659" s="32" t="s">
        <v>1045</v>
      </c>
      <c r="B659" s="12">
        <f t="shared" si="125"/>
        <v>300</v>
      </c>
      <c r="C659" s="13" t="str">
        <f t="shared" si="125"/>
        <v>Violencia contra la mujer</v>
      </c>
      <c r="D659" s="13" t="str">
        <f t="shared" si="125"/>
        <v>Mujeres</v>
      </c>
      <c r="E659" s="18">
        <v>270104001</v>
      </c>
      <c r="F659" s="13" t="s">
        <v>7579</v>
      </c>
      <c r="G659" s="13" t="s">
        <v>7576</v>
      </c>
      <c r="H659" s="30" t="s">
        <v>19</v>
      </c>
      <c r="I659" s="31" t="s">
        <v>14</v>
      </c>
      <c r="J659" s="12" t="s">
        <v>398</v>
      </c>
      <c r="K659" s="12" t="s">
        <v>6396</v>
      </c>
      <c r="L659" s="75" t="s">
        <v>5962</v>
      </c>
      <c r="M659" s="12" t="s">
        <v>6115</v>
      </c>
      <c r="N659" s="33" t="s">
        <v>5964</v>
      </c>
      <c r="O659" s="72" t="s">
        <v>6429</v>
      </c>
      <c r="P659" s="42" t="s">
        <v>6430</v>
      </c>
      <c r="Q659" s="14" t="s">
        <v>5967</v>
      </c>
      <c r="R659" s="27" t="s">
        <v>6386</v>
      </c>
      <c r="S659" s="15" t="s">
        <v>7054</v>
      </c>
      <c r="T659" s="65" t="s">
        <v>5951</v>
      </c>
      <c r="U659" s="24" t="s">
        <v>397</v>
      </c>
      <c r="V659" s="19" t="str">
        <f>+Ingresos_Historicos[[#This Row],[idcoleccion]]&amp;"-"&amp;Ingresos_Historicos[[#This Row],[id]]</f>
        <v>300-0649</v>
      </c>
      <c r="W659" s="19" t="e">
        <f>+VLOOKUP(Ingresos_Historicos[[#This Row],[Filtro URL]],Estructura!$X$4:$Y$366,2,0)</f>
        <v>#N/A</v>
      </c>
      <c r="X659" s="19" t="str">
        <f>+VLOOKUP(Ingresos_Historicos[[#This Row],[tema]],Estructura!$A$4:$C$18,3,0)</f>
        <v>T-308</v>
      </c>
      <c r="Y659" s="19" t="str">
        <f>+VLOOKUP(Ingresos_Historicos[[#This Row],[contenido]],Estructura!$E$4:$G$18,3,0)</f>
        <v>C-303</v>
      </c>
      <c r="Z659" s="19" t="str">
        <f>+VLOOKUP(Ingresos_Historicos[[#This Row],[Filtro Integrado]],Estructura!$M$4:$O$367,3,0)</f>
        <v>FI-303</v>
      </c>
      <c r="AA659" s="19" t="str">
        <f>+VLOOKUP(Ingresos_Historicos[[#This Row],[Muestra]],Estructura!$Q$4:$S$194,3,0)</f>
        <v>M-311</v>
      </c>
    </row>
    <row r="660" spans="1:27" ht="51" x14ac:dyDescent="0.3">
      <c r="A660" s="32" t="s">
        <v>1046</v>
      </c>
      <c r="B660" s="12">
        <f t="shared" si="125"/>
        <v>300</v>
      </c>
      <c r="C660" s="13" t="str">
        <f t="shared" si="125"/>
        <v>Violencia contra la mujer</v>
      </c>
      <c r="D660" s="13" t="str">
        <f t="shared" si="125"/>
        <v>Mujeres</v>
      </c>
      <c r="E660" s="18">
        <v>270103</v>
      </c>
      <c r="F660" s="13" t="s">
        <v>7577</v>
      </c>
      <c r="G660" s="13" t="s">
        <v>7576</v>
      </c>
      <c r="H660" s="30" t="s">
        <v>19</v>
      </c>
      <c r="I660" s="31" t="s">
        <v>14</v>
      </c>
      <c r="J660" s="12" t="s">
        <v>398</v>
      </c>
      <c r="K660" s="12" t="s">
        <v>6191</v>
      </c>
      <c r="L660" s="75" t="s">
        <v>5962</v>
      </c>
      <c r="M660" s="12" t="s">
        <v>5963</v>
      </c>
      <c r="N660" s="33" t="s">
        <v>5964</v>
      </c>
      <c r="O660" s="72" t="s">
        <v>6431</v>
      </c>
      <c r="P660" s="42" t="s">
        <v>6432</v>
      </c>
      <c r="Q660" s="14" t="s">
        <v>5967</v>
      </c>
      <c r="R660" s="27" t="s">
        <v>6433</v>
      </c>
      <c r="S660" s="15" t="s">
        <v>7055</v>
      </c>
      <c r="T660" s="65" t="s">
        <v>5951</v>
      </c>
      <c r="U660" s="24" t="s">
        <v>397</v>
      </c>
      <c r="V660" s="19" t="str">
        <f>+Ingresos_Historicos[[#This Row],[idcoleccion]]&amp;"-"&amp;Ingresos_Historicos[[#This Row],[id]]</f>
        <v>300-0650</v>
      </c>
      <c r="W660" s="19" t="e">
        <f>+VLOOKUP(Ingresos_Historicos[[#This Row],[Filtro URL]],Estructura!$X$4:$Y$366,2,0)</f>
        <v>#N/A</v>
      </c>
      <c r="X660" s="19" t="str">
        <f>+VLOOKUP(Ingresos_Historicos[[#This Row],[tema]],Estructura!$A$4:$C$18,3,0)</f>
        <v>T-307</v>
      </c>
      <c r="Y660" s="19" t="str">
        <f>+VLOOKUP(Ingresos_Historicos[[#This Row],[contenido]],Estructura!$E$4:$G$18,3,0)</f>
        <v>C-303</v>
      </c>
      <c r="Z660" s="19" t="str">
        <f>+VLOOKUP(Ingresos_Historicos[[#This Row],[Filtro Integrado]],Estructura!$M$4:$O$367,3,0)</f>
        <v>FI-303</v>
      </c>
      <c r="AA660" s="19" t="str">
        <f>+VLOOKUP(Ingresos_Historicos[[#This Row],[Muestra]],Estructura!$Q$4:$S$194,3,0)</f>
        <v>M-310</v>
      </c>
    </row>
    <row r="661" spans="1:27" ht="51" x14ac:dyDescent="0.3">
      <c r="A661" s="32" t="s">
        <v>1047</v>
      </c>
      <c r="B661" s="12">
        <f t="shared" si="125"/>
        <v>300</v>
      </c>
      <c r="C661" s="13" t="str">
        <f t="shared" si="125"/>
        <v>Violencia contra la mujer</v>
      </c>
      <c r="D661" s="13" t="str">
        <f t="shared" si="125"/>
        <v>Mujeres</v>
      </c>
      <c r="E661" s="18">
        <v>270104</v>
      </c>
      <c r="F661" s="13" t="s">
        <v>7579</v>
      </c>
      <c r="G661" s="13" t="s">
        <v>7576</v>
      </c>
      <c r="H661" s="30" t="s">
        <v>19</v>
      </c>
      <c r="I661" s="31" t="s">
        <v>14</v>
      </c>
      <c r="J661" s="12" t="s">
        <v>398</v>
      </c>
      <c r="K661" s="12" t="s">
        <v>6191</v>
      </c>
      <c r="L661" s="75" t="str">
        <f t="shared" si="126"/>
        <v>Periodo 2013-2019</v>
      </c>
      <c r="M661" s="12" t="str">
        <f t="shared" si="126"/>
        <v>Número de sentencias</v>
      </c>
      <c r="N661" s="33" t="s">
        <v>5964</v>
      </c>
      <c r="O661" s="72" t="s">
        <v>6434</v>
      </c>
      <c r="P661" s="42" t="s">
        <v>6435</v>
      </c>
      <c r="Q661" s="14" t="str">
        <f>+Q660</f>
        <v>Gráfico de Evolución</v>
      </c>
      <c r="R661" s="27" t="s">
        <v>6436</v>
      </c>
      <c r="S661" s="15" t="s">
        <v>7056</v>
      </c>
      <c r="T661" s="65" t="s">
        <v>5951</v>
      </c>
      <c r="U661" s="24" t="s">
        <v>397</v>
      </c>
      <c r="V661" s="19" t="str">
        <f>+Ingresos_Historicos[[#This Row],[idcoleccion]]&amp;"-"&amp;Ingresos_Historicos[[#This Row],[id]]</f>
        <v>300-0651</v>
      </c>
      <c r="W661" s="19" t="e">
        <f>+VLOOKUP(Ingresos_Historicos[[#This Row],[Filtro URL]],Estructura!$X$4:$Y$366,2,0)</f>
        <v>#N/A</v>
      </c>
      <c r="X661" s="19" t="str">
        <f>+VLOOKUP(Ingresos_Historicos[[#This Row],[tema]],Estructura!$A$4:$C$18,3,0)</f>
        <v>T-308</v>
      </c>
      <c r="Y661" s="19" t="str">
        <f>+VLOOKUP(Ingresos_Historicos[[#This Row],[contenido]],Estructura!$E$4:$G$18,3,0)</f>
        <v>C-303</v>
      </c>
      <c r="Z661" s="19" t="str">
        <f>+VLOOKUP(Ingresos_Historicos[[#This Row],[Filtro Integrado]],Estructura!$M$4:$O$367,3,0)</f>
        <v>FI-303</v>
      </c>
      <c r="AA661" s="19" t="str">
        <f>+VLOOKUP(Ingresos_Historicos[[#This Row],[Muestra]],Estructura!$Q$4:$S$194,3,0)</f>
        <v>M-310</v>
      </c>
    </row>
    <row r="662" spans="1:27" ht="51" x14ac:dyDescent="0.3">
      <c r="A662" s="32" t="s">
        <v>1048</v>
      </c>
      <c r="B662" s="12">
        <f t="shared" ref="B662:D667" si="127">+B661</f>
        <v>300</v>
      </c>
      <c r="C662" s="13" t="str">
        <f t="shared" si="127"/>
        <v>Violencia contra la mujer</v>
      </c>
      <c r="D662" s="13" t="str">
        <f t="shared" si="127"/>
        <v>Mujeres</v>
      </c>
      <c r="E662" s="18">
        <v>270105</v>
      </c>
      <c r="F662" s="13" t="s">
        <v>7580</v>
      </c>
      <c r="G662" s="13" t="s">
        <v>7576</v>
      </c>
      <c r="H662" s="30" t="s">
        <v>19</v>
      </c>
      <c r="I662" s="31" t="s">
        <v>14</v>
      </c>
      <c r="J662" s="12" t="s">
        <v>398</v>
      </c>
      <c r="K662" s="12" t="s">
        <v>6191</v>
      </c>
      <c r="L662" s="75" t="str">
        <f t="shared" si="126"/>
        <v>Periodo 2013-2019</v>
      </c>
      <c r="M662" s="12" t="str">
        <f t="shared" si="126"/>
        <v>Número de sentencias</v>
      </c>
      <c r="N662" s="33" t="s">
        <v>5964</v>
      </c>
      <c r="O662" s="72" t="s">
        <v>6437</v>
      </c>
      <c r="P662" s="42" t="s">
        <v>6438</v>
      </c>
      <c r="Q662" s="14" t="str">
        <f>+Q661</f>
        <v>Gráfico de Evolución</v>
      </c>
      <c r="R662" s="27" t="s">
        <v>6439</v>
      </c>
      <c r="S662" s="15" t="s">
        <v>7057</v>
      </c>
      <c r="T662" s="65" t="s">
        <v>5951</v>
      </c>
      <c r="U662" s="24" t="s">
        <v>397</v>
      </c>
      <c r="V662" s="19" t="str">
        <f>+Ingresos_Historicos[[#This Row],[idcoleccion]]&amp;"-"&amp;Ingresos_Historicos[[#This Row],[id]]</f>
        <v>300-0652</v>
      </c>
      <c r="W662" s="19" t="e">
        <f>+VLOOKUP(Ingresos_Historicos[[#This Row],[Filtro URL]],Estructura!$X$4:$Y$366,2,0)</f>
        <v>#N/A</v>
      </c>
      <c r="X662" s="19" t="str">
        <f>+VLOOKUP(Ingresos_Historicos[[#This Row],[tema]],Estructura!$A$4:$C$18,3,0)</f>
        <v>T-309</v>
      </c>
      <c r="Y662" s="19" t="str">
        <f>+VLOOKUP(Ingresos_Historicos[[#This Row],[contenido]],Estructura!$E$4:$G$18,3,0)</f>
        <v>C-303</v>
      </c>
      <c r="Z662" s="19" t="str">
        <f>+VLOOKUP(Ingresos_Historicos[[#This Row],[Filtro Integrado]],Estructura!$M$4:$O$367,3,0)</f>
        <v>FI-303</v>
      </c>
      <c r="AA662" s="19" t="str">
        <f>+VLOOKUP(Ingresos_Historicos[[#This Row],[Muestra]],Estructura!$Q$4:$S$194,3,0)</f>
        <v>M-310</v>
      </c>
    </row>
    <row r="663" spans="1:27" ht="51" x14ac:dyDescent="0.3">
      <c r="A663" s="32" t="s">
        <v>1049</v>
      </c>
      <c r="B663" s="12">
        <f t="shared" si="127"/>
        <v>300</v>
      </c>
      <c r="C663" s="13" t="str">
        <f t="shared" si="127"/>
        <v>Violencia contra la mujer</v>
      </c>
      <c r="D663" s="13" t="str">
        <f t="shared" si="127"/>
        <v>Mujeres</v>
      </c>
      <c r="E663" s="18">
        <v>270103</v>
      </c>
      <c r="F663" s="13" t="s">
        <v>7577</v>
      </c>
      <c r="G663" s="13" t="s">
        <v>7576</v>
      </c>
      <c r="H663" s="30" t="s">
        <v>19</v>
      </c>
      <c r="I663" s="31" t="s">
        <v>14</v>
      </c>
      <c r="J663" s="12" t="s">
        <v>398</v>
      </c>
      <c r="K663" s="12" t="s">
        <v>6191</v>
      </c>
      <c r="L663" s="75" t="str">
        <f t="shared" si="126"/>
        <v>Periodo 2013-2019</v>
      </c>
      <c r="M663" s="12" t="str">
        <f t="shared" si="126"/>
        <v>Número de sentencias</v>
      </c>
      <c r="N663" s="33" t="s">
        <v>5964</v>
      </c>
      <c r="O663" s="72" t="s">
        <v>6440</v>
      </c>
      <c r="P663" s="42" t="s">
        <v>6441</v>
      </c>
      <c r="Q663" s="14" t="str">
        <f>+Q662</f>
        <v>Gráfico de Evolución</v>
      </c>
      <c r="R663" s="27" t="s">
        <v>6442</v>
      </c>
      <c r="S663" s="15" t="s">
        <v>7058</v>
      </c>
      <c r="T663" s="65">
        <v>0</v>
      </c>
      <c r="U663" s="24" t="s">
        <v>397</v>
      </c>
      <c r="V663" s="19" t="str">
        <f>+Ingresos_Historicos[[#This Row],[idcoleccion]]&amp;"-"&amp;Ingresos_Historicos[[#This Row],[id]]</f>
        <v>300-0653</v>
      </c>
      <c r="W663" s="19" t="e">
        <f>+VLOOKUP(Ingresos_Historicos[[#This Row],[Filtro URL]],Estructura!$X$4:$Y$366,2,0)</f>
        <v>#N/A</v>
      </c>
      <c r="X663" s="19" t="str">
        <f>+VLOOKUP(Ingresos_Historicos[[#This Row],[tema]],Estructura!$A$4:$C$18,3,0)</f>
        <v>T-307</v>
      </c>
      <c r="Y663" s="19" t="str">
        <f>+VLOOKUP(Ingresos_Historicos[[#This Row],[contenido]],Estructura!$E$4:$G$18,3,0)</f>
        <v>C-303</v>
      </c>
      <c r="Z663" s="19" t="str">
        <f>+VLOOKUP(Ingresos_Historicos[[#This Row],[Filtro Integrado]],Estructura!$M$4:$O$367,3,0)</f>
        <v>FI-303</v>
      </c>
      <c r="AA663" s="19" t="str">
        <f>+VLOOKUP(Ingresos_Historicos[[#This Row],[Muestra]],Estructura!$Q$4:$S$194,3,0)</f>
        <v>M-310</v>
      </c>
    </row>
    <row r="664" spans="1:27" ht="51" x14ac:dyDescent="0.3">
      <c r="A664" s="32" t="s">
        <v>1050</v>
      </c>
      <c r="B664" s="12">
        <f t="shared" si="127"/>
        <v>300</v>
      </c>
      <c r="C664" s="13" t="str">
        <f t="shared" si="127"/>
        <v>Violencia contra la mujer</v>
      </c>
      <c r="D664" s="13" t="str">
        <f t="shared" si="127"/>
        <v>Mujeres</v>
      </c>
      <c r="E664" s="18">
        <v>270104</v>
      </c>
      <c r="F664" s="13" t="s">
        <v>7579</v>
      </c>
      <c r="G664" s="13" t="s">
        <v>7576</v>
      </c>
      <c r="H664" s="30" t="s">
        <v>19</v>
      </c>
      <c r="I664" s="31" t="s">
        <v>14</v>
      </c>
      <c r="J664" s="12" t="s">
        <v>398</v>
      </c>
      <c r="K664" s="12" t="s">
        <v>6191</v>
      </c>
      <c r="L664" s="75" t="str">
        <f t="shared" ref="L664:M665" si="128">+L663</f>
        <v>Periodo 2013-2019</v>
      </c>
      <c r="M664" s="12" t="str">
        <f t="shared" si="128"/>
        <v>Número de sentencias</v>
      </c>
      <c r="N664" s="33" t="s">
        <v>5964</v>
      </c>
      <c r="O664" s="72" t="s">
        <v>6443</v>
      </c>
      <c r="P664" s="42" t="s">
        <v>6444</v>
      </c>
      <c r="Q664" s="14" t="str">
        <f>+Q663</f>
        <v>Gráfico de Evolución</v>
      </c>
      <c r="R664" s="27" t="s">
        <v>6445</v>
      </c>
      <c r="S664" s="15" t="s">
        <v>7059</v>
      </c>
      <c r="T664" s="65">
        <v>0</v>
      </c>
      <c r="U664" s="24" t="s">
        <v>397</v>
      </c>
      <c r="V664" s="19" t="str">
        <f>+Ingresos_Historicos[[#This Row],[idcoleccion]]&amp;"-"&amp;Ingresos_Historicos[[#This Row],[id]]</f>
        <v>300-0654</v>
      </c>
      <c r="W664" s="19" t="e">
        <f>+VLOOKUP(Ingresos_Historicos[[#This Row],[Filtro URL]],Estructura!$X$4:$Y$366,2,0)</f>
        <v>#N/A</v>
      </c>
      <c r="X664" s="19" t="str">
        <f>+VLOOKUP(Ingresos_Historicos[[#This Row],[tema]],Estructura!$A$4:$C$18,3,0)</f>
        <v>T-308</v>
      </c>
      <c r="Y664" s="19" t="str">
        <f>+VLOOKUP(Ingresos_Historicos[[#This Row],[contenido]],Estructura!$E$4:$G$18,3,0)</f>
        <v>C-303</v>
      </c>
      <c r="Z664" s="19" t="str">
        <f>+VLOOKUP(Ingresos_Historicos[[#This Row],[Filtro Integrado]],Estructura!$M$4:$O$367,3,0)</f>
        <v>FI-303</v>
      </c>
      <c r="AA664" s="19" t="str">
        <f>+VLOOKUP(Ingresos_Historicos[[#This Row],[Muestra]],Estructura!$Q$4:$S$194,3,0)</f>
        <v>M-310</v>
      </c>
    </row>
    <row r="665" spans="1:27" ht="51" x14ac:dyDescent="0.3">
      <c r="A665" s="32" t="s">
        <v>1051</v>
      </c>
      <c r="B665" s="12">
        <f t="shared" si="127"/>
        <v>300</v>
      </c>
      <c r="C665" s="13" t="str">
        <f t="shared" si="127"/>
        <v>Violencia contra la mujer</v>
      </c>
      <c r="D665" s="13" t="str">
        <f t="shared" si="127"/>
        <v>Mujeres</v>
      </c>
      <c r="E665" s="18">
        <v>270105</v>
      </c>
      <c r="F665" s="13" t="s">
        <v>7580</v>
      </c>
      <c r="G665" s="13" t="s">
        <v>7576</v>
      </c>
      <c r="H665" s="30" t="s">
        <v>19</v>
      </c>
      <c r="I665" s="31" t="s">
        <v>14</v>
      </c>
      <c r="J665" s="12" t="s">
        <v>398</v>
      </c>
      <c r="K665" s="12" t="s">
        <v>6191</v>
      </c>
      <c r="L665" s="75" t="str">
        <f t="shared" si="128"/>
        <v>Periodo 2013-2019</v>
      </c>
      <c r="M665" s="12" t="str">
        <f t="shared" si="128"/>
        <v>Número de sentencias</v>
      </c>
      <c r="N665" s="33" t="s">
        <v>5964</v>
      </c>
      <c r="O665" s="72" t="s">
        <v>6446</v>
      </c>
      <c r="P665" s="42" t="s">
        <v>6447</v>
      </c>
      <c r="Q665" s="14" t="str">
        <f>+Q664</f>
        <v>Gráfico de Evolución</v>
      </c>
      <c r="R665" s="27" t="s">
        <v>6448</v>
      </c>
      <c r="S665" s="15" t="s">
        <v>7060</v>
      </c>
      <c r="T665" s="65">
        <v>0</v>
      </c>
      <c r="U665" s="24" t="s">
        <v>397</v>
      </c>
      <c r="V665" s="19" t="str">
        <f>+Ingresos_Historicos[[#This Row],[idcoleccion]]&amp;"-"&amp;Ingresos_Historicos[[#This Row],[id]]</f>
        <v>300-0655</v>
      </c>
      <c r="W665" s="19" t="e">
        <f>+VLOOKUP(Ingresos_Historicos[[#This Row],[Filtro URL]],Estructura!$X$4:$Y$366,2,0)</f>
        <v>#N/A</v>
      </c>
      <c r="X665" s="19" t="str">
        <f>+VLOOKUP(Ingresos_Historicos[[#This Row],[tema]],Estructura!$A$4:$C$18,3,0)</f>
        <v>T-309</v>
      </c>
      <c r="Y665" s="19" t="str">
        <f>+VLOOKUP(Ingresos_Historicos[[#This Row],[contenido]],Estructura!$E$4:$G$18,3,0)</f>
        <v>C-303</v>
      </c>
      <c r="Z665" s="19" t="str">
        <f>+VLOOKUP(Ingresos_Historicos[[#This Row],[Filtro Integrado]],Estructura!$M$4:$O$367,3,0)</f>
        <v>FI-303</v>
      </c>
      <c r="AA665" s="19" t="str">
        <f>+VLOOKUP(Ingresos_Historicos[[#This Row],[Muestra]],Estructura!$Q$4:$S$194,3,0)</f>
        <v>M-310</v>
      </c>
    </row>
    <row r="666" spans="1:27" ht="40.799999999999997" x14ac:dyDescent="0.3">
      <c r="A666" s="32" t="s">
        <v>1052</v>
      </c>
      <c r="B666" s="12">
        <f t="shared" si="127"/>
        <v>300</v>
      </c>
      <c r="C666" s="13" t="str">
        <f t="shared" si="127"/>
        <v>Violencia contra la mujer</v>
      </c>
      <c r="D666" s="13" t="str">
        <f t="shared" si="127"/>
        <v>Mujeres</v>
      </c>
      <c r="E666" s="18">
        <v>0</v>
      </c>
      <c r="F666" s="13" t="s">
        <v>7581</v>
      </c>
      <c r="G666" s="13" t="s">
        <v>7576</v>
      </c>
      <c r="H666" s="30" t="s">
        <v>19</v>
      </c>
      <c r="I666" s="31" t="s">
        <v>14</v>
      </c>
      <c r="J666" s="12" t="s">
        <v>15</v>
      </c>
      <c r="K666" s="12" t="s">
        <v>6148</v>
      </c>
      <c r="L666" s="75" t="s">
        <v>5962</v>
      </c>
      <c r="M666" s="12" t="s">
        <v>5963</v>
      </c>
      <c r="N666" s="33" t="s">
        <v>5964</v>
      </c>
      <c r="O666" s="72" t="s">
        <v>6449</v>
      </c>
      <c r="P666" s="42" t="s">
        <v>6450</v>
      </c>
      <c r="Q666" s="14" t="s">
        <v>6151</v>
      </c>
      <c r="R666" s="27" t="s">
        <v>6451</v>
      </c>
      <c r="S666" s="15" t="s">
        <v>7061</v>
      </c>
      <c r="T666" s="65" t="s">
        <v>5906</v>
      </c>
      <c r="U666" s="24" t="s">
        <v>397</v>
      </c>
      <c r="V666" s="19" t="str">
        <f>+Ingresos_Historicos[[#This Row],[idcoleccion]]&amp;"-"&amp;Ingresos_Historicos[[#This Row],[id]]</f>
        <v>300-0656</v>
      </c>
      <c r="W666" s="19">
        <f>+VLOOKUP(Ingresos_Historicos[[#This Row],[Filtro URL]],Estructura!$X$4:$Y$366,2,0)</f>
        <v>30100000</v>
      </c>
      <c r="X666" s="19" t="str">
        <f>+VLOOKUP(Ingresos_Historicos[[#This Row],[tema]],Estructura!$A$4:$C$18,3,0)</f>
        <v>T-310</v>
      </c>
      <c r="Y666" s="19" t="str">
        <f>+VLOOKUP(Ingresos_Historicos[[#This Row],[contenido]],Estructura!$E$4:$G$18,3,0)</f>
        <v>C-303</v>
      </c>
      <c r="Z666" s="19" t="str">
        <f>+VLOOKUP(Ingresos_Historicos[[#This Row],[Filtro Integrado]],Estructura!$M$4:$O$367,3,0)</f>
        <v>FI-302</v>
      </c>
      <c r="AA666" s="19" t="str">
        <f>+VLOOKUP(Ingresos_Historicos[[#This Row],[Muestra]],Estructura!$Q$4:$S$194,3,0)</f>
        <v>M-308</v>
      </c>
    </row>
    <row r="667" spans="1:27" ht="40.799999999999997" x14ac:dyDescent="0.3">
      <c r="A667" s="32" t="s">
        <v>1053</v>
      </c>
      <c r="B667" s="56">
        <f t="shared" si="127"/>
        <v>300</v>
      </c>
      <c r="C667" s="57" t="str">
        <f t="shared" si="127"/>
        <v>Violencia contra la mujer</v>
      </c>
      <c r="D667" s="57" t="str">
        <f t="shared" si="127"/>
        <v>Mujeres</v>
      </c>
      <c r="E667" s="18">
        <v>0</v>
      </c>
      <c r="F667" s="57" t="s">
        <v>7581</v>
      </c>
      <c r="G667" s="13" t="s">
        <v>7576</v>
      </c>
      <c r="H667" s="30" t="s">
        <v>19</v>
      </c>
      <c r="I667" s="31" t="s">
        <v>14</v>
      </c>
      <c r="J667" s="56" t="s">
        <v>15</v>
      </c>
      <c r="K667" s="56" t="s">
        <v>6169</v>
      </c>
      <c r="L667" s="76" t="s">
        <v>6170</v>
      </c>
      <c r="M667" s="56" t="s">
        <v>5963</v>
      </c>
      <c r="N667" s="60" t="s">
        <v>5964</v>
      </c>
      <c r="O667" s="73" t="s">
        <v>6452</v>
      </c>
      <c r="P667" s="61" t="s">
        <v>6453</v>
      </c>
      <c r="Q667" s="62" t="s">
        <v>6151</v>
      </c>
      <c r="R667" s="34" t="s">
        <v>6454</v>
      </c>
      <c r="S667" s="70" t="s">
        <v>7062</v>
      </c>
      <c r="T667" s="66" t="s">
        <v>5906</v>
      </c>
      <c r="U667" s="24" t="s">
        <v>397</v>
      </c>
      <c r="V667" s="19" t="str">
        <f>+Ingresos_Historicos[[#This Row],[idcoleccion]]&amp;"-"&amp;Ingresos_Historicos[[#This Row],[id]]</f>
        <v>300-0657</v>
      </c>
      <c r="W667" s="19">
        <f>+VLOOKUP(Ingresos_Historicos[[#This Row],[Filtro URL]],Estructura!$X$4:$Y$366,2,0)</f>
        <v>30100000</v>
      </c>
      <c r="X667" s="19" t="str">
        <f>+VLOOKUP(Ingresos_Historicos[[#This Row],[tema]],Estructura!$A$4:$C$18,3,0)</f>
        <v>T-310</v>
      </c>
      <c r="Y667" s="19" t="str">
        <f>+VLOOKUP(Ingresos_Historicos[[#This Row],[contenido]],Estructura!$E$4:$G$18,3,0)</f>
        <v>C-303</v>
      </c>
      <c r="Z667" s="19" t="str">
        <f>+VLOOKUP(Ingresos_Historicos[[#This Row],[Filtro Integrado]],Estructura!$M$4:$O$367,3,0)</f>
        <v>FI-302</v>
      </c>
      <c r="AA667" s="19" t="str">
        <f>+VLOOKUP(Ingresos_Historicos[[#This Row],[Muestra]],Estructura!$Q$4:$S$194,3,0)</f>
        <v>M-309</v>
      </c>
    </row>
    <row r="668" spans="1:27" ht="40.799999999999997" x14ac:dyDescent="0.3">
      <c r="A668" s="32" t="s">
        <v>1054</v>
      </c>
      <c r="B668" s="81">
        <v>300</v>
      </c>
      <c r="C668" s="13" t="s">
        <v>5839</v>
      </c>
      <c r="D668" s="13" t="s">
        <v>5847</v>
      </c>
      <c r="E668" s="18">
        <v>0</v>
      </c>
      <c r="F668" s="55" t="s">
        <v>7584</v>
      </c>
      <c r="G668" s="55" t="s">
        <v>7583</v>
      </c>
      <c r="H668" s="30" t="s">
        <v>19</v>
      </c>
      <c r="I668" s="31" t="s">
        <v>14</v>
      </c>
      <c r="J668" s="12" t="s">
        <v>398</v>
      </c>
      <c r="K668" s="12" t="s">
        <v>7585</v>
      </c>
      <c r="L668" s="12" t="s">
        <v>7586</v>
      </c>
      <c r="M668" s="12" t="s">
        <v>5865</v>
      </c>
      <c r="N668" s="33" t="s">
        <v>7587</v>
      </c>
      <c r="O668" s="27" t="s">
        <v>7588</v>
      </c>
      <c r="P668" s="42" t="s">
        <v>7589</v>
      </c>
      <c r="Q668" s="14" t="s">
        <v>5967</v>
      </c>
      <c r="R668" s="90" t="s">
        <v>7590</v>
      </c>
      <c r="S668" s="15" t="s">
        <v>7591</v>
      </c>
      <c r="T668" s="65" t="s">
        <v>5906</v>
      </c>
      <c r="U668" s="24" t="s">
        <v>397</v>
      </c>
      <c r="V668" s="19" t="str">
        <f>+Ingresos_Historicos[[#This Row],[idcoleccion]]&amp;"-"&amp;Ingresos_Historicos[[#This Row],[id]]</f>
        <v>300-0658</v>
      </c>
      <c r="W668" s="19">
        <f>+VLOOKUP(Ingresos_Historicos[[#This Row],[Filtro URL]],Estructura!$X$4:$Y$366,2,0)</f>
        <v>30100000</v>
      </c>
      <c r="X668" s="19" t="str">
        <f>+VLOOKUP(Ingresos_Historicos[[#This Row],[tema]],Estructura!$A$4:$C$18,3,0)</f>
        <v>T-312</v>
      </c>
      <c r="Y668" s="19" t="str">
        <f>+VLOOKUP(Ingresos_Historicos[[#This Row],[contenido]],Estructura!$E$4:$G$18,3,0)</f>
        <v>C-304</v>
      </c>
      <c r="Z668" s="19" t="str">
        <f>+VLOOKUP(Ingresos_Historicos[[#This Row],[Filtro Integrado]],Estructura!$M$4:$O$367,3,0)</f>
        <v>FI-303</v>
      </c>
      <c r="AA668" s="19" t="str">
        <f>+VLOOKUP(Ingresos_Historicos[[#This Row],[Muestra]],Estructura!$Q$4:$S$194,3,0)</f>
        <v>M-312</v>
      </c>
    </row>
    <row r="669" spans="1:27" ht="51" x14ac:dyDescent="0.3">
      <c r="A669" s="32" t="s">
        <v>1055</v>
      </c>
      <c r="B669" s="79">
        <v>300</v>
      </c>
      <c r="C669" s="13" t="s">
        <v>5839</v>
      </c>
      <c r="D669" s="13" t="s">
        <v>5847</v>
      </c>
      <c r="E669" s="18">
        <v>0</v>
      </c>
      <c r="F669" s="55" t="s">
        <v>7592</v>
      </c>
      <c r="G669" s="55" t="s">
        <v>7583</v>
      </c>
      <c r="H669" s="30" t="s">
        <v>19</v>
      </c>
      <c r="I669" s="31" t="s">
        <v>14</v>
      </c>
      <c r="J669" s="12" t="s">
        <v>398</v>
      </c>
      <c r="K669" s="12" t="s">
        <v>7585</v>
      </c>
      <c r="L669" s="12" t="s">
        <v>7586</v>
      </c>
      <c r="M669" s="12" t="s">
        <v>5865</v>
      </c>
      <c r="N669" s="33" t="s">
        <v>7587</v>
      </c>
      <c r="O669" s="27" t="s">
        <v>7593</v>
      </c>
      <c r="P669" s="42" t="s">
        <v>7594</v>
      </c>
      <c r="Q669" s="14" t="s">
        <v>5967</v>
      </c>
      <c r="R669" s="90" t="s">
        <v>7595</v>
      </c>
      <c r="S669" s="25" t="s">
        <v>7657</v>
      </c>
      <c r="T669" s="83" t="s">
        <v>5906</v>
      </c>
      <c r="U669" s="24" t="s">
        <v>397</v>
      </c>
      <c r="V669" s="19" t="str">
        <f>+Ingresos_Historicos[[#This Row],[idcoleccion]]&amp;"-"&amp;Ingresos_Historicos[[#This Row],[id]]</f>
        <v>300-0659</v>
      </c>
      <c r="W669" s="19">
        <f>+VLOOKUP(Ingresos_Historicos[[#This Row],[Filtro URL]],Estructura!$X$4:$Y$366,2,0)</f>
        <v>30100000</v>
      </c>
      <c r="X669" s="19" t="str">
        <f>+VLOOKUP(Ingresos_Historicos[[#This Row],[tema]],Estructura!$A$4:$C$18,3,0)</f>
        <v>T-313</v>
      </c>
      <c r="Y669" s="19" t="str">
        <f>+VLOOKUP(Ingresos_Historicos[[#This Row],[contenido]],Estructura!$E$4:$G$18,3,0)</f>
        <v>C-304</v>
      </c>
      <c r="Z669" s="19" t="str">
        <f>+VLOOKUP(Ingresos_Historicos[[#This Row],[Filtro Integrado]],Estructura!$M$4:$O$367,3,0)</f>
        <v>FI-303</v>
      </c>
      <c r="AA669" s="19" t="str">
        <f>+VLOOKUP(Ingresos_Historicos[[#This Row],[Muestra]],Estructura!$Q$4:$S$194,3,0)</f>
        <v>M-312</v>
      </c>
    </row>
    <row r="670" spans="1:27" ht="51" x14ac:dyDescent="0.3">
      <c r="A670" s="32" t="s">
        <v>1056</v>
      </c>
      <c r="B670" s="79">
        <v>300</v>
      </c>
      <c r="C670" s="13" t="s">
        <v>5839</v>
      </c>
      <c r="D670" s="13" t="s">
        <v>5847</v>
      </c>
      <c r="E670" s="26">
        <v>1</v>
      </c>
      <c r="F670" s="55" t="s">
        <v>7592</v>
      </c>
      <c r="G670" s="55" t="s">
        <v>7583</v>
      </c>
      <c r="H670" s="29" t="s">
        <v>15</v>
      </c>
      <c r="I670" s="28" t="s">
        <v>7596</v>
      </c>
      <c r="J670" s="12" t="s">
        <v>398</v>
      </c>
      <c r="K670" s="12" t="s">
        <v>7585</v>
      </c>
      <c r="L670" s="12" t="s">
        <v>7586</v>
      </c>
      <c r="M670" s="12" t="s">
        <v>5865</v>
      </c>
      <c r="N670" s="33" t="s">
        <v>7587</v>
      </c>
      <c r="O670" s="27" t="s">
        <v>7658</v>
      </c>
      <c r="P670" s="42" t="s">
        <v>7659</v>
      </c>
      <c r="Q670" s="14" t="s">
        <v>5967</v>
      </c>
      <c r="R670" s="90" t="s">
        <v>7597</v>
      </c>
      <c r="S670" s="15" t="s">
        <v>7660</v>
      </c>
      <c r="T670" s="65" t="s">
        <v>5907</v>
      </c>
      <c r="U670" s="24" t="s">
        <v>397</v>
      </c>
      <c r="V670" s="19" t="str">
        <f>+Ingresos_Historicos[[#This Row],[idcoleccion]]&amp;"-"&amp;Ingresos_Historicos[[#This Row],[id]]</f>
        <v>300-0660</v>
      </c>
      <c r="W670" s="19">
        <f>+VLOOKUP(Ingresos_Historicos[[#This Row],[Filtro URL]],Estructura!$X$4:$Y$366,2,0)</f>
        <v>30200001</v>
      </c>
      <c r="X670" s="19" t="str">
        <f>+VLOOKUP(Ingresos_Historicos[[#This Row],[tema]],Estructura!$A$4:$C$18,3,0)</f>
        <v>T-313</v>
      </c>
      <c r="Y670" s="19" t="str">
        <f>+VLOOKUP(Ingresos_Historicos[[#This Row],[contenido]],Estructura!$E$4:$G$18,3,0)</f>
        <v>C-304</v>
      </c>
      <c r="Z670" s="19" t="str">
        <f>+VLOOKUP(Ingresos_Historicos[[#This Row],[Filtro Integrado]],Estructura!$M$4:$O$367,3,0)</f>
        <v>FI-303</v>
      </c>
      <c r="AA670" s="19" t="str">
        <f>+VLOOKUP(Ingresos_Historicos[[#This Row],[Muestra]],Estructura!$Q$4:$S$194,3,0)</f>
        <v>M-312</v>
      </c>
    </row>
    <row r="671" spans="1:27" ht="51" x14ac:dyDescent="0.3">
      <c r="A671" s="71" t="s">
        <v>1057</v>
      </c>
      <c r="B671" s="79">
        <v>300</v>
      </c>
      <c r="C671" s="13" t="s">
        <v>5839</v>
      </c>
      <c r="D671" s="13" t="s">
        <v>5847</v>
      </c>
      <c r="E671" s="26">
        <v>2</v>
      </c>
      <c r="F671" s="55" t="s">
        <v>7592</v>
      </c>
      <c r="G671" s="55" t="s">
        <v>7583</v>
      </c>
      <c r="H671" s="29" t="s">
        <v>15</v>
      </c>
      <c r="I671" s="28" t="s">
        <v>16</v>
      </c>
      <c r="J671" s="12" t="s">
        <v>398</v>
      </c>
      <c r="K671" s="12" t="s">
        <v>7585</v>
      </c>
      <c r="L671" s="12" t="s">
        <v>7586</v>
      </c>
      <c r="M671" s="12" t="s">
        <v>5865</v>
      </c>
      <c r="N671" s="33" t="s">
        <v>7587</v>
      </c>
      <c r="O671" s="27" t="s">
        <v>7661</v>
      </c>
      <c r="P671" s="42" t="s">
        <v>7662</v>
      </c>
      <c r="Q671" s="14" t="s">
        <v>5967</v>
      </c>
      <c r="R671" s="90" t="s">
        <v>7598</v>
      </c>
      <c r="S671" s="15" t="s">
        <v>7663</v>
      </c>
      <c r="T671" s="65" t="s">
        <v>5908</v>
      </c>
      <c r="U671" s="24" t="s">
        <v>397</v>
      </c>
      <c r="V671" s="19" t="str">
        <f>+Ingresos_Historicos[[#This Row],[idcoleccion]]&amp;"-"&amp;Ingresos_Historicos[[#This Row],[id]]</f>
        <v>300-0661</v>
      </c>
      <c r="W671" s="19">
        <f>+VLOOKUP(Ingresos_Historicos[[#This Row],[Filtro URL]],Estructura!$X$4:$Y$366,2,0)</f>
        <v>30200002</v>
      </c>
      <c r="X671" s="19" t="str">
        <f>+VLOOKUP(Ingresos_Historicos[[#This Row],[tema]],Estructura!$A$4:$C$18,3,0)</f>
        <v>T-313</v>
      </c>
      <c r="Y671" s="19" t="str">
        <f>+VLOOKUP(Ingresos_Historicos[[#This Row],[contenido]],Estructura!$E$4:$G$18,3,0)</f>
        <v>C-304</v>
      </c>
      <c r="Z671" s="19" t="str">
        <f>+VLOOKUP(Ingresos_Historicos[[#This Row],[Filtro Integrado]],Estructura!$M$4:$O$367,3,0)</f>
        <v>FI-303</v>
      </c>
      <c r="AA671" s="19" t="str">
        <f>+VLOOKUP(Ingresos_Historicos[[#This Row],[Muestra]],Estructura!$Q$4:$S$194,3,0)</f>
        <v>M-312</v>
      </c>
    </row>
    <row r="672" spans="1:27" ht="51" x14ac:dyDescent="0.3">
      <c r="A672" s="71" t="s">
        <v>1058</v>
      </c>
      <c r="B672" s="79">
        <v>300</v>
      </c>
      <c r="C672" s="13" t="s">
        <v>5839</v>
      </c>
      <c r="D672" s="13" t="s">
        <v>5847</v>
      </c>
      <c r="E672" s="26">
        <v>3</v>
      </c>
      <c r="F672" s="55" t="s">
        <v>7592</v>
      </c>
      <c r="G672" s="55" t="s">
        <v>7583</v>
      </c>
      <c r="H672" s="29" t="s">
        <v>15</v>
      </c>
      <c r="I672" s="28" t="s">
        <v>7599</v>
      </c>
      <c r="J672" s="12" t="s">
        <v>398</v>
      </c>
      <c r="K672" s="12" t="s">
        <v>7585</v>
      </c>
      <c r="L672" s="12" t="s">
        <v>7586</v>
      </c>
      <c r="M672" s="12" t="s">
        <v>5865</v>
      </c>
      <c r="N672" s="33" t="s">
        <v>7587</v>
      </c>
      <c r="O672" s="27" t="s">
        <v>7664</v>
      </c>
      <c r="P672" s="42" t="s">
        <v>7665</v>
      </c>
      <c r="Q672" s="14" t="s">
        <v>5967</v>
      </c>
      <c r="R672" s="90" t="s">
        <v>7600</v>
      </c>
      <c r="S672" s="15" t="s">
        <v>7666</v>
      </c>
      <c r="T672" s="65" t="s">
        <v>5909</v>
      </c>
      <c r="U672" s="24" t="s">
        <v>397</v>
      </c>
      <c r="V672" s="19" t="str">
        <f>+Ingresos_Historicos[[#This Row],[idcoleccion]]&amp;"-"&amp;Ingresos_Historicos[[#This Row],[id]]</f>
        <v>300-0662</v>
      </c>
      <c r="W672" s="19">
        <f>+VLOOKUP(Ingresos_Historicos[[#This Row],[Filtro URL]],Estructura!$X$4:$Y$366,2,0)</f>
        <v>30200003</v>
      </c>
      <c r="X672" s="19" t="str">
        <f>+VLOOKUP(Ingresos_Historicos[[#This Row],[tema]],Estructura!$A$4:$C$18,3,0)</f>
        <v>T-313</v>
      </c>
      <c r="Y672" s="19" t="str">
        <f>+VLOOKUP(Ingresos_Historicos[[#This Row],[contenido]],Estructura!$E$4:$G$18,3,0)</f>
        <v>C-304</v>
      </c>
      <c r="Z672" s="19" t="str">
        <f>+VLOOKUP(Ingresos_Historicos[[#This Row],[Filtro Integrado]],Estructura!$M$4:$O$367,3,0)</f>
        <v>FI-303</v>
      </c>
      <c r="AA672" s="19" t="str">
        <f>+VLOOKUP(Ingresos_Historicos[[#This Row],[Muestra]],Estructura!$Q$4:$S$194,3,0)</f>
        <v>M-312</v>
      </c>
    </row>
    <row r="673" spans="1:27" ht="51" x14ac:dyDescent="0.3">
      <c r="A673" s="71" t="s">
        <v>1059</v>
      </c>
      <c r="B673" s="79">
        <v>300</v>
      </c>
      <c r="C673" s="13" t="s">
        <v>5839</v>
      </c>
      <c r="D673" s="13" t="s">
        <v>5847</v>
      </c>
      <c r="E673" s="26">
        <v>4</v>
      </c>
      <c r="F673" s="55" t="s">
        <v>7592</v>
      </c>
      <c r="G673" s="55" t="s">
        <v>7583</v>
      </c>
      <c r="H673" s="29" t="s">
        <v>15</v>
      </c>
      <c r="I673" s="28" t="s">
        <v>25</v>
      </c>
      <c r="J673" s="12" t="s">
        <v>398</v>
      </c>
      <c r="K673" s="12" t="s">
        <v>7585</v>
      </c>
      <c r="L673" s="12" t="s">
        <v>7586</v>
      </c>
      <c r="M673" s="12" t="s">
        <v>5865</v>
      </c>
      <c r="N673" s="33" t="s">
        <v>7587</v>
      </c>
      <c r="O673" s="27" t="s">
        <v>7667</v>
      </c>
      <c r="P673" s="42" t="s">
        <v>7668</v>
      </c>
      <c r="Q673" s="14" t="s">
        <v>5967</v>
      </c>
      <c r="R673" s="90" t="s">
        <v>7601</v>
      </c>
      <c r="S673" s="15" t="s">
        <v>7669</v>
      </c>
      <c r="T673" s="65" t="s">
        <v>5910</v>
      </c>
      <c r="U673" s="24" t="s">
        <v>397</v>
      </c>
      <c r="V673" s="19" t="str">
        <f>+Ingresos_Historicos[[#This Row],[idcoleccion]]&amp;"-"&amp;Ingresos_Historicos[[#This Row],[id]]</f>
        <v>300-0663</v>
      </c>
      <c r="W673" s="19">
        <f>+VLOOKUP(Ingresos_Historicos[[#This Row],[Filtro URL]],Estructura!$X$4:$Y$366,2,0)</f>
        <v>30200004</v>
      </c>
      <c r="X673" s="19" t="str">
        <f>+VLOOKUP(Ingresos_Historicos[[#This Row],[tema]],Estructura!$A$4:$C$18,3,0)</f>
        <v>T-313</v>
      </c>
      <c r="Y673" s="19" t="str">
        <f>+VLOOKUP(Ingresos_Historicos[[#This Row],[contenido]],Estructura!$E$4:$G$18,3,0)</f>
        <v>C-304</v>
      </c>
      <c r="Z673" s="19" t="str">
        <f>+VLOOKUP(Ingresos_Historicos[[#This Row],[Filtro Integrado]],Estructura!$M$4:$O$367,3,0)</f>
        <v>FI-303</v>
      </c>
      <c r="AA673" s="19" t="str">
        <f>+VLOOKUP(Ingresos_Historicos[[#This Row],[Muestra]],Estructura!$Q$4:$S$194,3,0)</f>
        <v>M-312</v>
      </c>
    </row>
    <row r="674" spans="1:27" ht="51" x14ac:dyDescent="0.3">
      <c r="A674" s="71" t="s">
        <v>1060</v>
      </c>
      <c r="B674" s="79">
        <v>300</v>
      </c>
      <c r="C674" s="13" t="s">
        <v>5839</v>
      </c>
      <c r="D674" s="13" t="s">
        <v>5847</v>
      </c>
      <c r="E674" s="26">
        <v>5</v>
      </c>
      <c r="F674" s="55" t="s">
        <v>7592</v>
      </c>
      <c r="G674" s="55" t="s">
        <v>7583</v>
      </c>
      <c r="H674" s="29" t="s">
        <v>15</v>
      </c>
      <c r="I674" s="28" t="s">
        <v>26</v>
      </c>
      <c r="J674" s="12" t="s">
        <v>398</v>
      </c>
      <c r="K674" s="12" t="s">
        <v>7585</v>
      </c>
      <c r="L674" s="12" t="s">
        <v>7586</v>
      </c>
      <c r="M674" s="12" t="s">
        <v>5865</v>
      </c>
      <c r="N674" s="33" t="s">
        <v>7587</v>
      </c>
      <c r="O674" s="27" t="s">
        <v>7670</v>
      </c>
      <c r="P674" s="42" t="s">
        <v>7671</v>
      </c>
      <c r="Q674" s="14" t="s">
        <v>5967</v>
      </c>
      <c r="R674" s="90" t="s">
        <v>7602</v>
      </c>
      <c r="S674" s="15" t="s">
        <v>7672</v>
      </c>
      <c r="T674" s="65" t="s">
        <v>5911</v>
      </c>
      <c r="U674" s="24" t="s">
        <v>397</v>
      </c>
      <c r="V674" s="19" t="str">
        <f>+Ingresos_Historicos[[#This Row],[idcoleccion]]&amp;"-"&amp;Ingresos_Historicos[[#This Row],[id]]</f>
        <v>300-0664</v>
      </c>
      <c r="W674" s="19">
        <f>+VLOOKUP(Ingresos_Historicos[[#This Row],[Filtro URL]],Estructura!$X$4:$Y$366,2,0)</f>
        <v>30200005</v>
      </c>
      <c r="X674" s="19" t="str">
        <f>+VLOOKUP(Ingresos_Historicos[[#This Row],[tema]],Estructura!$A$4:$C$18,3,0)</f>
        <v>T-313</v>
      </c>
      <c r="Y674" s="19" t="str">
        <f>+VLOOKUP(Ingresos_Historicos[[#This Row],[contenido]],Estructura!$E$4:$G$18,3,0)</f>
        <v>C-304</v>
      </c>
      <c r="Z674" s="19" t="str">
        <f>+VLOOKUP(Ingresos_Historicos[[#This Row],[Filtro Integrado]],Estructura!$M$4:$O$367,3,0)</f>
        <v>FI-303</v>
      </c>
      <c r="AA674" s="19" t="str">
        <f>+VLOOKUP(Ingresos_Historicos[[#This Row],[Muestra]],Estructura!$Q$4:$S$194,3,0)</f>
        <v>M-312</v>
      </c>
    </row>
    <row r="675" spans="1:27" ht="51" x14ac:dyDescent="0.3">
      <c r="A675" s="71" t="s">
        <v>1061</v>
      </c>
      <c r="B675" s="79">
        <v>300</v>
      </c>
      <c r="C675" s="13" t="s">
        <v>5839</v>
      </c>
      <c r="D675" s="13" t="s">
        <v>5847</v>
      </c>
      <c r="E675" s="26">
        <v>6</v>
      </c>
      <c r="F675" s="55" t="s">
        <v>7592</v>
      </c>
      <c r="G675" s="55" t="s">
        <v>7583</v>
      </c>
      <c r="H675" s="29" t="s">
        <v>15</v>
      </c>
      <c r="I675" s="28" t="s">
        <v>7603</v>
      </c>
      <c r="J675" s="12" t="s">
        <v>398</v>
      </c>
      <c r="K675" s="12" t="s">
        <v>7585</v>
      </c>
      <c r="L675" s="12" t="s">
        <v>7586</v>
      </c>
      <c r="M675" s="12" t="s">
        <v>5865</v>
      </c>
      <c r="N675" s="33" t="s">
        <v>7587</v>
      </c>
      <c r="O675" s="27" t="s">
        <v>7673</v>
      </c>
      <c r="P675" s="42" t="s">
        <v>7674</v>
      </c>
      <c r="Q675" s="14" t="s">
        <v>5967</v>
      </c>
      <c r="R675" s="90" t="s">
        <v>7604</v>
      </c>
      <c r="S675" s="15" t="s">
        <v>7675</v>
      </c>
      <c r="T675" s="65" t="s">
        <v>5912</v>
      </c>
      <c r="U675" s="24" t="s">
        <v>397</v>
      </c>
      <c r="V675" s="19" t="str">
        <f>+Ingresos_Historicos[[#This Row],[idcoleccion]]&amp;"-"&amp;Ingresos_Historicos[[#This Row],[id]]</f>
        <v>300-0665</v>
      </c>
      <c r="W675" s="19">
        <f>+VLOOKUP(Ingresos_Historicos[[#This Row],[Filtro URL]],Estructura!$X$4:$Y$366,2,0)</f>
        <v>30200006</v>
      </c>
      <c r="X675" s="19" t="str">
        <f>+VLOOKUP(Ingresos_Historicos[[#This Row],[tema]],Estructura!$A$4:$C$18,3,0)</f>
        <v>T-313</v>
      </c>
      <c r="Y675" s="19" t="str">
        <f>+VLOOKUP(Ingresos_Historicos[[#This Row],[contenido]],Estructura!$E$4:$G$18,3,0)</f>
        <v>C-304</v>
      </c>
      <c r="Z675" s="19" t="str">
        <f>+VLOOKUP(Ingresos_Historicos[[#This Row],[Filtro Integrado]],Estructura!$M$4:$O$367,3,0)</f>
        <v>FI-303</v>
      </c>
      <c r="AA675" s="19" t="str">
        <f>+VLOOKUP(Ingresos_Historicos[[#This Row],[Muestra]],Estructura!$Q$4:$S$194,3,0)</f>
        <v>M-312</v>
      </c>
    </row>
    <row r="676" spans="1:27" ht="51" x14ac:dyDescent="0.3">
      <c r="A676" s="71" t="s">
        <v>1062</v>
      </c>
      <c r="B676" s="79">
        <v>300</v>
      </c>
      <c r="C676" s="13" t="s">
        <v>5839</v>
      </c>
      <c r="D676" s="13" t="s">
        <v>5847</v>
      </c>
      <c r="E676" s="26">
        <v>7</v>
      </c>
      <c r="F676" s="55" t="s">
        <v>7592</v>
      </c>
      <c r="G676" s="55" t="s">
        <v>7583</v>
      </c>
      <c r="H676" s="29" t="s">
        <v>15</v>
      </c>
      <c r="I676" s="28" t="s">
        <v>27</v>
      </c>
      <c r="J676" s="12" t="s">
        <v>398</v>
      </c>
      <c r="K676" s="12" t="s">
        <v>7585</v>
      </c>
      <c r="L676" s="12" t="s">
        <v>7586</v>
      </c>
      <c r="M676" s="12" t="s">
        <v>5865</v>
      </c>
      <c r="N676" s="33" t="s">
        <v>7587</v>
      </c>
      <c r="O676" s="27" t="s">
        <v>7676</v>
      </c>
      <c r="P676" s="42" t="s">
        <v>7677</v>
      </c>
      <c r="Q676" s="14" t="s">
        <v>5967</v>
      </c>
      <c r="R676" s="90" t="s">
        <v>7605</v>
      </c>
      <c r="S676" s="15" t="s">
        <v>7678</v>
      </c>
      <c r="T676" s="65" t="s">
        <v>5913</v>
      </c>
      <c r="U676" s="24" t="s">
        <v>397</v>
      </c>
      <c r="V676" s="19" t="str">
        <f>+Ingresos_Historicos[[#This Row],[idcoleccion]]&amp;"-"&amp;Ingresos_Historicos[[#This Row],[id]]</f>
        <v>300-0666</v>
      </c>
      <c r="W676" s="19">
        <f>+VLOOKUP(Ingresos_Historicos[[#This Row],[Filtro URL]],Estructura!$X$4:$Y$366,2,0)</f>
        <v>30200007</v>
      </c>
      <c r="X676" s="19" t="str">
        <f>+VLOOKUP(Ingresos_Historicos[[#This Row],[tema]],Estructura!$A$4:$C$18,3,0)</f>
        <v>T-313</v>
      </c>
      <c r="Y676" s="19" t="str">
        <f>+VLOOKUP(Ingresos_Historicos[[#This Row],[contenido]],Estructura!$E$4:$G$18,3,0)</f>
        <v>C-304</v>
      </c>
      <c r="Z676" s="19" t="str">
        <f>+VLOOKUP(Ingresos_Historicos[[#This Row],[Filtro Integrado]],Estructura!$M$4:$O$367,3,0)</f>
        <v>FI-303</v>
      </c>
      <c r="AA676" s="19" t="str">
        <f>+VLOOKUP(Ingresos_Historicos[[#This Row],[Muestra]],Estructura!$Q$4:$S$194,3,0)</f>
        <v>M-312</v>
      </c>
    </row>
    <row r="677" spans="1:27" ht="51" x14ac:dyDescent="0.3">
      <c r="A677" s="71" t="s">
        <v>1063</v>
      </c>
      <c r="B677" s="79">
        <v>300</v>
      </c>
      <c r="C677" s="13" t="s">
        <v>5839</v>
      </c>
      <c r="D677" s="13" t="s">
        <v>5847</v>
      </c>
      <c r="E677" s="26">
        <v>8</v>
      </c>
      <c r="F677" s="55" t="s">
        <v>7592</v>
      </c>
      <c r="G677" s="55" t="s">
        <v>7583</v>
      </c>
      <c r="H677" s="29" t="s">
        <v>15</v>
      </c>
      <c r="I677" s="28" t="s">
        <v>7606</v>
      </c>
      <c r="J677" s="12" t="s">
        <v>398</v>
      </c>
      <c r="K677" s="12" t="s">
        <v>7585</v>
      </c>
      <c r="L677" s="12" t="s">
        <v>7586</v>
      </c>
      <c r="M677" s="12" t="s">
        <v>5865</v>
      </c>
      <c r="N677" s="33" t="s">
        <v>7587</v>
      </c>
      <c r="O677" s="27" t="s">
        <v>7679</v>
      </c>
      <c r="P677" s="42" t="s">
        <v>7680</v>
      </c>
      <c r="Q677" s="14" t="s">
        <v>5967</v>
      </c>
      <c r="R677" s="90" t="s">
        <v>7607</v>
      </c>
      <c r="S677" s="15" t="s">
        <v>7681</v>
      </c>
      <c r="T677" s="65" t="s">
        <v>5914</v>
      </c>
      <c r="U677" s="24" t="s">
        <v>397</v>
      </c>
      <c r="V677" s="19" t="str">
        <f>+Ingresos_Historicos[[#This Row],[idcoleccion]]&amp;"-"&amp;Ingresos_Historicos[[#This Row],[id]]</f>
        <v>300-0667</v>
      </c>
      <c r="W677" s="19">
        <f>+VLOOKUP(Ingresos_Historicos[[#This Row],[Filtro URL]],Estructura!$X$4:$Y$366,2,0)</f>
        <v>30200008</v>
      </c>
      <c r="X677" s="19" t="str">
        <f>+VLOOKUP(Ingresos_Historicos[[#This Row],[tema]],Estructura!$A$4:$C$18,3,0)</f>
        <v>T-313</v>
      </c>
      <c r="Y677" s="19" t="str">
        <f>+VLOOKUP(Ingresos_Historicos[[#This Row],[contenido]],Estructura!$E$4:$G$18,3,0)</f>
        <v>C-304</v>
      </c>
      <c r="Z677" s="19" t="str">
        <f>+VLOOKUP(Ingresos_Historicos[[#This Row],[Filtro Integrado]],Estructura!$M$4:$O$367,3,0)</f>
        <v>FI-303</v>
      </c>
      <c r="AA677" s="19" t="str">
        <f>+VLOOKUP(Ingresos_Historicos[[#This Row],[Muestra]],Estructura!$Q$4:$S$194,3,0)</f>
        <v>M-312</v>
      </c>
    </row>
    <row r="678" spans="1:27" ht="51" x14ac:dyDescent="0.3">
      <c r="A678" s="71" t="s">
        <v>1064</v>
      </c>
      <c r="B678" s="79">
        <v>300</v>
      </c>
      <c r="C678" s="13" t="s">
        <v>5839</v>
      </c>
      <c r="D678" s="13" t="s">
        <v>5847</v>
      </c>
      <c r="E678" s="26">
        <v>9</v>
      </c>
      <c r="F678" s="55" t="s">
        <v>7592</v>
      </c>
      <c r="G678" s="55" t="s">
        <v>7583</v>
      </c>
      <c r="H678" s="29" t="s">
        <v>15</v>
      </c>
      <c r="I678" s="28" t="s">
        <v>7608</v>
      </c>
      <c r="J678" s="12" t="s">
        <v>398</v>
      </c>
      <c r="K678" s="12" t="s">
        <v>7585</v>
      </c>
      <c r="L678" s="12" t="s">
        <v>7586</v>
      </c>
      <c r="M678" s="12" t="s">
        <v>5865</v>
      </c>
      <c r="N678" s="33" t="s">
        <v>7587</v>
      </c>
      <c r="O678" s="27" t="s">
        <v>7682</v>
      </c>
      <c r="P678" s="42" t="s">
        <v>7683</v>
      </c>
      <c r="Q678" s="14" t="s">
        <v>5967</v>
      </c>
      <c r="R678" s="90" t="s">
        <v>7609</v>
      </c>
      <c r="S678" s="15" t="s">
        <v>7684</v>
      </c>
      <c r="T678" s="65" t="s">
        <v>5915</v>
      </c>
      <c r="U678" s="24" t="s">
        <v>397</v>
      </c>
      <c r="V678" s="19" t="str">
        <f>+Ingresos_Historicos[[#This Row],[idcoleccion]]&amp;"-"&amp;Ingresos_Historicos[[#This Row],[id]]</f>
        <v>300-0668</v>
      </c>
      <c r="W678" s="19">
        <f>+VLOOKUP(Ingresos_Historicos[[#This Row],[Filtro URL]],Estructura!$X$4:$Y$366,2,0)</f>
        <v>30200009</v>
      </c>
      <c r="X678" s="19" t="str">
        <f>+VLOOKUP(Ingresos_Historicos[[#This Row],[tema]],Estructura!$A$4:$C$18,3,0)</f>
        <v>T-313</v>
      </c>
      <c r="Y678" s="19" t="str">
        <f>+VLOOKUP(Ingresos_Historicos[[#This Row],[contenido]],Estructura!$E$4:$G$18,3,0)</f>
        <v>C-304</v>
      </c>
      <c r="Z678" s="19" t="str">
        <f>+VLOOKUP(Ingresos_Historicos[[#This Row],[Filtro Integrado]],Estructura!$M$4:$O$367,3,0)</f>
        <v>FI-303</v>
      </c>
      <c r="AA678" s="19" t="str">
        <f>+VLOOKUP(Ingresos_Historicos[[#This Row],[Muestra]],Estructura!$Q$4:$S$194,3,0)</f>
        <v>M-312</v>
      </c>
    </row>
    <row r="679" spans="1:27" ht="51" x14ac:dyDescent="0.3">
      <c r="A679" s="71" t="s">
        <v>1065</v>
      </c>
      <c r="B679" s="79">
        <v>300</v>
      </c>
      <c r="C679" s="13" t="s">
        <v>5839</v>
      </c>
      <c r="D679" s="13" t="s">
        <v>5847</v>
      </c>
      <c r="E679" s="26">
        <v>10</v>
      </c>
      <c r="F679" s="55" t="s">
        <v>7592</v>
      </c>
      <c r="G679" s="55" t="s">
        <v>7583</v>
      </c>
      <c r="H679" s="29" t="s">
        <v>15</v>
      </c>
      <c r="I679" s="28" t="s">
        <v>28</v>
      </c>
      <c r="J679" s="12" t="s">
        <v>398</v>
      </c>
      <c r="K679" s="12" t="s">
        <v>7585</v>
      </c>
      <c r="L679" s="12" t="s">
        <v>7586</v>
      </c>
      <c r="M679" s="12" t="s">
        <v>5865</v>
      </c>
      <c r="N679" s="33" t="s">
        <v>7587</v>
      </c>
      <c r="O679" s="27" t="s">
        <v>7685</v>
      </c>
      <c r="P679" s="42" t="s">
        <v>7686</v>
      </c>
      <c r="Q679" s="14" t="s">
        <v>5967</v>
      </c>
      <c r="R679" s="90" t="s">
        <v>7610</v>
      </c>
      <c r="S679" s="15" t="s">
        <v>7687</v>
      </c>
      <c r="T679" s="65" t="s">
        <v>5916</v>
      </c>
      <c r="U679" s="24" t="s">
        <v>397</v>
      </c>
      <c r="V679" s="19" t="str">
        <f>+Ingresos_Historicos[[#This Row],[idcoleccion]]&amp;"-"&amp;Ingresos_Historicos[[#This Row],[id]]</f>
        <v>300-0669</v>
      </c>
      <c r="W679" s="19">
        <f>+VLOOKUP(Ingresos_Historicos[[#This Row],[Filtro URL]],Estructura!$X$4:$Y$366,2,0)</f>
        <v>30200010</v>
      </c>
      <c r="X679" s="19" t="str">
        <f>+VLOOKUP(Ingresos_Historicos[[#This Row],[tema]],Estructura!$A$4:$C$18,3,0)</f>
        <v>T-313</v>
      </c>
      <c r="Y679" s="19" t="str">
        <f>+VLOOKUP(Ingresos_Historicos[[#This Row],[contenido]],Estructura!$E$4:$G$18,3,0)</f>
        <v>C-304</v>
      </c>
      <c r="Z679" s="19" t="str">
        <f>+VLOOKUP(Ingresos_Historicos[[#This Row],[Filtro Integrado]],Estructura!$M$4:$O$367,3,0)</f>
        <v>FI-303</v>
      </c>
      <c r="AA679" s="19" t="str">
        <f>+VLOOKUP(Ingresos_Historicos[[#This Row],[Muestra]],Estructura!$Q$4:$S$194,3,0)</f>
        <v>M-312</v>
      </c>
    </row>
    <row r="680" spans="1:27" ht="51" x14ac:dyDescent="0.3">
      <c r="A680" s="71" t="s">
        <v>1066</v>
      </c>
      <c r="B680" s="79">
        <v>300</v>
      </c>
      <c r="C680" s="13" t="s">
        <v>5839</v>
      </c>
      <c r="D680" s="13" t="s">
        <v>5847</v>
      </c>
      <c r="E680" s="26">
        <v>11</v>
      </c>
      <c r="F680" s="55" t="s">
        <v>7592</v>
      </c>
      <c r="G680" s="55" t="s">
        <v>7583</v>
      </c>
      <c r="H680" s="29" t="s">
        <v>15</v>
      </c>
      <c r="I680" s="28" t="s">
        <v>7611</v>
      </c>
      <c r="J680" s="12" t="s">
        <v>398</v>
      </c>
      <c r="K680" s="12" t="s">
        <v>7585</v>
      </c>
      <c r="L680" s="12" t="s">
        <v>7586</v>
      </c>
      <c r="M680" s="12" t="s">
        <v>5865</v>
      </c>
      <c r="N680" s="33" t="s">
        <v>7587</v>
      </c>
      <c r="O680" s="27" t="s">
        <v>7688</v>
      </c>
      <c r="P680" s="42" t="s">
        <v>7689</v>
      </c>
      <c r="Q680" s="14" t="s">
        <v>5967</v>
      </c>
      <c r="R680" s="90" t="s">
        <v>7612</v>
      </c>
      <c r="S680" s="15" t="s">
        <v>7690</v>
      </c>
      <c r="T680" s="65" t="s">
        <v>5917</v>
      </c>
      <c r="U680" s="24" t="s">
        <v>397</v>
      </c>
      <c r="V680" s="19" t="str">
        <f>+Ingresos_Historicos[[#This Row],[idcoleccion]]&amp;"-"&amp;Ingresos_Historicos[[#This Row],[id]]</f>
        <v>300-0670</v>
      </c>
      <c r="W680" s="19">
        <f>+VLOOKUP(Ingresos_Historicos[[#This Row],[Filtro URL]],Estructura!$X$4:$Y$366,2,0)</f>
        <v>30200011</v>
      </c>
      <c r="X680" s="19" t="str">
        <f>+VLOOKUP(Ingresos_Historicos[[#This Row],[tema]],Estructura!$A$4:$C$18,3,0)</f>
        <v>T-313</v>
      </c>
      <c r="Y680" s="19" t="str">
        <f>+VLOOKUP(Ingresos_Historicos[[#This Row],[contenido]],Estructura!$E$4:$G$18,3,0)</f>
        <v>C-304</v>
      </c>
      <c r="Z680" s="19" t="str">
        <f>+VLOOKUP(Ingresos_Historicos[[#This Row],[Filtro Integrado]],Estructura!$M$4:$O$367,3,0)</f>
        <v>FI-303</v>
      </c>
      <c r="AA680" s="19" t="str">
        <f>+VLOOKUP(Ingresos_Historicos[[#This Row],[Muestra]],Estructura!$Q$4:$S$194,3,0)</f>
        <v>M-312</v>
      </c>
    </row>
    <row r="681" spans="1:27" ht="51" x14ac:dyDescent="0.3">
      <c r="A681" s="71" t="s">
        <v>1067</v>
      </c>
      <c r="B681" s="79">
        <v>300</v>
      </c>
      <c r="C681" s="13" t="s">
        <v>5839</v>
      </c>
      <c r="D681" s="13" t="s">
        <v>5847</v>
      </c>
      <c r="E681" s="26">
        <v>12</v>
      </c>
      <c r="F681" s="55" t="s">
        <v>7592</v>
      </c>
      <c r="G681" s="55" t="s">
        <v>7583</v>
      </c>
      <c r="H681" s="29" t="s">
        <v>15</v>
      </c>
      <c r="I681" s="28" t="s">
        <v>7613</v>
      </c>
      <c r="J681" s="12" t="s">
        <v>398</v>
      </c>
      <c r="K681" s="12" t="s">
        <v>7585</v>
      </c>
      <c r="L681" s="12" t="s">
        <v>7586</v>
      </c>
      <c r="M681" s="12" t="s">
        <v>5865</v>
      </c>
      <c r="N681" s="33" t="s">
        <v>7587</v>
      </c>
      <c r="O681" s="27" t="s">
        <v>7691</v>
      </c>
      <c r="P681" s="42" t="s">
        <v>7692</v>
      </c>
      <c r="Q681" s="14" t="s">
        <v>5967</v>
      </c>
      <c r="R681" s="90" t="s">
        <v>7614</v>
      </c>
      <c r="S681" s="15" t="s">
        <v>7693</v>
      </c>
      <c r="T681" s="65" t="s">
        <v>5918</v>
      </c>
      <c r="U681" s="24" t="s">
        <v>397</v>
      </c>
      <c r="V681" s="19" t="str">
        <f>+Ingresos_Historicos[[#This Row],[idcoleccion]]&amp;"-"&amp;Ingresos_Historicos[[#This Row],[id]]</f>
        <v>300-0671</v>
      </c>
      <c r="W681" s="19">
        <f>+VLOOKUP(Ingresos_Historicos[[#This Row],[Filtro URL]],Estructura!$X$4:$Y$366,2,0)</f>
        <v>30200012</v>
      </c>
      <c r="X681" s="19" t="str">
        <f>+VLOOKUP(Ingresos_Historicos[[#This Row],[tema]],Estructura!$A$4:$C$18,3,0)</f>
        <v>T-313</v>
      </c>
      <c r="Y681" s="19" t="str">
        <f>+VLOOKUP(Ingresos_Historicos[[#This Row],[contenido]],Estructura!$E$4:$G$18,3,0)</f>
        <v>C-304</v>
      </c>
      <c r="Z681" s="19" t="str">
        <f>+VLOOKUP(Ingresos_Historicos[[#This Row],[Filtro Integrado]],Estructura!$M$4:$O$367,3,0)</f>
        <v>FI-303</v>
      </c>
      <c r="AA681" s="19" t="str">
        <f>+VLOOKUP(Ingresos_Historicos[[#This Row],[Muestra]],Estructura!$Q$4:$S$194,3,0)</f>
        <v>M-312</v>
      </c>
    </row>
    <row r="682" spans="1:27" ht="57.6" x14ac:dyDescent="0.3">
      <c r="A682" s="71" t="s">
        <v>1068</v>
      </c>
      <c r="B682" s="79">
        <v>300</v>
      </c>
      <c r="C682" s="13" t="s">
        <v>5839</v>
      </c>
      <c r="D682" s="13" t="s">
        <v>5847</v>
      </c>
      <c r="E682" s="26">
        <v>13</v>
      </c>
      <c r="F682" s="55" t="s">
        <v>7592</v>
      </c>
      <c r="G682" s="55" t="s">
        <v>7583</v>
      </c>
      <c r="H682" s="29" t="s">
        <v>15</v>
      </c>
      <c r="I682" s="28" t="s">
        <v>7615</v>
      </c>
      <c r="J682" s="12" t="s">
        <v>398</v>
      </c>
      <c r="K682" s="12" t="s">
        <v>7585</v>
      </c>
      <c r="L682" s="12" t="s">
        <v>7586</v>
      </c>
      <c r="M682" s="12" t="s">
        <v>5865</v>
      </c>
      <c r="N682" s="33" t="s">
        <v>7587</v>
      </c>
      <c r="O682" s="27" t="s">
        <v>7694</v>
      </c>
      <c r="P682" s="42" t="s">
        <v>7695</v>
      </c>
      <c r="Q682" s="14" t="s">
        <v>5967</v>
      </c>
      <c r="R682" s="90" t="s">
        <v>7616</v>
      </c>
      <c r="S682" s="25" t="s">
        <v>7696</v>
      </c>
      <c r="T682" s="65" t="s">
        <v>5919</v>
      </c>
      <c r="U682" s="24" t="s">
        <v>397</v>
      </c>
      <c r="V682" s="19" t="str">
        <f>+Ingresos_Historicos[[#This Row],[idcoleccion]]&amp;"-"&amp;Ingresos_Historicos[[#This Row],[id]]</f>
        <v>300-0672</v>
      </c>
      <c r="W682" s="19">
        <f>+VLOOKUP(Ingresos_Historicos[[#This Row],[Filtro URL]],Estructura!$X$4:$Y$366,2,0)</f>
        <v>30200013</v>
      </c>
      <c r="X682" s="19" t="str">
        <f>+VLOOKUP(Ingresos_Historicos[[#This Row],[tema]],Estructura!$A$4:$C$18,3,0)</f>
        <v>T-313</v>
      </c>
      <c r="Y682" s="19" t="str">
        <f>+VLOOKUP(Ingresos_Historicos[[#This Row],[contenido]],Estructura!$E$4:$G$18,3,0)</f>
        <v>C-304</v>
      </c>
      <c r="Z682" s="19" t="str">
        <f>+VLOOKUP(Ingresos_Historicos[[#This Row],[Filtro Integrado]],Estructura!$M$4:$O$367,3,0)</f>
        <v>FI-303</v>
      </c>
      <c r="AA682" s="19" t="str">
        <f>+VLOOKUP(Ingresos_Historicos[[#This Row],[Muestra]],Estructura!$Q$4:$S$194,3,0)</f>
        <v>M-312</v>
      </c>
    </row>
    <row r="683" spans="1:27" ht="51" x14ac:dyDescent="0.3">
      <c r="A683" s="71" t="s">
        <v>1069</v>
      </c>
      <c r="B683" s="79">
        <v>300</v>
      </c>
      <c r="C683" s="13" t="s">
        <v>5839</v>
      </c>
      <c r="D683" s="13" t="s">
        <v>5847</v>
      </c>
      <c r="E683" s="26">
        <v>14</v>
      </c>
      <c r="F683" s="55" t="s">
        <v>7592</v>
      </c>
      <c r="G683" s="55" t="s">
        <v>7583</v>
      </c>
      <c r="H683" s="29" t="s">
        <v>15</v>
      </c>
      <c r="I683" s="28" t="s">
        <v>7617</v>
      </c>
      <c r="J683" s="12" t="s">
        <v>398</v>
      </c>
      <c r="K683" s="12" t="s">
        <v>7585</v>
      </c>
      <c r="L683" s="12" t="s">
        <v>7586</v>
      </c>
      <c r="M683" s="12" t="s">
        <v>5865</v>
      </c>
      <c r="N683" s="33" t="s">
        <v>7587</v>
      </c>
      <c r="O683" s="27" t="s">
        <v>7697</v>
      </c>
      <c r="P683" s="42" t="s">
        <v>7698</v>
      </c>
      <c r="Q683" s="14" t="s">
        <v>5967</v>
      </c>
      <c r="R683" s="90" t="s">
        <v>7618</v>
      </c>
      <c r="S683" s="15" t="s">
        <v>7699</v>
      </c>
      <c r="T683" s="65" t="s">
        <v>5920</v>
      </c>
      <c r="U683" s="24" t="s">
        <v>397</v>
      </c>
      <c r="V683" s="19" t="str">
        <f>+Ingresos_Historicos[[#This Row],[idcoleccion]]&amp;"-"&amp;Ingresos_Historicos[[#This Row],[id]]</f>
        <v>300-0673</v>
      </c>
      <c r="W683" s="19">
        <f>+VLOOKUP(Ingresos_Historicos[[#This Row],[Filtro URL]],Estructura!$X$4:$Y$366,2,0)</f>
        <v>30200014</v>
      </c>
      <c r="X683" s="19" t="str">
        <f>+VLOOKUP(Ingresos_Historicos[[#This Row],[tema]],Estructura!$A$4:$C$18,3,0)</f>
        <v>T-313</v>
      </c>
      <c r="Y683" s="19" t="str">
        <f>+VLOOKUP(Ingresos_Historicos[[#This Row],[contenido]],Estructura!$E$4:$G$18,3,0)</f>
        <v>C-304</v>
      </c>
      <c r="Z683" s="19" t="str">
        <f>+VLOOKUP(Ingresos_Historicos[[#This Row],[Filtro Integrado]],Estructura!$M$4:$O$367,3,0)</f>
        <v>FI-303</v>
      </c>
      <c r="AA683" s="19" t="str">
        <f>+VLOOKUP(Ingresos_Historicos[[#This Row],[Muestra]],Estructura!$Q$4:$S$194,3,0)</f>
        <v>M-312</v>
      </c>
    </row>
    <row r="684" spans="1:27" ht="51" x14ac:dyDescent="0.3">
      <c r="A684" s="71" t="s">
        <v>1070</v>
      </c>
      <c r="B684" s="79">
        <v>300</v>
      </c>
      <c r="C684" s="13" t="s">
        <v>5839</v>
      </c>
      <c r="D684" s="13" t="s">
        <v>5847</v>
      </c>
      <c r="E684" s="26">
        <v>15</v>
      </c>
      <c r="F684" s="55" t="s">
        <v>7592</v>
      </c>
      <c r="G684" s="55" t="s">
        <v>7583</v>
      </c>
      <c r="H684" s="29" t="s">
        <v>15</v>
      </c>
      <c r="I684" s="28" t="s">
        <v>7619</v>
      </c>
      <c r="J684" s="12" t="s">
        <v>398</v>
      </c>
      <c r="K684" s="12" t="s">
        <v>7585</v>
      </c>
      <c r="L684" s="12" t="s">
        <v>7586</v>
      </c>
      <c r="M684" s="12" t="s">
        <v>5865</v>
      </c>
      <c r="N684" s="33" t="s">
        <v>7587</v>
      </c>
      <c r="O684" s="27" t="s">
        <v>7700</v>
      </c>
      <c r="P684" s="42" t="s">
        <v>7701</v>
      </c>
      <c r="Q684" s="14" t="s">
        <v>5967</v>
      </c>
      <c r="R684" s="90" t="s">
        <v>7620</v>
      </c>
      <c r="S684" s="15" t="s">
        <v>7702</v>
      </c>
      <c r="T684" s="65" t="s">
        <v>5921</v>
      </c>
      <c r="U684" s="24" t="s">
        <v>397</v>
      </c>
      <c r="V684" s="19" t="str">
        <f>+Ingresos_Historicos[[#This Row],[idcoleccion]]&amp;"-"&amp;Ingresos_Historicos[[#This Row],[id]]</f>
        <v>300-0674</v>
      </c>
      <c r="W684" s="19">
        <f>+VLOOKUP(Ingresos_Historicos[[#This Row],[Filtro URL]],Estructura!$X$4:$Y$366,2,0)</f>
        <v>30200015</v>
      </c>
      <c r="X684" s="19" t="str">
        <f>+VLOOKUP(Ingresos_Historicos[[#This Row],[tema]],Estructura!$A$4:$C$18,3,0)</f>
        <v>T-313</v>
      </c>
      <c r="Y684" s="19" t="str">
        <f>+VLOOKUP(Ingresos_Historicos[[#This Row],[contenido]],Estructura!$E$4:$G$18,3,0)</f>
        <v>C-304</v>
      </c>
      <c r="Z684" s="19" t="str">
        <f>+VLOOKUP(Ingresos_Historicos[[#This Row],[Filtro Integrado]],Estructura!$M$4:$O$367,3,0)</f>
        <v>FI-303</v>
      </c>
      <c r="AA684" s="19" t="str">
        <f>+VLOOKUP(Ingresos_Historicos[[#This Row],[Muestra]],Estructura!$Q$4:$S$194,3,0)</f>
        <v>M-312</v>
      </c>
    </row>
    <row r="685" spans="1:27" ht="51" x14ac:dyDescent="0.3">
      <c r="A685" s="71" t="s">
        <v>1071</v>
      </c>
      <c r="B685" s="79">
        <v>300</v>
      </c>
      <c r="C685" s="13" t="s">
        <v>5839</v>
      </c>
      <c r="D685" s="13" t="s">
        <v>5847</v>
      </c>
      <c r="E685" s="26">
        <v>16</v>
      </c>
      <c r="F685" s="55" t="s">
        <v>7592</v>
      </c>
      <c r="G685" s="55" t="s">
        <v>7583</v>
      </c>
      <c r="H685" s="29" t="s">
        <v>15</v>
      </c>
      <c r="I685" s="28" t="s">
        <v>7621</v>
      </c>
      <c r="J685" s="12" t="s">
        <v>398</v>
      </c>
      <c r="K685" s="12" t="s">
        <v>7585</v>
      </c>
      <c r="L685" s="12" t="s">
        <v>7586</v>
      </c>
      <c r="M685" s="12" t="s">
        <v>5865</v>
      </c>
      <c r="N685" s="33" t="s">
        <v>7587</v>
      </c>
      <c r="O685" s="27" t="s">
        <v>7703</v>
      </c>
      <c r="P685" s="42" t="s">
        <v>7704</v>
      </c>
      <c r="Q685" s="14" t="s">
        <v>5967</v>
      </c>
      <c r="R685" s="90" t="s">
        <v>7622</v>
      </c>
      <c r="S685" s="15" t="s">
        <v>7705</v>
      </c>
      <c r="T685" s="65" t="s">
        <v>5958</v>
      </c>
      <c r="U685" s="24" t="s">
        <v>397</v>
      </c>
      <c r="V685" s="19" t="str">
        <f>+Ingresos_Historicos[[#This Row],[idcoleccion]]&amp;"-"&amp;Ingresos_Historicos[[#This Row],[id]]</f>
        <v>300-0675</v>
      </c>
      <c r="W685" s="19">
        <f>+VLOOKUP(Ingresos_Historicos[[#This Row],[Filtro URL]],Estructura!$X$4:$Y$366,2,0)</f>
        <v>30200016</v>
      </c>
      <c r="X685" s="19" t="str">
        <f>+VLOOKUP(Ingresos_Historicos[[#This Row],[tema]],Estructura!$A$4:$C$18,3,0)</f>
        <v>T-313</v>
      </c>
      <c r="Y685" s="19" t="str">
        <f>+VLOOKUP(Ingresos_Historicos[[#This Row],[contenido]],Estructura!$E$4:$G$18,3,0)</f>
        <v>C-304</v>
      </c>
      <c r="Z685" s="19" t="str">
        <f>+VLOOKUP(Ingresos_Historicos[[#This Row],[Filtro Integrado]],Estructura!$M$4:$O$367,3,0)</f>
        <v>FI-303</v>
      </c>
      <c r="AA685" s="19" t="str">
        <f>+VLOOKUP(Ingresos_Historicos[[#This Row],[Muestra]],Estructura!$Q$4:$S$194,3,0)</f>
        <v>M-312</v>
      </c>
    </row>
    <row r="686" spans="1:27" ht="40.799999999999997" x14ac:dyDescent="0.3">
      <c r="A686" s="32" t="s">
        <v>1072</v>
      </c>
      <c r="B686" s="80">
        <v>300</v>
      </c>
      <c r="C686" s="13" t="s">
        <v>5839</v>
      </c>
      <c r="D686" s="13" t="s">
        <v>5847</v>
      </c>
      <c r="E686" s="18">
        <v>0</v>
      </c>
      <c r="F686" s="55" t="s">
        <v>7623</v>
      </c>
      <c r="G686" s="55" t="s">
        <v>7583</v>
      </c>
      <c r="H686" s="30" t="s">
        <v>19</v>
      </c>
      <c r="I686" s="31" t="s">
        <v>14</v>
      </c>
      <c r="J686" s="12" t="s">
        <v>398</v>
      </c>
      <c r="K686" s="12" t="s">
        <v>7585</v>
      </c>
      <c r="L686" s="12" t="s">
        <v>7586</v>
      </c>
      <c r="M686" s="12" t="s">
        <v>5865</v>
      </c>
      <c r="N686" s="33" t="s">
        <v>7587</v>
      </c>
      <c r="O686" s="27" t="s">
        <v>7706</v>
      </c>
      <c r="P686" s="42" t="s">
        <v>7624</v>
      </c>
      <c r="Q686" s="14" t="s">
        <v>5967</v>
      </c>
      <c r="R686" s="90" t="s">
        <v>7590</v>
      </c>
      <c r="S686" s="25" t="s">
        <v>7707</v>
      </c>
      <c r="T686" s="65">
        <v>0</v>
      </c>
      <c r="U686" s="24" t="s">
        <v>397</v>
      </c>
      <c r="V686" s="19" t="str">
        <f>+Ingresos_Historicos[[#This Row],[idcoleccion]]&amp;"-"&amp;Ingresos_Historicos[[#This Row],[id]]</f>
        <v>300-0676</v>
      </c>
      <c r="W686" s="19">
        <f>+VLOOKUP(Ingresos_Historicos[[#This Row],[Filtro URL]],Estructura!$X$4:$Y$366,2,0)</f>
        <v>30100000</v>
      </c>
      <c r="X686" s="19" t="str">
        <f>+VLOOKUP(Ingresos_Historicos[[#This Row],[tema]],Estructura!$A$4:$C$18,3,0)</f>
        <v>T-314</v>
      </c>
      <c r="Y686" s="19" t="str">
        <f>+VLOOKUP(Ingresos_Historicos[[#This Row],[contenido]],Estructura!$E$4:$G$18,3,0)</f>
        <v>C-304</v>
      </c>
      <c r="Z686" s="19" t="str">
        <f>+VLOOKUP(Ingresos_Historicos[[#This Row],[Filtro Integrado]],Estructura!$M$4:$O$367,3,0)</f>
        <v>FI-303</v>
      </c>
      <c r="AA686" s="19" t="str">
        <f>+VLOOKUP(Ingresos_Historicos[[#This Row],[Muestra]],Estructura!$Q$4:$S$194,3,0)</f>
        <v>M-312</v>
      </c>
    </row>
    <row r="687" spans="1:27" ht="57.6" x14ac:dyDescent="0.3">
      <c r="A687" s="71" t="s">
        <v>1073</v>
      </c>
      <c r="B687" s="80">
        <v>300</v>
      </c>
      <c r="C687" s="13" t="s">
        <v>5839</v>
      </c>
      <c r="D687" s="13" t="s">
        <v>5847</v>
      </c>
      <c r="E687" s="26">
        <v>1</v>
      </c>
      <c r="F687" s="55" t="s">
        <v>7623</v>
      </c>
      <c r="G687" s="55" t="s">
        <v>7583</v>
      </c>
      <c r="H687" s="29" t="s">
        <v>15</v>
      </c>
      <c r="I687" s="28" t="s">
        <v>7596</v>
      </c>
      <c r="J687" s="12" t="s">
        <v>398</v>
      </c>
      <c r="K687" s="12" t="s">
        <v>7585</v>
      </c>
      <c r="L687" s="12" t="s">
        <v>7586</v>
      </c>
      <c r="M687" s="12" t="s">
        <v>5865</v>
      </c>
      <c r="N687" s="33" t="s">
        <v>7587</v>
      </c>
      <c r="O687" s="27" t="s">
        <v>7708</v>
      </c>
      <c r="P687" s="42" t="s">
        <v>7709</v>
      </c>
      <c r="Q687" s="14" t="s">
        <v>5967</v>
      </c>
      <c r="R687" s="90" t="s">
        <v>7625</v>
      </c>
      <c r="S687" s="25" t="s">
        <v>7710</v>
      </c>
      <c r="T687" s="65" t="s">
        <v>5922</v>
      </c>
      <c r="U687" s="24" t="s">
        <v>397</v>
      </c>
      <c r="V687" s="19" t="str">
        <f>+Ingresos_Historicos[[#This Row],[idcoleccion]]&amp;"-"&amp;Ingresos_Historicos[[#This Row],[id]]</f>
        <v>300-0677</v>
      </c>
      <c r="W687" s="19">
        <f>+VLOOKUP(Ingresos_Historicos[[#This Row],[Filtro URL]],Estructura!$X$4:$Y$366,2,0)</f>
        <v>30200001</v>
      </c>
      <c r="X687" s="19" t="str">
        <f>+VLOOKUP(Ingresos_Historicos[[#This Row],[tema]],Estructura!$A$4:$C$18,3,0)</f>
        <v>T-314</v>
      </c>
      <c r="Y687" s="19" t="str">
        <f>+VLOOKUP(Ingresos_Historicos[[#This Row],[contenido]],Estructura!$E$4:$G$18,3,0)</f>
        <v>C-304</v>
      </c>
      <c r="Z687" s="19" t="str">
        <f>+VLOOKUP(Ingresos_Historicos[[#This Row],[Filtro Integrado]],Estructura!$M$4:$O$367,3,0)</f>
        <v>FI-303</v>
      </c>
      <c r="AA687" s="19" t="str">
        <f>+VLOOKUP(Ingresos_Historicos[[#This Row],[Muestra]],Estructura!$Q$4:$S$194,3,0)</f>
        <v>M-312</v>
      </c>
    </row>
    <row r="688" spans="1:27" ht="51" x14ac:dyDescent="0.3">
      <c r="A688" s="71" t="s">
        <v>1074</v>
      </c>
      <c r="B688" s="80">
        <v>300</v>
      </c>
      <c r="C688" s="13" t="s">
        <v>5839</v>
      </c>
      <c r="D688" s="13" t="s">
        <v>5847</v>
      </c>
      <c r="E688" s="26">
        <v>2</v>
      </c>
      <c r="F688" s="55" t="s">
        <v>7623</v>
      </c>
      <c r="G688" s="55" t="s">
        <v>7583</v>
      </c>
      <c r="H688" s="29" t="s">
        <v>15</v>
      </c>
      <c r="I688" s="28" t="s">
        <v>16</v>
      </c>
      <c r="J688" s="12" t="s">
        <v>398</v>
      </c>
      <c r="K688" s="12" t="s">
        <v>7585</v>
      </c>
      <c r="L688" s="12" t="s">
        <v>7586</v>
      </c>
      <c r="M688" s="12" t="s">
        <v>5865</v>
      </c>
      <c r="N688" s="33" t="s">
        <v>7587</v>
      </c>
      <c r="O688" s="27" t="s">
        <v>7711</v>
      </c>
      <c r="P688" s="42" t="s">
        <v>7712</v>
      </c>
      <c r="Q688" s="14" t="s">
        <v>5967</v>
      </c>
      <c r="R688" s="90" t="s">
        <v>7626</v>
      </c>
      <c r="S688" s="15" t="s">
        <v>7713</v>
      </c>
      <c r="T688" s="65" t="s">
        <v>5923</v>
      </c>
      <c r="U688" s="24" t="s">
        <v>397</v>
      </c>
      <c r="V688" s="19" t="str">
        <f>+Ingresos_Historicos[[#This Row],[idcoleccion]]&amp;"-"&amp;Ingresos_Historicos[[#This Row],[id]]</f>
        <v>300-0678</v>
      </c>
      <c r="W688" s="19">
        <f>+VLOOKUP(Ingresos_Historicos[[#This Row],[Filtro URL]],Estructura!$X$4:$Y$366,2,0)</f>
        <v>30200002</v>
      </c>
      <c r="X688" s="19" t="str">
        <f>+VLOOKUP(Ingresos_Historicos[[#This Row],[tema]],Estructura!$A$4:$C$18,3,0)</f>
        <v>T-314</v>
      </c>
      <c r="Y688" s="19" t="str">
        <f>+VLOOKUP(Ingresos_Historicos[[#This Row],[contenido]],Estructura!$E$4:$G$18,3,0)</f>
        <v>C-304</v>
      </c>
      <c r="Z688" s="19" t="str">
        <f>+VLOOKUP(Ingresos_Historicos[[#This Row],[Filtro Integrado]],Estructura!$M$4:$O$367,3,0)</f>
        <v>FI-303</v>
      </c>
      <c r="AA688" s="19" t="str">
        <f>+VLOOKUP(Ingresos_Historicos[[#This Row],[Muestra]],Estructura!$Q$4:$S$194,3,0)</f>
        <v>M-312</v>
      </c>
    </row>
    <row r="689" spans="1:27" ht="40.799999999999997" x14ac:dyDescent="0.3">
      <c r="A689" s="71" t="s">
        <v>1075</v>
      </c>
      <c r="B689" s="80">
        <v>300</v>
      </c>
      <c r="C689" s="13" t="s">
        <v>5839</v>
      </c>
      <c r="D689" s="13" t="s">
        <v>5847</v>
      </c>
      <c r="E689" s="26">
        <v>3</v>
      </c>
      <c r="F689" s="55" t="s">
        <v>7623</v>
      </c>
      <c r="G689" s="55" t="s">
        <v>7583</v>
      </c>
      <c r="H689" s="29" t="s">
        <v>15</v>
      </c>
      <c r="I689" s="28" t="s">
        <v>7599</v>
      </c>
      <c r="J689" s="12" t="s">
        <v>398</v>
      </c>
      <c r="K689" s="12" t="s">
        <v>7585</v>
      </c>
      <c r="L689" s="12" t="s">
        <v>7586</v>
      </c>
      <c r="M689" s="12" t="s">
        <v>5865</v>
      </c>
      <c r="N689" s="33" t="s">
        <v>7587</v>
      </c>
      <c r="O689" s="27" t="s">
        <v>7714</v>
      </c>
      <c r="P689" s="42" t="s">
        <v>7715</v>
      </c>
      <c r="Q689" s="14" t="s">
        <v>5967</v>
      </c>
      <c r="R689" s="90" t="s">
        <v>7627</v>
      </c>
      <c r="S689" s="15" t="s">
        <v>7716</v>
      </c>
      <c r="T689" s="65" t="s">
        <v>5925</v>
      </c>
      <c r="U689" s="24" t="s">
        <v>397</v>
      </c>
      <c r="V689" s="19" t="str">
        <f>+Ingresos_Historicos[[#This Row],[idcoleccion]]&amp;"-"&amp;Ingresos_Historicos[[#This Row],[id]]</f>
        <v>300-0679</v>
      </c>
      <c r="W689" s="19">
        <f>+VLOOKUP(Ingresos_Historicos[[#This Row],[Filtro URL]],Estructura!$X$4:$Y$366,2,0)</f>
        <v>30200003</v>
      </c>
      <c r="X689" s="19" t="str">
        <f>+VLOOKUP(Ingresos_Historicos[[#This Row],[tema]],Estructura!$A$4:$C$18,3,0)</f>
        <v>T-314</v>
      </c>
      <c r="Y689" s="19" t="str">
        <f>+VLOOKUP(Ingresos_Historicos[[#This Row],[contenido]],Estructura!$E$4:$G$18,3,0)</f>
        <v>C-304</v>
      </c>
      <c r="Z689" s="19" t="str">
        <f>+VLOOKUP(Ingresos_Historicos[[#This Row],[Filtro Integrado]],Estructura!$M$4:$O$367,3,0)</f>
        <v>FI-303</v>
      </c>
      <c r="AA689" s="19" t="str">
        <f>+VLOOKUP(Ingresos_Historicos[[#This Row],[Muestra]],Estructura!$Q$4:$S$194,3,0)</f>
        <v>M-312</v>
      </c>
    </row>
    <row r="690" spans="1:27" ht="40.799999999999997" x14ac:dyDescent="0.3">
      <c r="A690" s="71" t="s">
        <v>1076</v>
      </c>
      <c r="B690" s="80">
        <v>300</v>
      </c>
      <c r="C690" s="13" t="s">
        <v>5839</v>
      </c>
      <c r="D690" s="13" t="s">
        <v>5847</v>
      </c>
      <c r="E690" s="26">
        <v>4</v>
      </c>
      <c r="F690" s="55" t="s">
        <v>7623</v>
      </c>
      <c r="G690" s="55" t="s">
        <v>7583</v>
      </c>
      <c r="H690" s="29" t="s">
        <v>15</v>
      </c>
      <c r="I690" s="28" t="s">
        <v>25</v>
      </c>
      <c r="J690" s="12" t="s">
        <v>398</v>
      </c>
      <c r="K690" s="12" t="s">
        <v>7585</v>
      </c>
      <c r="L690" s="12" t="s">
        <v>7586</v>
      </c>
      <c r="M690" s="12" t="s">
        <v>5865</v>
      </c>
      <c r="N690" s="33" t="s">
        <v>7587</v>
      </c>
      <c r="O690" s="27" t="s">
        <v>7717</v>
      </c>
      <c r="P690" s="42" t="s">
        <v>7718</v>
      </c>
      <c r="Q690" s="14" t="s">
        <v>5967</v>
      </c>
      <c r="R690" s="90" t="s">
        <v>7628</v>
      </c>
      <c r="S690" s="15" t="s">
        <v>7719</v>
      </c>
      <c r="T690" s="65" t="s">
        <v>5926</v>
      </c>
      <c r="U690" s="24" t="s">
        <v>397</v>
      </c>
      <c r="V690" s="19" t="str">
        <f>+Ingresos_Historicos[[#This Row],[idcoleccion]]&amp;"-"&amp;Ingresos_Historicos[[#This Row],[id]]</f>
        <v>300-0680</v>
      </c>
      <c r="W690" s="19">
        <f>+VLOOKUP(Ingresos_Historicos[[#This Row],[Filtro URL]],Estructura!$X$4:$Y$366,2,0)</f>
        <v>30200004</v>
      </c>
      <c r="X690" s="19" t="str">
        <f>+VLOOKUP(Ingresos_Historicos[[#This Row],[tema]],Estructura!$A$4:$C$18,3,0)</f>
        <v>T-314</v>
      </c>
      <c r="Y690" s="19" t="str">
        <f>+VLOOKUP(Ingresos_Historicos[[#This Row],[contenido]],Estructura!$E$4:$G$18,3,0)</f>
        <v>C-304</v>
      </c>
      <c r="Z690" s="19" t="str">
        <f>+VLOOKUP(Ingresos_Historicos[[#This Row],[Filtro Integrado]],Estructura!$M$4:$O$367,3,0)</f>
        <v>FI-303</v>
      </c>
      <c r="AA690" s="19" t="str">
        <f>+VLOOKUP(Ingresos_Historicos[[#This Row],[Muestra]],Estructura!$Q$4:$S$194,3,0)</f>
        <v>M-312</v>
      </c>
    </row>
    <row r="691" spans="1:27" ht="51" x14ac:dyDescent="0.3">
      <c r="A691" s="71" t="s">
        <v>1077</v>
      </c>
      <c r="B691" s="80">
        <v>300</v>
      </c>
      <c r="C691" s="13" t="s">
        <v>5839</v>
      </c>
      <c r="D691" s="13" t="s">
        <v>5847</v>
      </c>
      <c r="E691" s="26">
        <v>5</v>
      </c>
      <c r="F691" s="55" t="s">
        <v>7623</v>
      </c>
      <c r="G691" s="55" t="s">
        <v>7583</v>
      </c>
      <c r="H691" s="29" t="s">
        <v>15</v>
      </c>
      <c r="I691" s="28" t="s">
        <v>26</v>
      </c>
      <c r="J691" s="12" t="s">
        <v>398</v>
      </c>
      <c r="K691" s="12" t="s">
        <v>7585</v>
      </c>
      <c r="L691" s="12" t="s">
        <v>7586</v>
      </c>
      <c r="M691" s="12" t="s">
        <v>5865</v>
      </c>
      <c r="N691" s="33" t="s">
        <v>7587</v>
      </c>
      <c r="O691" s="27" t="s">
        <v>7720</v>
      </c>
      <c r="P691" s="42" t="s">
        <v>7721</v>
      </c>
      <c r="Q691" s="14" t="s">
        <v>5967</v>
      </c>
      <c r="R691" s="90" t="s">
        <v>7629</v>
      </c>
      <c r="S691" s="15" t="s">
        <v>7722</v>
      </c>
      <c r="T691" s="65" t="s">
        <v>5927</v>
      </c>
      <c r="U691" s="24" t="s">
        <v>397</v>
      </c>
      <c r="V691" s="19" t="str">
        <f>+Ingresos_Historicos[[#This Row],[idcoleccion]]&amp;"-"&amp;Ingresos_Historicos[[#This Row],[id]]</f>
        <v>300-0681</v>
      </c>
      <c r="W691" s="19">
        <f>+VLOOKUP(Ingresos_Historicos[[#This Row],[Filtro URL]],Estructura!$X$4:$Y$366,2,0)</f>
        <v>30200005</v>
      </c>
      <c r="X691" s="19" t="str">
        <f>+VLOOKUP(Ingresos_Historicos[[#This Row],[tema]],Estructura!$A$4:$C$18,3,0)</f>
        <v>T-314</v>
      </c>
      <c r="Y691" s="19" t="str">
        <f>+VLOOKUP(Ingresos_Historicos[[#This Row],[contenido]],Estructura!$E$4:$G$18,3,0)</f>
        <v>C-304</v>
      </c>
      <c r="Z691" s="19" t="str">
        <f>+VLOOKUP(Ingresos_Historicos[[#This Row],[Filtro Integrado]],Estructura!$M$4:$O$367,3,0)</f>
        <v>FI-303</v>
      </c>
      <c r="AA691" s="19" t="str">
        <f>+VLOOKUP(Ingresos_Historicos[[#This Row],[Muestra]],Estructura!$Q$4:$S$194,3,0)</f>
        <v>M-312</v>
      </c>
    </row>
    <row r="692" spans="1:27" ht="40.799999999999997" x14ac:dyDescent="0.3">
      <c r="A692" s="71" t="s">
        <v>1078</v>
      </c>
      <c r="B692" s="80">
        <v>300</v>
      </c>
      <c r="C692" s="13" t="s">
        <v>5839</v>
      </c>
      <c r="D692" s="13" t="s">
        <v>5847</v>
      </c>
      <c r="E692" s="26">
        <v>6</v>
      </c>
      <c r="F692" s="55" t="s">
        <v>7623</v>
      </c>
      <c r="G692" s="55" t="s">
        <v>7583</v>
      </c>
      <c r="H692" s="29" t="s">
        <v>15</v>
      </c>
      <c r="I692" s="28" t="s">
        <v>7603</v>
      </c>
      <c r="J692" s="12" t="s">
        <v>398</v>
      </c>
      <c r="K692" s="12" t="s">
        <v>7585</v>
      </c>
      <c r="L692" s="12" t="s">
        <v>7586</v>
      </c>
      <c r="M692" s="12" t="s">
        <v>5865</v>
      </c>
      <c r="N692" s="33" t="s">
        <v>7587</v>
      </c>
      <c r="O692" s="27" t="s">
        <v>7723</v>
      </c>
      <c r="P692" s="42" t="s">
        <v>7724</v>
      </c>
      <c r="Q692" s="14" t="s">
        <v>5967</v>
      </c>
      <c r="R692" s="90" t="s">
        <v>7630</v>
      </c>
      <c r="S692" s="15" t="s">
        <v>7725</v>
      </c>
      <c r="T692" s="65" t="s">
        <v>5928</v>
      </c>
      <c r="U692" s="24" t="s">
        <v>397</v>
      </c>
      <c r="V692" s="19" t="str">
        <f>+Ingresos_Historicos[[#This Row],[idcoleccion]]&amp;"-"&amp;Ingresos_Historicos[[#This Row],[id]]</f>
        <v>300-0682</v>
      </c>
      <c r="W692" s="19">
        <f>+VLOOKUP(Ingresos_Historicos[[#This Row],[Filtro URL]],Estructura!$X$4:$Y$366,2,0)</f>
        <v>30200006</v>
      </c>
      <c r="X692" s="19" t="str">
        <f>+VLOOKUP(Ingresos_Historicos[[#This Row],[tema]],Estructura!$A$4:$C$18,3,0)</f>
        <v>T-314</v>
      </c>
      <c r="Y692" s="19" t="str">
        <f>+VLOOKUP(Ingresos_Historicos[[#This Row],[contenido]],Estructura!$E$4:$G$18,3,0)</f>
        <v>C-304</v>
      </c>
      <c r="Z692" s="19" t="str">
        <f>+VLOOKUP(Ingresos_Historicos[[#This Row],[Filtro Integrado]],Estructura!$M$4:$O$367,3,0)</f>
        <v>FI-303</v>
      </c>
      <c r="AA692" s="19" t="str">
        <f>+VLOOKUP(Ingresos_Historicos[[#This Row],[Muestra]],Estructura!$Q$4:$S$194,3,0)</f>
        <v>M-312</v>
      </c>
    </row>
    <row r="693" spans="1:27" ht="40.799999999999997" x14ac:dyDescent="0.3">
      <c r="A693" s="71" t="s">
        <v>1079</v>
      </c>
      <c r="B693" s="80">
        <v>300</v>
      </c>
      <c r="C693" s="13" t="s">
        <v>5839</v>
      </c>
      <c r="D693" s="13" t="s">
        <v>5847</v>
      </c>
      <c r="E693" s="26">
        <v>7</v>
      </c>
      <c r="F693" s="55" t="s">
        <v>7623</v>
      </c>
      <c r="G693" s="55" t="s">
        <v>7583</v>
      </c>
      <c r="H693" s="29" t="s">
        <v>15</v>
      </c>
      <c r="I693" s="28" t="s">
        <v>27</v>
      </c>
      <c r="J693" s="12" t="s">
        <v>398</v>
      </c>
      <c r="K693" s="12" t="s">
        <v>7585</v>
      </c>
      <c r="L693" s="12" t="s">
        <v>7586</v>
      </c>
      <c r="M693" s="12" t="s">
        <v>5865</v>
      </c>
      <c r="N693" s="33" t="s">
        <v>7587</v>
      </c>
      <c r="O693" s="27" t="s">
        <v>7726</v>
      </c>
      <c r="P693" s="42" t="s">
        <v>7727</v>
      </c>
      <c r="Q693" s="14" t="s">
        <v>5967</v>
      </c>
      <c r="R693" s="90" t="s">
        <v>7631</v>
      </c>
      <c r="S693" s="15" t="s">
        <v>7728</v>
      </c>
      <c r="T693" s="65" t="s">
        <v>5929</v>
      </c>
      <c r="U693" s="24" t="s">
        <v>397</v>
      </c>
      <c r="V693" s="19" t="str">
        <f>+Ingresos_Historicos[[#This Row],[idcoleccion]]&amp;"-"&amp;Ingresos_Historicos[[#This Row],[id]]</f>
        <v>300-0683</v>
      </c>
      <c r="W693" s="19">
        <f>+VLOOKUP(Ingresos_Historicos[[#This Row],[Filtro URL]],Estructura!$X$4:$Y$366,2,0)</f>
        <v>30200007</v>
      </c>
      <c r="X693" s="19" t="str">
        <f>+VLOOKUP(Ingresos_Historicos[[#This Row],[tema]],Estructura!$A$4:$C$18,3,0)</f>
        <v>T-314</v>
      </c>
      <c r="Y693" s="19" t="str">
        <f>+VLOOKUP(Ingresos_Historicos[[#This Row],[contenido]],Estructura!$E$4:$G$18,3,0)</f>
        <v>C-304</v>
      </c>
      <c r="Z693" s="19" t="str">
        <f>+VLOOKUP(Ingresos_Historicos[[#This Row],[Filtro Integrado]],Estructura!$M$4:$O$367,3,0)</f>
        <v>FI-303</v>
      </c>
      <c r="AA693" s="19" t="str">
        <f>+VLOOKUP(Ingresos_Historicos[[#This Row],[Muestra]],Estructura!$Q$4:$S$194,3,0)</f>
        <v>M-312</v>
      </c>
    </row>
    <row r="694" spans="1:27" ht="40.799999999999997" x14ac:dyDescent="0.3">
      <c r="A694" s="71" t="s">
        <v>1080</v>
      </c>
      <c r="B694" s="80">
        <v>300</v>
      </c>
      <c r="C694" s="13" t="s">
        <v>5839</v>
      </c>
      <c r="D694" s="13" t="s">
        <v>5847</v>
      </c>
      <c r="E694" s="26">
        <v>8</v>
      </c>
      <c r="F694" s="55" t="s">
        <v>7623</v>
      </c>
      <c r="G694" s="55" t="s">
        <v>7583</v>
      </c>
      <c r="H694" s="29" t="s">
        <v>15</v>
      </c>
      <c r="I694" s="28" t="s">
        <v>7606</v>
      </c>
      <c r="J694" s="12" t="s">
        <v>398</v>
      </c>
      <c r="K694" s="12" t="s">
        <v>7585</v>
      </c>
      <c r="L694" s="12" t="s">
        <v>7586</v>
      </c>
      <c r="M694" s="12" t="s">
        <v>5865</v>
      </c>
      <c r="N694" s="33" t="s">
        <v>7587</v>
      </c>
      <c r="O694" s="27" t="s">
        <v>7729</v>
      </c>
      <c r="P694" s="42" t="s">
        <v>7730</v>
      </c>
      <c r="Q694" s="14" t="s">
        <v>5967</v>
      </c>
      <c r="R694" s="90" t="s">
        <v>7632</v>
      </c>
      <c r="S694" s="15" t="s">
        <v>7731</v>
      </c>
      <c r="T694" s="65" t="s">
        <v>5930</v>
      </c>
      <c r="U694" s="24" t="s">
        <v>397</v>
      </c>
      <c r="V694" s="19" t="str">
        <f>+Ingresos_Historicos[[#This Row],[idcoleccion]]&amp;"-"&amp;Ingresos_Historicos[[#This Row],[id]]</f>
        <v>300-0684</v>
      </c>
      <c r="W694" s="19">
        <f>+VLOOKUP(Ingresos_Historicos[[#This Row],[Filtro URL]],Estructura!$X$4:$Y$366,2,0)</f>
        <v>30200008</v>
      </c>
      <c r="X694" s="19" t="str">
        <f>+VLOOKUP(Ingresos_Historicos[[#This Row],[tema]],Estructura!$A$4:$C$18,3,0)</f>
        <v>T-314</v>
      </c>
      <c r="Y694" s="19" t="str">
        <f>+VLOOKUP(Ingresos_Historicos[[#This Row],[contenido]],Estructura!$E$4:$G$18,3,0)</f>
        <v>C-304</v>
      </c>
      <c r="Z694" s="19" t="str">
        <f>+VLOOKUP(Ingresos_Historicos[[#This Row],[Filtro Integrado]],Estructura!$M$4:$O$367,3,0)</f>
        <v>FI-303</v>
      </c>
      <c r="AA694" s="19" t="str">
        <f>+VLOOKUP(Ingresos_Historicos[[#This Row],[Muestra]],Estructura!$Q$4:$S$194,3,0)</f>
        <v>M-312</v>
      </c>
    </row>
    <row r="695" spans="1:27" ht="51" x14ac:dyDescent="0.3">
      <c r="A695" s="71" t="s">
        <v>1081</v>
      </c>
      <c r="B695" s="80">
        <v>300</v>
      </c>
      <c r="C695" s="13" t="s">
        <v>5839</v>
      </c>
      <c r="D695" s="13" t="s">
        <v>5847</v>
      </c>
      <c r="E695" s="26">
        <v>9</v>
      </c>
      <c r="F695" s="55" t="s">
        <v>7623</v>
      </c>
      <c r="G695" s="55" t="s">
        <v>7583</v>
      </c>
      <c r="H695" s="29" t="s">
        <v>15</v>
      </c>
      <c r="I695" s="28" t="s">
        <v>7608</v>
      </c>
      <c r="J695" s="12" t="s">
        <v>398</v>
      </c>
      <c r="K695" s="12" t="s">
        <v>7585</v>
      </c>
      <c r="L695" s="12" t="s">
        <v>7586</v>
      </c>
      <c r="M695" s="12" t="s">
        <v>5865</v>
      </c>
      <c r="N695" s="33" t="s">
        <v>7587</v>
      </c>
      <c r="O695" s="27" t="s">
        <v>7732</v>
      </c>
      <c r="P695" s="42" t="s">
        <v>7733</v>
      </c>
      <c r="Q695" s="14" t="s">
        <v>5967</v>
      </c>
      <c r="R695" s="90" t="s">
        <v>7633</v>
      </c>
      <c r="S695" s="15" t="s">
        <v>7734</v>
      </c>
      <c r="T695" s="65" t="s">
        <v>5931</v>
      </c>
      <c r="U695" s="24" t="s">
        <v>397</v>
      </c>
      <c r="V695" s="19" t="str">
        <f>+Ingresos_Historicos[[#This Row],[idcoleccion]]&amp;"-"&amp;Ingresos_Historicos[[#This Row],[id]]</f>
        <v>300-0685</v>
      </c>
      <c r="W695" s="19">
        <f>+VLOOKUP(Ingresos_Historicos[[#This Row],[Filtro URL]],Estructura!$X$4:$Y$366,2,0)</f>
        <v>30200009</v>
      </c>
      <c r="X695" s="19" t="str">
        <f>+VLOOKUP(Ingresos_Historicos[[#This Row],[tema]],Estructura!$A$4:$C$18,3,0)</f>
        <v>T-314</v>
      </c>
      <c r="Y695" s="19" t="str">
        <f>+VLOOKUP(Ingresos_Historicos[[#This Row],[contenido]],Estructura!$E$4:$G$18,3,0)</f>
        <v>C-304</v>
      </c>
      <c r="Z695" s="19" t="str">
        <f>+VLOOKUP(Ingresos_Historicos[[#This Row],[Filtro Integrado]],Estructura!$M$4:$O$367,3,0)</f>
        <v>FI-303</v>
      </c>
      <c r="AA695" s="19" t="str">
        <f>+VLOOKUP(Ingresos_Historicos[[#This Row],[Muestra]],Estructura!$Q$4:$S$194,3,0)</f>
        <v>M-312</v>
      </c>
    </row>
    <row r="696" spans="1:27" ht="40.799999999999997" x14ac:dyDescent="0.3">
      <c r="A696" s="71" t="s">
        <v>1082</v>
      </c>
      <c r="B696" s="80">
        <v>300</v>
      </c>
      <c r="C696" s="13" t="s">
        <v>5839</v>
      </c>
      <c r="D696" s="13" t="s">
        <v>5847</v>
      </c>
      <c r="E696" s="26">
        <v>10</v>
      </c>
      <c r="F696" s="55" t="s">
        <v>7623</v>
      </c>
      <c r="G696" s="55" t="s">
        <v>7583</v>
      </c>
      <c r="H696" s="29" t="s">
        <v>15</v>
      </c>
      <c r="I696" s="28" t="s">
        <v>28</v>
      </c>
      <c r="J696" s="12" t="s">
        <v>398</v>
      </c>
      <c r="K696" s="12" t="s">
        <v>7585</v>
      </c>
      <c r="L696" s="12" t="s">
        <v>7586</v>
      </c>
      <c r="M696" s="12" t="s">
        <v>5865</v>
      </c>
      <c r="N696" s="33" t="s">
        <v>7587</v>
      </c>
      <c r="O696" s="27" t="s">
        <v>7735</v>
      </c>
      <c r="P696" s="42" t="s">
        <v>7736</v>
      </c>
      <c r="Q696" s="14" t="s">
        <v>5967</v>
      </c>
      <c r="R696" s="90" t="s">
        <v>7634</v>
      </c>
      <c r="S696" s="15" t="s">
        <v>7737</v>
      </c>
      <c r="T696" s="65" t="s">
        <v>5932</v>
      </c>
      <c r="U696" s="24" t="s">
        <v>397</v>
      </c>
      <c r="V696" s="19" t="str">
        <f>+Ingresos_Historicos[[#This Row],[idcoleccion]]&amp;"-"&amp;Ingresos_Historicos[[#This Row],[id]]</f>
        <v>300-0686</v>
      </c>
      <c r="W696" s="19">
        <f>+VLOOKUP(Ingresos_Historicos[[#This Row],[Filtro URL]],Estructura!$X$4:$Y$366,2,0)</f>
        <v>30200010</v>
      </c>
      <c r="X696" s="19" t="str">
        <f>+VLOOKUP(Ingresos_Historicos[[#This Row],[tema]],Estructura!$A$4:$C$18,3,0)</f>
        <v>T-314</v>
      </c>
      <c r="Y696" s="19" t="str">
        <f>+VLOOKUP(Ingresos_Historicos[[#This Row],[contenido]],Estructura!$E$4:$G$18,3,0)</f>
        <v>C-304</v>
      </c>
      <c r="Z696" s="19" t="str">
        <f>+VLOOKUP(Ingresos_Historicos[[#This Row],[Filtro Integrado]],Estructura!$M$4:$O$367,3,0)</f>
        <v>FI-303</v>
      </c>
      <c r="AA696" s="19" t="str">
        <f>+VLOOKUP(Ingresos_Historicos[[#This Row],[Muestra]],Estructura!$Q$4:$S$194,3,0)</f>
        <v>M-312</v>
      </c>
    </row>
    <row r="697" spans="1:27" ht="40.799999999999997" x14ac:dyDescent="0.3">
      <c r="A697" s="71" t="s">
        <v>1083</v>
      </c>
      <c r="B697" s="80">
        <v>300</v>
      </c>
      <c r="C697" s="13" t="s">
        <v>5839</v>
      </c>
      <c r="D697" s="13" t="s">
        <v>5847</v>
      </c>
      <c r="E697" s="26">
        <v>11</v>
      </c>
      <c r="F697" s="55" t="s">
        <v>7623</v>
      </c>
      <c r="G697" s="55" t="s">
        <v>7583</v>
      </c>
      <c r="H697" s="29" t="s">
        <v>15</v>
      </c>
      <c r="I697" s="28" t="s">
        <v>7611</v>
      </c>
      <c r="J697" s="12" t="s">
        <v>398</v>
      </c>
      <c r="K697" s="12" t="s">
        <v>7585</v>
      </c>
      <c r="L697" s="12" t="s">
        <v>7586</v>
      </c>
      <c r="M697" s="12" t="s">
        <v>5865</v>
      </c>
      <c r="N697" s="33" t="s">
        <v>7587</v>
      </c>
      <c r="O697" s="27" t="s">
        <v>7738</v>
      </c>
      <c r="P697" s="42" t="s">
        <v>7739</v>
      </c>
      <c r="Q697" s="14" t="s">
        <v>5967</v>
      </c>
      <c r="R697" s="90" t="s">
        <v>7635</v>
      </c>
      <c r="S697" s="15" t="s">
        <v>7740</v>
      </c>
      <c r="T697" s="65" t="s">
        <v>5933</v>
      </c>
      <c r="U697" s="24" t="s">
        <v>397</v>
      </c>
      <c r="V697" s="19" t="str">
        <f>+Ingresos_Historicos[[#This Row],[idcoleccion]]&amp;"-"&amp;Ingresos_Historicos[[#This Row],[id]]</f>
        <v>300-0687</v>
      </c>
      <c r="W697" s="19">
        <f>+VLOOKUP(Ingresos_Historicos[[#This Row],[Filtro URL]],Estructura!$X$4:$Y$366,2,0)</f>
        <v>30200011</v>
      </c>
      <c r="X697" s="19" t="str">
        <f>+VLOOKUP(Ingresos_Historicos[[#This Row],[tema]],Estructura!$A$4:$C$18,3,0)</f>
        <v>T-314</v>
      </c>
      <c r="Y697" s="19" t="str">
        <f>+VLOOKUP(Ingresos_Historicos[[#This Row],[contenido]],Estructura!$E$4:$G$18,3,0)</f>
        <v>C-304</v>
      </c>
      <c r="Z697" s="19" t="str">
        <f>+VLOOKUP(Ingresos_Historicos[[#This Row],[Filtro Integrado]],Estructura!$M$4:$O$367,3,0)</f>
        <v>FI-303</v>
      </c>
      <c r="AA697" s="19" t="str">
        <f>+VLOOKUP(Ingresos_Historicos[[#This Row],[Muestra]],Estructura!$Q$4:$S$194,3,0)</f>
        <v>M-312</v>
      </c>
    </row>
    <row r="698" spans="1:27" ht="51" x14ac:dyDescent="0.3">
      <c r="A698" s="71" t="s">
        <v>1084</v>
      </c>
      <c r="B698" s="80">
        <v>300</v>
      </c>
      <c r="C698" s="13" t="s">
        <v>5839</v>
      </c>
      <c r="D698" s="13" t="s">
        <v>5847</v>
      </c>
      <c r="E698" s="26">
        <v>12</v>
      </c>
      <c r="F698" s="55" t="s">
        <v>7623</v>
      </c>
      <c r="G698" s="55" t="s">
        <v>7583</v>
      </c>
      <c r="H698" s="29" t="s">
        <v>15</v>
      </c>
      <c r="I698" s="28" t="s">
        <v>7613</v>
      </c>
      <c r="J698" s="12" t="s">
        <v>398</v>
      </c>
      <c r="K698" s="12" t="s">
        <v>7585</v>
      </c>
      <c r="L698" s="12" t="s">
        <v>7586</v>
      </c>
      <c r="M698" s="12" t="s">
        <v>5865</v>
      </c>
      <c r="N698" s="33" t="s">
        <v>7587</v>
      </c>
      <c r="O698" s="27" t="s">
        <v>7741</v>
      </c>
      <c r="P698" s="42" t="s">
        <v>7742</v>
      </c>
      <c r="Q698" s="14" t="s">
        <v>5967</v>
      </c>
      <c r="R698" s="90" t="s">
        <v>7636</v>
      </c>
      <c r="S698" s="15" t="s">
        <v>7743</v>
      </c>
      <c r="T698" s="65" t="s">
        <v>5934</v>
      </c>
      <c r="U698" s="24" t="s">
        <v>397</v>
      </c>
      <c r="V698" s="19" t="str">
        <f>+Ingresos_Historicos[[#This Row],[idcoleccion]]&amp;"-"&amp;Ingresos_Historicos[[#This Row],[id]]</f>
        <v>300-0688</v>
      </c>
      <c r="W698" s="19">
        <f>+VLOOKUP(Ingresos_Historicos[[#This Row],[Filtro URL]],Estructura!$X$4:$Y$366,2,0)</f>
        <v>30200012</v>
      </c>
      <c r="X698" s="19" t="str">
        <f>+VLOOKUP(Ingresos_Historicos[[#This Row],[tema]],Estructura!$A$4:$C$18,3,0)</f>
        <v>T-314</v>
      </c>
      <c r="Y698" s="19" t="str">
        <f>+VLOOKUP(Ingresos_Historicos[[#This Row],[contenido]],Estructura!$E$4:$G$18,3,0)</f>
        <v>C-304</v>
      </c>
      <c r="Z698" s="19" t="str">
        <f>+VLOOKUP(Ingresos_Historicos[[#This Row],[Filtro Integrado]],Estructura!$M$4:$O$367,3,0)</f>
        <v>FI-303</v>
      </c>
      <c r="AA698" s="19" t="str">
        <f>+VLOOKUP(Ingresos_Historicos[[#This Row],[Muestra]],Estructura!$Q$4:$S$194,3,0)</f>
        <v>M-312</v>
      </c>
    </row>
    <row r="699" spans="1:27" ht="51" x14ac:dyDescent="0.3">
      <c r="A699" s="71" t="s">
        <v>1085</v>
      </c>
      <c r="B699" s="80">
        <v>300</v>
      </c>
      <c r="C699" s="13" t="s">
        <v>5839</v>
      </c>
      <c r="D699" s="13" t="s">
        <v>5847</v>
      </c>
      <c r="E699" s="26">
        <v>13</v>
      </c>
      <c r="F699" s="55" t="s">
        <v>7623</v>
      </c>
      <c r="G699" s="55" t="s">
        <v>7583</v>
      </c>
      <c r="H699" s="29" t="s">
        <v>15</v>
      </c>
      <c r="I699" s="28" t="s">
        <v>7615</v>
      </c>
      <c r="J699" s="12" t="s">
        <v>398</v>
      </c>
      <c r="K699" s="12" t="s">
        <v>7585</v>
      </c>
      <c r="L699" s="12" t="s">
        <v>7586</v>
      </c>
      <c r="M699" s="12" t="s">
        <v>5865</v>
      </c>
      <c r="N699" s="33" t="s">
        <v>7587</v>
      </c>
      <c r="O699" s="27" t="s">
        <v>7744</v>
      </c>
      <c r="P699" s="42" t="s">
        <v>7745</v>
      </c>
      <c r="Q699" s="14" t="s">
        <v>5967</v>
      </c>
      <c r="R699" s="90" t="s">
        <v>7637</v>
      </c>
      <c r="S699" s="15" t="s">
        <v>7746</v>
      </c>
      <c r="T699" s="65" t="s">
        <v>5935</v>
      </c>
      <c r="U699" s="24" t="s">
        <v>397</v>
      </c>
      <c r="V699" s="19" t="str">
        <f>+Ingresos_Historicos[[#This Row],[idcoleccion]]&amp;"-"&amp;Ingresos_Historicos[[#This Row],[id]]</f>
        <v>300-0689</v>
      </c>
      <c r="W699" s="19">
        <f>+VLOOKUP(Ingresos_Historicos[[#This Row],[Filtro URL]],Estructura!$X$4:$Y$366,2,0)</f>
        <v>30200013</v>
      </c>
      <c r="X699" s="19" t="str">
        <f>+VLOOKUP(Ingresos_Historicos[[#This Row],[tema]],Estructura!$A$4:$C$18,3,0)</f>
        <v>T-314</v>
      </c>
      <c r="Y699" s="19" t="str">
        <f>+VLOOKUP(Ingresos_Historicos[[#This Row],[contenido]],Estructura!$E$4:$G$18,3,0)</f>
        <v>C-304</v>
      </c>
      <c r="Z699" s="19" t="str">
        <f>+VLOOKUP(Ingresos_Historicos[[#This Row],[Filtro Integrado]],Estructura!$M$4:$O$367,3,0)</f>
        <v>FI-303</v>
      </c>
      <c r="AA699" s="19" t="str">
        <f>+VLOOKUP(Ingresos_Historicos[[#This Row],[Muestra]],Estructura!$Q$4:$S$194,3,0)</f>
        <v>M-312</v>
      </c>
    </row>
    <row r="700" spans="1:27" ht="40.799999999999997" x14ac:dyDescent="0.3">
      <c r="A700" s="71" t="s">
        <v>1086</v>
      </c>
      <c r="B700" s="80">
        <v>300</v>
      </c>
      <c r="C700" s="13" t="s">
        <v>5839</v>
      </c>
      <c r="D700" s="13" t="s">
        <v>5847</v>
      </c>
      <c r="E700" s="26">
        <v>14</v>
      </c>
      <c r="F700" s="55" t="s">
        <v>7623</v>
      </c>
      <c r="G700" s="55" t="s">
        <v>7583</v>
      </c>
      <c r="H700" s="29" t="s">
        <v>15</v>
      </c>
      <c r="I700" s="28" t="s">
        <v>7617</v>
      </c>
      <c r="J700" s="12" t="s">
        <v>398</v>
      </c>
      <c r="K700" s="12" t="s">
        <v>7585</v>
      </c>
      <c r="L700" s="12" t="s">
        <v>7586</v>
      </c>
      <c r="M700" s="12" t="s">
        <v>5865</v>
      </c>
      <c r="N700" s="33" t="s">
        <v>7587</v>
      </c>
      <c r="O700" s="27" t="s">
        <v>7747</v>
      </c>
      <c r="P700" s="42" t="s">
        <v>7748</v>
      </c>
      <c r="Q700" s="14" t="s">
        <v>5967</v>
      </c>
      <c r="R700" s="90" t="s">
        <v>7638</v>
      </c>
      <c r="S700" s="15" t="s">
        <v>7749</v>
      </c>
      <c r="T700" s="65" t="s">
        <v>5936</v>
      </c>
      <c r="U700" s="24" t="s">
        <v>397</v>
      </c>
      <c r="V700" s="19" t="str">
        <f>+Ingresos_Historicos[[#This Row],[idcoleccion]]&amp;"-"&amp;Ingresos_Historicos[[#This Row],[id]]</f>
        <v>300-0690</v>
      </c>
      <c r="W700" s="19">
        <f>+VLOOKUP(Ingresos_Historicos[[#This Row],[Filtro URL]],Estructura!$X$4:$Y$366,2,0)</f>
        <v>30200014</v>
      </c>
      <c r="X700" s="19" t="str">
        <f>+VLOOKUP(Ingresos_Historicos[[#This Row],[tema]],Estructura!$A$4:$C$18,3,0)</f>
        <v>T-314</v>
      </c>
      <c r="Y700" s="19" t="str">
        <f>+VLOOKUP(Ingresos_Historicos[[#This Row],[contenido]],Estructura!$E$4:$G$18,3,0)</f>
        <v>C-304</v>
      </c>
      <c r="Z700" s="19" t="str">
        <f>+VLOOKUP(Ingresos_Historicos[[#This Row],[Filtro Integrado]],Estructura!$M$4:$O$367,3,0)</f>
        <v>FI-303</v>
      </c>
      <c r="AA700" s="19" t="str">
        <f>+VLOOKUP(Ingresos_Historicos[[#This Row],[Muestra]],Estructura!$Q$4:$S$194,3,0)</f>
        <v>M-312</v>
      </c>
    </row>
    <row r="701" spans="1:27" ht="51" x14ac:dyDescent="0.3">
      <c r="A701" s="71" t="s">
        <v>1087</v>
      </c>
      <c r="B701" s="80">
        <v>300</v>
      </c>
      <c r="C701" s="13" t="s">
        <v>5839</v>
      </c>
      <c r="D701" s="13" t="s">
        <v>5847</v>
      </c>
      <c r="E701" s="26">
        <v>15</v>
      </c>
      <c r="F701" s="55" t="s">
        <v>7623</v>
      </c>
      <c r="G701" s="55" t="s">
        <v>7583</v>
      </c>
      <c r="H701" s="29" t="s">
        <v>15</v>
      </c>
      <c r="I701" s="28" t="s">
        <v>7619</v>
      </c>
      <c r="J701" s="12" t="s">
        <v>398</v>
      </c>
      <c r="K701" s="12" t="s">
        <v>7585</v>
      </c>
      <c r="L701" s="12" t="s">
        <v>7586</v>
      </c>
      <c r="M701" s="12" t="s">
        <v>5865</v>
      </c>
      <c r="N701" s="33" t="s">
        <v>7587</v>
      </c>
      <c r="O701" s="27" t="s">
        <v>7750</v>
      </c>
      <c r="P701" s="42" t="s">
        <v>7751</v>
      </c>
      <c r="Q701" s="14" t="s">
        <v>5967</v>
      </c>
      <c r="R701" s="90" t="s">
        <v>7639</v>
      </c>
      <c r="S701" s="15" t="s">
        <v>7752</v>
      </c>
      <c r="T701" s="65" t="s">
        <v>5937</v>
      </c>
      <c r="U701" s="24" t="s">
        <v>397</v>
      </c>
      <c r="V701" s="19" t="str">
        <f>+Ingresos_Historicos[[#This Row],[idcoleccion]]&amp;"-"&amp;Ingresos_Historicos[[#This Row],[id]]</f>
        <v>300-0691</v>
      </c>
      <c r="W701" s="19">
        <f>+VLOOKUP(Ingresos_Historicos[[#This Row],[Filtro URL]],Estructura!$X$4:$Y$366,2,0)</f>
        <v>30200015</v>
      </c>
      <c r="X701" s="19" t="str">
        <f>+VLOOKUP(Ingresos_Historicos[[#This Row],[tema]],Estructura!$A$4:$C$18,3,0)</f>
        <v>T-314</v>
      </c>
      <c r="Y701" s="19" t="str">
        <f>+VLOOKUP(Ingresos_Historicos[[#This Row],[contenido]],Estructura!$E$4:$G$18,3,0)</f>
        <v>C-304</v>
      </c>
      <c r="Z701" s="19" t="str">
        <f>+VLOOKUP(Ingresos_Historicos[[#This Row],[Filtro Integrado]],Estructura!$M$4:$O$367,3,0)</f>
        <v>FI-303</v>
      </c>
      <c r="AA701" s="19" t="str">
        <f>+VLOOKUP(Ingresos_Historicos[[#This Row],[Muestra]],Estructura!$Q$4:$S$194,3,0)</f>
        <v>M-312</v>
      </c>
    </row>
    <row r="702" spans="1:27" ht="40.799999999999997" x14ac:dyDescent="0.3">
      <c r="A702" s="71" t="s">
        <v>1088</v>
      </c>
      <c r="B702" s="80">
        <v>300</v>
      </c>
      <c r="C702" s="13" t="s">
        <v>5839</v>
      </c>
      <c r="D702" s="13" t="s">
        <v>5847</v>
      </c>
      <c r="E702" s="26">
        <v>16</v>
      </c>
      <c r="F702" s="55" t="s">
        <v>7623</v>
      </c>
      <c r="G702" s="55" t="s">
        <v>7583</v>
      </c>
      <c r="H702" s="29" t="s">
        <v>15</v>
      </c>
      <c r="I702" s="28" t="s">
        <v>7621</v>
      </c>
      <c r="J702" s="12" t="s">
        <v>398</v>
      </c>
      <c r="K702" s="12" t="s">
        <v>7585</v>
      </c>
      <c r="L702" s="12" t="s">
        <v>7586</v>
      </c>
      <c r="M702" s="12" t="s">
        <v>5865</v>
      </c>
      <c r="N702" s="33" t="s">
        <v>7587</v>
      </c>
      <c r="O702" s="27" t="s">
        <v>7753</v>
      </c>
      <c r="P702" s="42" t="s">
        <v>7754</v>
      </c>
      <c r="Q702" s="14" t="s">
        <v>5967</v>
      </c>
      <c r="R702" s="90" t="s">
        <v>7640</v>
      </c>
      <c r="S702" s="15" t="s">
        <v>7755</v>
      </c>
      <c r="T702" s="65" t="s">
        <v>5924</v>
      </c>
      <c r="U702" s="24" t="s">
        <v>397</v>
      </c>
      <c r="V702" s="19" t="str">
        <f>+Ingresos_Historicos[[#This Row],[idcoleccion]]&amp;"-"&amp;Ingresos_Historicos[[#This Row],[id]]</f>
        <v>300-0692</v>
      </c>
      <c r="W702" s="19">
        <f>+VLOOKUP(Ingresos_Historicos[[#This Row],[Filtro URL]],Estructura!$X$4:$Y$366,2,0)</f>
        <v>30200016</v>
      </c>
      <c r="X702" s="19" t="str">
        <f>+VLOOKUP(Ingresos_Historicos[[#This Row],[tema]],Estructura!$A$4:$C$18,3,0)</f>
        <v>T-314</v>
      </c>
      <c r="Y702" s="19" t="str">
        <f>+VLOOKUP(Ingresos_Historicos[[#This Row],[contenido]],Estructura!$E$4:$G$18,3,0)</f>
        <v>C-304</v>
      </c>
      <c r="Z702" s="19" t="str">
        <f>+VLOOKUP(Ingresos_Historicos[[#This Row],[Filtro Integrado]],Estructura!$M$4:$O$367,3,0)</f>
        <v>FI-303</v>
      </c>
      <c r="AA702" s="19" t="str">
        <f>+VLOOKUP(Ingresos_Historicos[[#This Row],[Muestra]],Estructura!$Q$4:$S$194,3,0)</f>
        <v>M-312</v>
      </c>
    </row>
    <row r="703" spans="1:27" ht="57.6" x14ac:dyDescent="0.3">
      <c r="A703" s="32" t="s">
        <v>1089</v>
      </c>
      <c r="B703" s="80">
        <v>300</v>
      </c>
      <c r="C703" s="13" t="s">
        <v>5839</v>
      </c>
      <c r="D703" s="13" t="s">
        <v>5847</v>
      </c>
      <c r="E703" s="26">
        <v>1</v>
      </c>
      <c r="F703" s="55" t="s">
        <v>7584</v>
      </c>
      <c r="G703" s="55" t="s">
        <v>7583</v>
      </c>
      <c r="H703" s="29" t="s">
        <v>15</v>
      </c>
      <c r="I703" s="28" t="s">
        <v>7596</v>
      </c>
      <c r="J703" s="12" t="s">
        <v>398</v>
      </c>
      <c r="K703" s="12" t="s">
        <v>7585</v>
      </c>
      <c r="L703" s="12" t="s">
        <v>7586</v>
      </c>
      <c r="M703" s="12" t="s">
        <v>5865</v>
      </c>
      <c r="N703" s="33" t="s">
        <v>7587</v>
      </c>
      <c r="O703" s="27" t="s">
        <v>7756</v>
      </c>
      <c r="P703" s="42" t="s">
        <v>7757</v>
      </c>
      <c r="Q703" s="14" t="s">
        <v>5967</v>
      </c>
      <c r="R703" s="90" t="s">
        <v>7641</v>
      </c>
      <c r="S703" s="25" t="s">
        <v>7758</v>
      </c>
      <c r="T703" s="65" t="s">
        <v>5922</v>
      </c>
      <c r="U703" s="24" t="s">
        <v>397</v>
      </c>
      <c r="V703" s="19" t="str">
        <f>+Ingresos_Historicos[[#This Row],[idcoleccion]]&amp;"-"&amp;Ingresos_Historicos[[#This Row],[id]]</f>
        <v>300-0693</v>
      </c>
      <c r="W703" s="19">
        <f>+VLOOKUP(Ingresos_Historicos[[#This Row],[Filtro URL]],Estructura!$X$4:$Y$366,2,0)</f>
        <v>30200001</v>
      </c>
      <c r="X703" s="19" t="str">
        <f>+VLOOKUP(Ingresos_Historicos[[#This Row],[tema]],Estructura!$A$4:$C$18,3,0)</f>
        <v>T-312</v>
      </c>
      <c r="Y703" s="19" t="str">
        <f>+VLOOKUP(Ingresos_Historicos[[#This Row],[contenido]],Estructura!$E$4:$G$18,3,0)</f>
        <v>C-304</v>
      </c>
      <c r="Z703" s="19" t="str">
        <f>+VLOOKUP(Ingresos_Historicos[[#This Row],[Filtro Integrado]],Estructura!$M$4:$O$367,3,0)</f>
        <v>FI-303</v>
      </c>
      <c r="AA703" s="19" t="str">
        <f>+VLOOKUP(Ingresos_Historicos[[#This Row],[Muestra]],Estructura!$Q$4:$S$194,3,0)</f>
        <v>M-312</v>
      </c>
    </row>
    <row r="704" spans="1:27" ht="40.799999999999997" x14ac:dyDescent="0.3">
      <c r="A704" s="71" t="s">
        <v>1090</v>
      </c>
      <c r="B704" s="80">
        <v>300</v>
      </c>
      <c r="C704" s="13" t="s">
        <v>5839</v>
      </c>
      <c r="D704" s="13" t="s">
        <v>5847</v>
      </c>
      <c r="E704" s="26">
        <v>2</v>
      </c>
      <c r="F704" s="55" t="s">
        <v>7584</v>
      </c>
      <c r="G704" s="55" t="s">
        <v>7583</v>
      </c>
      <c r="H704" s="29" t="s">
        <v>15</v>
      </c>
      <c r="I704" s="28" t="s">
        <v>16</v>
      </c>
      <c r="J704" s="12" t="s">
        <v>398</v>
      </c>
      <c r="K704" s="12" t="s">
        <v>7585</v>
      </c>
      <c r="L704" s="12" t="s">
        <v>7586</v>
      </c>
      <c r="M704" s="12" t="s">
        <v>5865</v>
      </c>
      <c r="N704" s="33" t="s">
        <v>7587</v>
      </c>
      <c r="O704" s="27" t="s">
        <v>7759</v>
      </c>
      <c r="P704" s="42" t="s">
        <v>7760</v>
      </c>
      <c r="Q704" s="14" t="s">
        <v>5967</v>
      </c>
      <c r="R704" s="90" t="s">
        <v>7642</v>
      </c>
      <c r="S704" s="15" t="s">
        <v>7761</v>
      </c>
      <c r="T704" s="65" t="s">
        <v>5923</v>
      </c>
      <c r="U704" s="24" t="s">
        <v>397</v>
      </c>
      <c r="V704" s="19" t="str">
        <f>+Ingresos_Historicos[[#This Row],[idcoleccion]]&amp;"-"&amp;Ingresos_Historicos[[#This Row],[id]]</f>
        <v>300-0694</v>
      </c>
      <c r="W704" s="19">
        <f>+VLOOKUP(Ingresos_Historicos[[#This Row],[Filtro URL]],Estructura!$X$4:$Y$366,2,0)</f>
        <v>30200002</v>
      </c>
      <c r="X704" s="19" t="str">
        <f>+VLOOKUP(Ingresos_Historicos[[#This Row],[tema]],Estructura!$A$4:$C$18,3,0)</f>
        <v>T-312</v>
      </c>
      <c r="Y704" s="19" t="str">
        <f>+VLOOKUP(Ingresos_Historicos[[#This Row],[contenido]],Estructura!$E$4:$G$18,3,0)</f>
        <v>C-304</v>
      </c>
      <c r="Z704" s="19" t="str">
        <f>+VLOOKUP(Ingresos_Historicos[[#This Row],[Filtro Integrado]],Estructura!$M$4:$O$367,3,0)</f>
        <v>FI-303</v>
      </c>
      <c r="AA704" s="19" t="str">
        <f>+VLOOKUP(Ingresos_Historicos[[#This Row],[Muestra]],Estructura!$Q$4:$S$194,3,0)</f>
        <v>M-312</v>
      </c>
    </row>
    <row r="705" spans="1:27" ht="40.799999999999997" x14ac:dyDescent="0.3">
      <c r="A705" s="71" t="s">
        <v>1091</v>
      </c>
      <c r="B705" s="80">
        <v>300</v>
      </c>
      <c r="C705" s="13" t="s">
        <v>5839</v>
      </c>
      <c r="D705" s="13" t="s">
        <v>5847</v>
      </c>
      <c r="E705" s="26">
        <v>3</v>
      </c>
      <c r="F705" s="55" t="s">
        <v>7584</v>
      </c>
      <c r="G705" s="55" t="s">
        <v>7583</v>
      </c>
      <c r="H705" s="29" t="s">
        <v>15</v>
      </c>
      <c r="I705" s="28" t="s">
        <v>7599</v>
      </c>
      <c r="J705" s="12" t="s">
        <v>398</v>
      </c>
      <c r="K705" s="12" t="s">
        <v>7585</v>
      </c>
      <c r="L705" s="12" t="s">
        <v>7586</v>
      </c>
      <c r="M705" s="12" t="s">
        <v>5865</v>
      </c>
      <c r="N705" s="33" t="s">
        <v>7587</v>
      </c>
      <c r="O705" s="27" t="s">
        <v>7762</v>
      </c>
      <c r="P705" s="42" t="s">
        <v>7763</v>
      </c>
      <c r="Q705" s="14" t="s">
        <v>5967</v>
      </c>
      <c r="R705" s="90" t="s">
        <v>7643</v>
      </c>
      <c r="S705" s="15" t="s">
        <v>7764</v>
      </c>
      <c r="T705" s="65" t="s">
        <v>5925</v>
      </c>
      <c r="U705" s="24" t="s">
        <v>397</v>
      </c>
      <c r="V705" s="19" t="str">
        <f>+Ingresos_Historicos[[#This Row],[idcoleccion]]&amp;"-"&amp;Ingresos_Historicos[[#This Row],[id]]</f>
        <v>300-0695</v>
      </c>
      <c r="W705" s="19">
        <f>+VLOOKUP(Ingresos_Historicos[[#This Row],[Filtro URL]],Estructura!$X$4:$Y$366,2,0)</f>
        <v>30200003</v>
      </c>
      <c r="X705" s="19" t="str">
        <f>+VLOOKUP(Ingresos_Historicos[[#This Row],[tema]],Estructura!$A$4:$C$18,3,0)</f>
        <v>T-312</v>
      </c>
      <c r="Y705" s="19" t="str">
        <f>+VLOOKUP(Ingresos_Historicos[[#This Row],[contenido]],Estructura!$E$4:$G$18,3,0)</f>
        <v>C-304</v>
      </c>
      <c r="Z705" s="19" t="str">
        <f>+VLOOKUP(Ingresos_Historicos[[#This Row],[Filtro Integrado]],Estructura!$M$4:$O$367,3,0)</f>
        <v>FI-303</v>
      </c>
      <c r="AA705" s="19" t="str">
        <f>+VLOOKUP(Ingresos_Historicos[[#This Row],[Muestra]],Estructura!$Q$4:$S$194,3,0)</f>
        <v>M-312</v>
      </c>
    </row>
    <row r="706" spans="1:27" ht="40.799999999999997" x14ac:dyDescent="0.3">
      <c r="A706" s="71" t="s">
        <v>1092</v>
      </c>
      <c r="B706" s="80">
        <v>300</v>
      </c>
      <c r="C706" s="13" t="s">
        <v>5839</v>
      </c>
      <c r="D706" s="13" t="s">
        <v>5847</v>
      </c>
      <c r="E706" s="26">
        <v>4</v>
      </c>
      <c r="F706" s="55" t="s">
        <v>7584</v>
      </c>
      <c r="G706" s="55" t="s">
        <v>7583</v>
      </c>
      <c r="H706" s="29" t="s">
        <v>15</v>
      </c>
      <c r="I706" s="28" t="s">
        <v>25</v>
      </c>
      <c r="J706" s="12" t="s">
        <v>398</v>
      </c>
      <c r="K706" s="12" t="s">
        <v>7585</v>
      </c>
      <c r="L706" s="12" t="s">
        <v>7586</v>
      </c>
      <c r="M706" s="12" t="s">
        <v>5865</v>
      </c>
      <c r="N706" s="33" t="s">
        <v>7587</v>
      </c>
      <c r="O706" s="27" t="s">
        <v>7765</v>
      </c>
      <c r="P706" s="42" t="s">
        <v>7766</v>
      </c>
      <c r="Q706" s="14" t="s">
        <v>5967</v>
      </c>
      <c r="R706" s="90" t="s">
        <v>7644</v>
      </c>
      <c r="S706" s="15" t="s">
        <v>7767</v>
      </c>
      <c r="T706" s="65" t="s">
        <v>5926</v>
      </c>
      <c r="U706" s="24" t="s">
        <v>397</v>
      </c>
      <c r="V706" s="19" t="str">
        <f>+Ingresos_Historicos[[#This Row],[idcoleccion]]&amp;"-"&amp;Ingresos_Historicos[[#This Row],[id]]</f>
        <v>300-0696</v>
      </c>
      <c r="W706" s="19">
        <f>+VLOOKUP(Ingresos_Historicos[[#This Row],[Filtro URL]],Estructura!$X$4:$Y$366,2,0)</f>
        <v>30200004</v>
      </c>
      <c r="X706" s="19" t="str">
        <f>+VLOOKUP(Ingresos_Historicos[[#This Row],[tema]],Estructura!$A$4:$C$18,3,0)</f>
        <v>T-312</v>
      </c>
      <c r="Y706" s="19" t="str">
        <f>+VLOOKUP(Ingresos_Historicos[[#This Row],[contenido]],Estructura!$E$4:$G$18,3,0)</f>
        <v>C-304</v>
      </c>
      <c r="Z706" s="19" t="str">
        <f>+VLOOKUP(Ingresos_Historicos[[#This Row],[Filtro Integrado]],Estructura!$M$4:$O$367,3,0)</f>
        <v>FI-303</v>
      </c>
      <c r="AA706" s="19" t="str">
        <f>+VLOOKUP(Ingresos_Historicos[[#This Row],[Muestra]],Estructura!$Q$4:$S$194,3,0)</f>
        <v>M-312</v>
      </c>
    </row>
    <row r="707" spans="1:27" ht="40.799999999999997" x14ac:dyDescent="0.3">
      <c r="A707" s="71" t="s">
        <v>1093</v>
      </c>
      <c r="B707" s="80">
        <v>300</v>
      </c>
      <c r="C707" s="13" t="s">
        <v>5839</v>
      </c>
      <c r="D707" s="13" t="s">
        <v>5847</v>
      </c>
      <c r="E707" s="26">
        <v>5</v>
      </c>
      <c r="F707" s="55" t="s">
        <v>7584</v>
      </c>
      <c r="G707" s="55" t="s">
        <v>7583</v>
      </c>
      <c r="H707" s="29" t="s">
        <v>15</v>
      </c>
      <c r="I707" s="28" t="s">
        <v>26</v>
      </c>
      <c r="J707" s="12" t="s">
        <v>398</v>
      </c>
      <c r="K707" s="12" t="s">
        <v>7585</v>
      </c>
      <c r="L707" s="12" t="s">
        <v>7586</v>
      </c>
      <c r="M707" s="12" t="s">
        <v>5865</v>
      </c>
      <c r="N707" s="33" t="s">
        <v>7587</v>
      </c>
      <c r="O707" s="27" t="s">
        <v>7768</v>
      </c>
      <c r="P707" s="42" t="s">
        <v>7769</v>
      </c>
      <c r="Q707" s="14" t="s">
        <v>5967</v>
      </c>
      <c r="R707" s="90" t="s">
        <v>7645</v>
      </c>
      <c r="S707" s="15" t="s">
        <v>7770</v>
      </c>
      <c r="T707" s="65" t="s">
        <v>5927</v>
      </c>
      <c r="U707" s="24" t="s">
        <v>397</v>
      </c>
      <c r="V707" s="19" t="str">
        <f>+Ingresos_Historicos[[#This Row],[idcoleccion]]&amp;"-"&amp;Ingresos_Historicos[[#This Row],[id]]</f>
        <v>300-0697</v>
      </c>
      <c r="W707" s="19">
        <f>+VLOOKUP(Ingresos_Historicos[[#This Row],[Filtro URL]],Estructura!$X$4:$Y$366,2,0)</f>
        <v>30200005</v>
      </c>
      <c r="X707" s="19" t="str">
        <f>+VLOOKUP(Ingresos_Historicos[[#This Row],[tema]],Estructura!$A$4:$C$18,3,0)</f>
        <v>T-312</v>
      </c>
      <c r="Y707" s="19" t="str">
        <f>+VLOOKUP(Ingresos_Historicos[[#This Row],[contenido]],Estructura!$E$4:$G$18,3,0)</f>
        <v>C-304</v>
      </c>
      <c r="Z707" s="19" t="str">
        <f>+VLOOKUP(Ingresos_Historicos[[#This Row],[Filtro Integrado]],Estructura!$M$4:$O$367,3,0)</f>
        <v>FI-303</v>
      </c>
      <c r="AA707" s="19" t="str">
        <f>+VLOOKUP(Ingresos_Historicos[[#This Row],[Muestra]],Estructura!$Q$4:$S$194,3,0)</f>
        <v>M-312</v>
      </c>
    </row>
    <row r="708" spans="1:27" ht="40.799999999999997" x14ac:dyDescent="0.3">
      <c r="A708" s="71" t="s">
        <v>1094</v>
      </c>
      <c r="B708" s="80">
        <v>300</v>
      </c>
      <c r="C708" s="13" t="s">
        <v>5839</v>
      </c>
      <c r="D708" s="13" t="s">
        <v>5847</v>
      </c>
      <c r="E708" s="26">
        <v>6</v>
      </c>
      <c r="F708" s="55" t="s">
        <v>7584</v>
      </c>
      <c r="G708" s="55" t="s">
        <v>7583</v>
      </c>
      <c r="H708" s="29" t="s">
        <v>15</v>
      </c>
      <c r="I708" s="28" t="s">
        <v>7603</v>
      </c>
      <c r="J708" s="12" t="s">
        <v>398</v>
      </c>
      <c r="K708" s="12" t="s">
        <v>7585</v>
      </c>
      <c r="L708" s="12" t="s">
        <v>7586</v>
      </c>
      <c r="M708" s="12" t="s">
        <v>5865</v>
      </c>
      <c r="N708" s="33" t="s">
        <v>7587</v>
      </c>
      <c r="O708" s="27" t="s">
        <v>7771</v>
      </c>
      <c r="P708" s="42" t="s">
        <v>7772</v>
      </c>
      <c r="Q708" s="14" t="s">
        <v>5967</v>
      </c>
      <c r="R708" s="90" t="s">
        <v>7646</v>
      </c>
      <c r="S708" s="15" t="s">
        <v>7773</v>
      </c>
      <c r="T708" s="65" t="s">
        <v>5928</v>
      </c>
      <c r="U708" s="24" t="s">
        <v>397</v>
      </c>
      <c r="V708" s="19" t="str">
        <f>+Ingresos_Historicos[[#This Row],[idcoleccion]]&amp;"-"&amp;Ingresos_Historicos[[#This Row],[id]]</f>
        <v>300-0698</v>
      </c>
      <c r="W708" s="19">
        <f>+VLOOKUP(Ingresos_Historicos[[#This Row],[Filtro URL]],Estructura!$X$4:$Y$366,2,0)</f>
        <v>30200006</v>
      </c>
      <c r="X708" s="19" t="str">
        <f>+VLOOKUP(Ingresos_Historicos[[#This Row],[tema]],Estructura!$A$4:$C$18,3,0)</f>
        <v>T-312</v>
      </c>
      <c r="Y708" s="19" t="str">
        <f>+VLOOKUP(Ingresos_Historicos[[#This Row],[contenido]],Estructura!$E$4:$G$18,3,0)</f>
        <v>C-304</v>
      </c>
      <c r="Z708" s="19" t="str">
        <f>+VLOOKUP(Ingresos_Historicos[[#This Row],[Filtro Integrado]],Estructura!$M$4:$O$367,3,0)</f>
        <v>FI-303</v>
      </c>
      <c r="AA708" s="19" t="str">
        <f>+VLOOKUP(Ingresos_Historicos[[#This Row],[Muestra]],Estructura!$Q$4:$S$194,3,0)</f>
        <v>M-312</v>
      </c>
    </row>
    <row r="709" spans="1:27" ht="40.799999999999997" x14ac:dyDescent="0.3">
      <c r="A709" s="71" t="s">
        <v>1095</v>
      </c>
      <c r="B709" s="80">
        <v>300</v>
      </c>
      <c r="C709" s="13" t="s">
        <v>5839</v>
      </c>
      <c r="D709" s="13" t="s">
        <v>5847</v>
      </c>
      <c r="E709" s="26">
        <v>7</v>
      </c>
      <c r="F709" s="55" t="s">
        <v>7584</v>
      </c>
      <c r="G709" s="55" t="s">
        <v>7583</v>
      </c>
      <c r="H709" s="29" t="s">
        <v>15</v>
      </c>
      <c r="I709" s="28" t="s">
        <v>27</v>
      </c>
      <c r="J709" s="12" t="s">
        <v>398</v>
      </c>
      <c r="K709" s="12" t="s">
        <v>7585</v>
      </c>
      <c r="L709" s="12" t="s">
        <v>7586</v>
      </c>
      <c r="M709" s="12" t="s">
        <v>5865</v>
      </c>
      <c r="N709" s="33" t="s">
        <v>7587</v>
      </c>
      <c r="O709" s="27" t="s">
        <v>7774</v>
      </c>
      <c r="P709" s="42" t="s">
        <v>7775</v>
      </c>
      <c r="Q709" s="14" t="s">
        <v>5967</v>
      </c>
      <c r="R709" s="90" t="s">
        <v>7647</v>
      </c>
      <c r="S709" s="15" t="s">
        <v>7776</v>
      </c>
      <c r="T709" s="65" t="s">
        <v>5929</v>
      </c>
      <c r="U709" s="24" t="s">
        <v>397</v>
      </c>
      <c r="V709" s="19" t="str">
        <f>+Ingresos_Historicos[[#This Row],[idcoleccion]]&amp;"-"&amp;Ingresos_Historicos[[#This Row],[id]]</f>
        <v>300-0699</v>
      </c>
      <c r="W709" s="19">
        <f>+VLOOKUP(Ingresos_Historicos[[#This Row],[Filtro URL]],Estructura!$X$4:$Y$366,2,0)</f>
        <v>30200007</v>
      </c>
      <c r="X709" s="19" t="str">
        <f>+VLOOKUP(Ingresos_Historicos[[#This Row],[tema]],Estructura!$A$4:$C$18,3,0)</f>
        <v>T-312</v>
      </c>
      <c r="Y709" s="19" t="str">
        <f>+VLOOKUP(Ingresos_Historicos[[#This Row],[contenido]],Estructura!$E$4:$G$18,3,0)</f>
        <v>C-304</v>
      </c>
      <c r="Z709" s="19" t="str">
        <f>+VLOOKUP(Ingresos_Historicos[[#This Row],[Filtro Integrado]],Estructura!$M$4:$O$367,3,0)</f>
        <v>FI-303</v>
      </c>
      <c r="AA709" s="19" t="str">
        <f>+VLOOKUP(Ingresos_Historicos[[#This Row],[Muestra]],Estructura!$Q$4:$S$194,3,0)</f>
        <v>M-312</v>
      </c>
    </row>
    <row r="710" spans="1:27" ht="40.799999999999997" x14ac:dyDescent="0.3">
      <c r="A710" s="71" t="s">
        <v>1096</v>
      </c>
      <c r="B710" s="80">
        <v>300</v>
      </c>
      <c r="C710" s="13" t="s">
        <v>5839</v>
      </c>
      <c r="D710" s="13" t="s">
        <v>5847</v>
      </c>
      <c r="E710" s="26">
        <v>8</v>
      </c>
      <c r="F710" s="55" t="s">
        <v>7584</v>
      </c>
      <c r="G710" s="55" t="s">
        <v>7583</v>
      </c>
      <c r="H710" s="29" t="s">
        <v>15</v>
      </c>
      <c r="I710" s="28" t="s">
        <v>7606</v>
      </c>
      <c r="J710" s="12" t="s">
        <v>398</v>
      </c>
      <c r="K710" s="12" t="s">
        <v>7585</v>
      </c>
      <c r="L710" s="12" t="s">
        <v>7586</v>
      </c>
      <c r="M710" s="12" t="s">
        <v>5865</v>
      </c>
      <c r="N710" s="33" t="s">
        <v>7587</v>
      </c>
      <c r="O710" s="27" t="s">
        <v>7777</v>
      </c>
      <c r="P710" s="42" t="s">
        <v>7778</v>
      </c>
      <c r="Q710" s="14" t="s">
        <v>5967</v>
      </c>
      <c r="R710" s="90" t="s">
        <v>7648</v>
      </c>
      <c r="S710" s="15" t="s">
        <v>7779</v>
      </c>
      <c r="T710" s="65" t="s">
        <v>5930</v>
      </c>
      <c r="U710" s="24" t="s">
        <v>397</v>
      </c>
      <c r="V710" s="19" t="str">
        <f>+Ingresos_Historicos[[#This Row],[idcoleccion]]&amp;"-"&amp;Ingresos_Historicos[[#This Row],[id]]</f>
        <v>300-0700</v>
      </c>
      <c r="W710" s="19">
        <f>+VLOOKUP(Ingresos_Historicos[[#This Row],[Filtro URL]],Estructura!$X$4:$Y$366,2,0)</f>
        <v>30200008</v>
      </c>
      <c r="X710" s="19" t="str">
        <f>+VLOOKUP(Ingresos_Historicos[[#This Row],[tema]],Estructura!$A$4:$C$18,3,0)</f>
        <v>T-312</v>
      </c>
      <c r="Y710" s="19" t="str">
        <f>+VLOOKUP(Ingresos_Historicos[[#This Row],[contenido]],Estructura!$E$4:$G$18,3,0)</f>
        <v>C-304</v>
      </c>
      <c r="Z710" s="19" t="str">
        <f>+VLOOKUP(Ingresos_Historicos[[#This Row],[Filtro Integrado]],Estructura!$M$4:$O$367,3,0)</f>
        <v>FI-303</v>
      </c>
      <c r="AA710" s="19" t="str">
        <f>+VLOOKUP(Ingresos_Historicos[[#This Row],[Muestra]],Estructura!$Q$4:$S$194,3,0)</f>
        <v>M-312</v>
      </c>
    </row>
    <row r="711" spans="1:27" ht="40.799999999999997" x14ac:dyDescent="0.3">
      <c r="A711" s="71" t="s">
        <v>1097</v>
      </c>
      <c r="B711" s="80">
        <v>300</v>
      </c>
      <c r="C711" s="13" t="s">
        <v>5839</v>
      </c>
      <c r="D711" s="13" t="s">
        <v>5847</v>
      </c>
      <c r="E711" s="26">
        <v>9</v>
      </c>
      <c r="F711" s="55" t="s">
        <v>7584</v>
      </c>
      <c r="G711" s="55" t="s">
        <v>7583</v>
      </c>
      <c r="H711" s="29" t="s">
        <v>15</v>
      </c>
      <c r="I711" s="28" t="s">
        <v>7608</v>
      </c>
      <c r="J711" s="12" t="s">
        <v>398</v>
      </c>
      <c r="K711" s="12" t="s">
        <v>7585</v>
      </c>
      <c r="L711" s="12" t="s">
        <v>7586</v>
      </c>
      <c r="M711" s="12" t="s">
        <v>5865</v>
      </c>
      <c r="N711" s="33" t="s">
        <v>7587</v>
      </c>
      <c r="O711" s="27" t="s">
        <v>7780</v>
      </c>
      <c r="P711" s="42" t="s">
        <v>7781</v>
      </c>
      <c r="Q711" s="14" t="s">
        <v>5967</v>
      </c>
      <c r="R711" s="90" t="s">
        <v>7649</v>
      </c>
      <c r="S711" s="15" t="s">
        <v>7782</v>
      </c>
      <c r="T711" s="65" t="s">
        <v>5931</v>
      </c>
      <c r="U711" s="24" t="s">
        <v>397</v>
      </c>
      <c r="V711" s="19" t="str">
        <f>+Ingresos_Historicos[[#This Row],[idcoleccion]]&amp;"-"&amp;Ingresos_Historicos[[#This Row],[id]]</f>
        <v>300-0701</v>
      </c>
      <c r="W711" s="19">
        <f>+VLOOKUP(Ingresos_Historicos[[#This Row],[Filtro URL]],Estructura!$X$4:$Y$366,2,0)</f>
        <v>30200009</v>
      </c>
      <c r="X711" s="19" t="str">
        <f>+VLOOKUP(Ingresos_Historicos[[#This Row],[tema]],Estructura!$A$4:$C$18,3,0)</f>
        <v>T-312</v>
      </c>
      <c r="Y711" s="19" t="str">
        <f>+VLOOKUP(Ingresos_Historicos[[#This Row],[contenido]],Estructura!$E$4:$G$18,3,0)</f>
        <v>C-304</v>
      </c>
      <c r="Z711" s="19" t="str">
        <f>+VLOOKUP(Ingresos_Historicos[[#This Row],[Filtro Integrado]],Estructura!$M$4:$O$367,3,0)</f>
        <v>FI-303</v>
      </c>
      <c r="AA711" s="19" t="str">
        <f>+VLOOKUP(Ingresos_Historicos[[#This Row],[Muestra]],Estructura!$Q$4:$S$194,3,0)</f>
        <v>M-312</v>
      </c>
    </row>
    <row r="712" spans="1:27" ht="40.799999999999997" x14ac:dyDescent="0.3">
      <c r="A712" s="71" t="s">
        <v>1098</v>
      </c>
      <c r="B712" s="80">
        <v>300</v>
      </c>
      <c r="C712" s="13" t="s">
        <v>5839</v>
      </c>
      <c r="D712" s="13" t="s">
        <v>5847</v>
      </c>
      <c r="E712" s="26">
        <v>10</v>
      </c>
      <c r="F712" s="55" t="s">
        <v>7584</v>
      </c>
      <c r="G712" s="55" t="s">
        <v>7583</v>
      </c>
      <c r="H712" s="29" t="s">
        <v>15</v>
      </c>
      <c r="I712" s="28" t="s">
        <v>28</v>
      </c>
      <c r="J712" s="12" t="s">
        <v>398</v>
      </c>
      <c r="K712" s="12" t="s">
        <v>7585</v>
      </c>
      <c r="L712" s="12" t="s">
        <v>7586</v>
      </c>
      <c r="M712" s="12" t="s">
        <v>5865</v>
      </c>
      <c r="N712" s="33" t="s">
        <v>7587</v>
      </c>
      <c r="O712" s="27" t="s">
        <v>7783</v>
      </c>
      <c r="P712" s="42" t="s">
        <v>7784</v>
      </c>
      <c r="Q712" s="14" t="s">
        <v>5967</v>
      </c>
      <c r="R712" s="90" t="s">
        <v>7650</v>
      </c>
      <c r="S712" s="15" t="s">
        <v>7785</v>
      </c>
      <c r="T712" s="65" t="s">
        <v>5932</v>
      </c>
      <c r="U712" s="24" t="s">
        <v>397</v>
      </c>
      <c r="V712" s="19" t="str">
        <f>+Ingresos_Historicos[[#This Row],[idcoleccion]]&amp;"-"&amp;Ingresos_Historicos[[#This Row],[id]]</f>
        <v>300-0702</v>
      </c>
      <c r="W712" s="19">
        <f>+VLOOKUP(Ingresos_Historicos[[#This Row],[Filtro URL]],Estructura!$X$4:$Y$366,2,0)</f>
        <v>30200010</v>
      </c>
      <c r="X712" s="19" t="str">
        <f>+VLOOKUP(Ingresos_Historicos[[#This Row],[tema]],Estructura!$A$4:$C$18,3,0)</f>
        <v>T-312</v>
      </c>
      <c r="Y712" s="19" t="str">
        <f>+VLOOKUP(Ingresos_Historicos[[#This Row],[contenido]],Estructura!$E$4:$G$18,3,0)</f>
        <v>C-304</v>
      </c>
      <c r="Z712" s="19" t="str">
        <f>+VLOOKUP(Ingresos_Historicos[[#This Row],[Filtro Integrado]],Estructura!$M$4:$O$367,3,0)</f>
        <v>FI-303</v>
      </c>
      <c r="AA712" s="19" t="str">
        <f>+VLOOKUP(Ingresos_Historicos[[#This Row],[Muestra]],Estructura!$Q$4:$S$194,3,0)</f>
        <v>M-312</v>
      </c>
    </row>
    <row r="713" spans="1:27" ht="40.799999999999997" x14ac:dyDescent="0.3">
      <c r="A713" s="71" t="s">
        <v>1099</v>
      </c>
      <c r="B713" s="80">
        <v>300</v>
      </c>
      <c r="C713" s="13" t="s">
        <v>5839</v>
      </c>
      <c r="D713" s="13" t="s">
        <v>5847</v>
      </c>
      <c r="E713" s="26">
        <v>11</v>
      </c>
      <c r="F713" s="55" t="s">
        <v>7584</v>
      </c>
      <c r="G713" s="55" t="s">
        <v>7583</v>
      </c>
      <c r="H713" s="29" t="s">
        <v>15</v>
      </c>
      <c r="I713" s="28" t="s">
        <v>7611</v>
      </c>
      <c r="J713" s="12" t="s">
        <v>398</v>
      </c>
      <c r="K713" s="12" t="s">
        <v>7585</v>
      </c>
      <c r="L713" s="12" t="s">
        <v>7586</v>
      </c>
      <c r="M713" s="12" t="s">
        <v>5865</v>
      </c>
      <c r="N713" s="33" t="s">
        <v>7587</v>
      </c>
      <c r="O713" s="27" t="s">
        <v>7786</v>
      </c>
      <c r="P713" s="42" t="s">
        <v>7787</v>
      </c>
      <c r="Q713" s="14" t="s">
        <v>5967</v>
      </c>
      <c r="R713" s="90" t="s">
        <v>7651</v>
      </c>
      <c r="S713" s="15" t="s">
        <v>7788</v>
      </c>
      <c r="T713" s="65" t="s">
        <v>5933</v>
      </c>
      <c r="U713" s="24" t="s">
        <v>397</v>
      </c>
      <c r="V713" s="19" t="str">
        <f>+Ingresos_Historicos[[#This Row],[idcoleccion]]&amp;"-"&amp;Ingresos_Historicos[[#This Row],[id]]</f>
        <v>300-0703</v>
      </c>
      <c r="W713" s="19">
        <f>+VLOOKUP(Ingresos_Historicos[[#This Row],[Filtro URL]],Estructura!$X$4:$Y$366,2,0)</f>
        <v>30200011</v>
      </c>
      <c r="X713" s="19" t="str">
        <f>+VLOOKUP(Ingresos_Historicos[[#This Row],[tema]],Estructura!$A$4:$C$18,3,0)</f>
        <v>T-312</v>
      </c>
      <c r="Y713" s="19" t="str">
        <f>+VLOOKUP(Ingresos_Historicos[[#This Row],[contenido]],Estructura!$E$4:$G$18,3,0)</f>
        <v>C-304</v>
      </c>
      <c r="Z713" s="19" t="str">
        <f>+VLOOKUP(Ingresos_Historicos[[#This Row],[Filtro Integrado]],Estructura!$M$4:$O$367,3,0)</f>
        <v>FI-303</v>
      </c>
      <c r="AA713" s="19" t="str">
        <f>+VLOOKUP(Ingresos_Historicos[[#This Row],[Muestra]],Estructura!$Q$4:$S$194,3,0)</f>
        <v>M-312</v>
      </c>
    </row>
    <row r="714" spans="1:27" ht="40.799999999999997" x14ac:dyDescent="0.3">
      <c r="A714" s="71" t="s">
        <v>1100</v>
      </c>
      <c r="B714" s="80">
        <v>300</v>
      </c>
      <c r="C714" s="13" t="s">
        <v>5839</v>
      </c>
      <c r="D714" s="13" t="s">
        <v>5847</v>
      </c>
      <c r="E714" s="26">
        <v>12</v>
      </c>
      <c r="F714" s="55" t="s">
        <v>7584</v>
      </c>
      <c r="G714" s="55" t="s">
        <v>7583</v>
      </c>
      <c r="H714" s="29" t="s">
        <v>15</v>
      </c>
      <c r="I714" s="28" t="s">
        <v>7613</v>
      </c>
      <c r="J714" s="12" t="s">
        <v>398</v>
      </c>
      <c r="K714" s="12" t="s">
        <v>7585</v>
      </c>
      <c r="L714" s="12" t="s">
        <v>7586</v>
      </c>
      <c r="M714" s="12" t="s">
        <v>5865</v>
      </c>
      <c r="N714" s="33" t="s">
        <v>7587</v>
      </c>
      <c r="O714" s="27" t="s">
        <v>7789</v>
      </c>
      <c r="P714" s="42" t="s">
        <v>7790</v>
      </c>
      <c r="Q714" s="14" t="s">
        <v>5967</v>
      </c>
      <c r="R714" s="90" t="s">
        <v>7652</v>
      </c>
      <c r="S714" s="15" t="s">
        <v>7791</v>
      </c>
      <c r="T714" s="65" t="s">
        <v>5934</v>
      </c>
      <c r="U714" s="24" t="s">
        <v>397</v>
      </c>
      <c r="V714" s="19" t="str">
        <f>+Ingresos_Historicos[[#This Row],[idcoleccion]]&amp;"-"&amp;Ingresos_Historicos[[#This Row],[id]]</f>
        <v>300-0704</v>
      </c>
      <c r="W714" s="19">
        <f>+VLOOKUP(Ingresos_Historicos[[#This Row],[Filtro URL]],Estructura!$X$4:$Y$366,2,0)</f>
        <v>30200012</v>
      </c>
      <c r="X714" s="19" t="str">
        <f>+VLOOKUP(Ingresos_Historicos[[#This Row],[tema]],Estructura!$A$4:$C$18,3,0)</f>
        <v>T-312</v>
      </c>
      <c r="Y714" s="19" t="str">
        <f>+VLOOKUP(Ingresos_Historicos[[#This Row],[contenido]],Estructura!$E$4:$G$18,3,0)</f>
        <v>C-304</v>
      </c>
      <c r="Z714" s="19" t="str">
        <f>+VLOOKUP(Ingresos_Historicos[[#This Row],[Filtro Integrado]],Estructura!$M$4:$O$367,3,0)</f>
        <v>FI-303</v>
      </c>
      <c r="AA714" s="19" t="str">
        <f>+VLOOKUP(Ingresos_Historicos[[#This Row],[Muestra]],Estructura!$Q$4:$S$194,3,0)</f>
        <v>M-312</v>
      </c>
    </row>
    <row r="715" spans="1:27" ht="40.799999999999997" x14ac:dyDescent="0.3">
      <c r="A715" s="71" t="s">
        <v>1101</v>
      </c>
      <c r="B715" s="80">
        <v>300</v>
      </c>
      <c r="C715" s="13" t="s">
        <v>5839</v>
      </c>
      <c r="D715" s="13" t="s">
        <v>5847</v>
      </c>
      <c r="E715" s="26">
        <v>13</v>
      </c>
      <c r="F715" s="55" t="s">
        <v>7584</v>
      </c>
      <c r="G715" s="55" t="s">
        <v>7583</v>
      </c>
      <c r="H715" s="29" t="s">
        <v>15</v>
      </c>
      <c r="I715" s="28" t="s">
        <v>7615</v>
      </c>
      <c r="J715" s="12" t="s">
        <v>398</v>
      </c>
      <c r="K715" s="12" t="s">
        <v>7585</v>
      </c>
      <c r="L715" s="12" t="s">
        <v>7586</v>
      </c>
      <c r="M715" s="12" t="s">
        <v>5865</v>
      </c>
      <c r="N715" s="33" t="s">
        <v>7587</v>
      </c>
      <c r="O715" s="27" t="s">
        <v>7792</v>
      </c>
      <c r="P715" s="42" t="s">
        <v>7793</v>
      </c>
      <c r="Q715" s="14" t="s">
        <v>5967</v>
      </c>
      <c r="R715" s="90" t="s">
        <v>7653</v>
      </c>
      <c r="S715" s="15" t="s">
        <v>7794</v>
      </c>
      <c r="T715" s="65" t="s">
        <v>5935</v>
      </c>
      <c r="U715" s="24" t="s">
        <v>397</v>
      </c>
      <c r="V715" s="19" t="str">
        <f>+Ingresos_Historicos[[#This Row],[idcoleccion]]&amp;"-"&amp;Ingresos_Historicos[[#This Row],[id]]</f>
        <v>300-0705</v>
      </c>
      <c r="W715" s="19">
        <f>+VLOOKUP(Ingresos_Historicos[[#This Row],[Filtro URL]],Estructura!$X$4:$Y$366,2,0)</f>
        <v>30200013</v>
      </c>
      <c r="X715" s="19" t="str">
        <f>+VLOOKUP(Ingresos_Historicos[[#This Row],[tema]],Estructura!$A$4:$C$18,3,0)</f>
        <v>T-312</v>
      </c>
      <c r="Y715" s="19" t="str">
        <f>+VLOOKUP(Ingresos_Historicos[[#This Row],[contenido]],Estructura!$E$4:$G$18,3,0)</f>
        <v>C-304</v>
      </c>
      <c r="Z715" s="19" t="str">
        <f>+VLOOKUP(Ingresos_Historicos[[#This Row],[Filtro Integrado]],Estructura!$M$4:$O$367,3,0)</f>
        <v>FI-303</v>
      </c>
      <c r="AA715" s="19" t="str">
        <f>+VLOOKUP(Ingresos_Historicos[[#This Row],[Muestra]],Estructura!$Q$4:$S$194,3,0)</f>
        <v>M-312</v>
      </c>
    </row>
    <row r="716" spans="1:27" ht="40.799999999999997" x14ac:dyDescent="0.3">
      <c r="A716" s="71" t="s">
        <v>1102</v>
      </c>
      <c r="B716" s="80">
        <v>300</v>
      </c>
      <c r="C716" s="13" t="s">
        <v>5839</v>
      </c>
      <c r="D716" s="13" t="s">
        <v>5847</v>
      </c>
      <c r="E716" s="26">
        <v>14</v>
      </c>
      <c r="F716" s="55" t="s">
        <v>7584</v>
      </c>
      <c r="G716" s="55" t="s">
        <v>7583</v>
      </c>
      <c r="H716" s="29" t="s">
        <v>15</v>
      </c>
      <c r="I716" s="28" t="s">
        <v>7617</v>
      </c>
      <c r="J716" s="12" t="s">
        <v>398</v>
      </c>
      <c r="K716" s="12" t="s">
        <v>7585</v>
      </c>
      <c r="L716" s="12" t="s">
        <v>7586</v>
      </c>
      <c r="M716" s="12" t="s">
        <v>5865</v>
      </c>
      <c r="N716" s="33" t="s">
        <v>7587</v>
      </c>
      <c r="O716" s="27" t="s">
        <v>7795</v>
      </c>
      <c r="P716" s="42" t="s">
        <v>7796</v>
      </c>
      <c r="Q716" s="14" t="s">
        <v>5967</v>
      </c>
      <c r="R716" s="90" t="s">
        <v>7654</v>
      </c>
      <c r="S716" s="15" t="s">
        <v>7797</v>
      </c>
      <c r="T716" s="65" t="s">
        <v>5936</v>
      </c>
      <c r="U716" s="24" t="s">
        <v>397</v>
      </c>
      <c r="V716" s="19" t="str">
        <f>+Ingresos_Historicos[[#This Row],[idcoleccion]]&amp;"-"&amp;Ingresos_Historicos[[#This Row],[id]]</f>
        <v>300-0706</v>
      </c>
      <c r="W716" s="19">
        <f>+VLOOKUP(Ingresos_Historicos[[#This Row],[Filtro URL]],Estructura!$X$4:$Y$366,2,0)</f>
        <v>30200014</v>
      </c>
      <c r="X716" s="19" t="str">
        <f>+VLOOKUP(Ingresos_Historicos[[#This Row],[tema]],Estructura!$A$4:$C$18,3,0)</f>
        <v>T-312</v>
      </c>
      <c r="Y716" s="19" t="str">
        <f>+VLOOKUP(Ingresos_Historicos[[#This Row],[contenido]],Estructura!$E$4:$G$18,3,0)</f>
        <v>C-304</v>
      </c>
      <c r="Z716" s="19" t="str">
        <f>+VLOOKUP(Ingresos_Historicos[[#This Row],[Filtro Integrado]],Estructura!$M$4:$O$367,3,0)</f>
        <v>FI-303</v>
      </c>
      <c r="AA716" s="19" t="str">
        <f>+VLOOKUP(Ingresos_Historicos[[#This Row],[Muestra]],Estructura!$Q$4:$S$194,3,0)</f>
        <v>M-312</v>
      </c>
    </row>
    <row r="717" spans="1:27" ht="40.799999999999997" x14ac:dyDescent="0.3">
      <c r="A717" s="71" t="s">
        <v>1103</v>
      </c>
      <c r="B717" s="80">
        <v>300</v>
      </c>
      <c r="C717" s="13" t="s">
        <v>5839</v>
      </c>
      <c r="D717" s="13" t="s">
        <v>5847</v>
      </c>
      <c r="E717" s="26">
        <v>15</v>
      </c>
      <c r="F717" s="55" t="s">
        <v>7584</v>
      </c>
      <c r="G717" s="55" t="s">
        <v>7583</v>
      </c>
      <c r="H717" s="29" t="s">
        <v>15</v>
      </c>
      <c r="I717" s="28" t="s">
        <v>7619</v>
      </c>
      <c r="J717" s="12" t="s">
        <v>398</v>
      </c>
      <c r="K717" s="12" t="s">
        <v>7585</v>
      </c>
      <c r="L717" s="12" t="s">
        <v>7586</v>
      </c>
      <c r="M717" s="12" t="s">
        <v>5865</v>
      </c>
      <c r="N717" s="33" t="s">
        <v>7587</v>
      </c>
      <c r="O717" s="27" t="s">
        <v>7798</v>
      </c>
      <c r="P717" s="42" t="s">
        <v>7799</v>
      </c>
      <c r="Q717" s="14" t="s">
        <v>5967</v>
      </c>
      <c r="R717" s="90" t="s">
        <v>7655</v>
      </c>
      <c r="S717" s="15" t="s">
        <v>7800</v>
      </c>
      <c r="T717" s="65" t="s">
        <v>5937</v>
      </c>
      <c r="U717" s="24" t="s">
        <v>397</v>
      </c>
      <c r="V717" s="19" t="str">
        <f>+Ingresos_Historicos[[#This Row],[idcoleccion]]&amp;"-"&amp;Ingresos_Historicos[[#This Row],[id]]</f>
        <v>300-0707</v>
      </c>
      <c r="W717" s="19">
        <f>+VLOOKUP(Ingresos_Historicos[[#This Row],[Filtro URL]],Estructura!$X$4:$Y$366,2,0)</f>
        <v>30200015</v>
      </c>
      <c r="X717" s="19" t="str">
        <f>+VLOOKUP(Ingresos_Historicos[[#This Row],[tema]],Estructura!$A$4:$C$18,3,0)</f>
        <v>T-312</v>
      </c>
      <c r="Y717" s="19" t="str">
        <f>+VLOOKUP(Ingresos_Historicos[[#This Row],[contenido]],Estructura!$E$4:$G$18,3,0)</f>
        <v>C-304</v>
      </c>
      <c r="Z717" s="19" t="str">
        <f>+VLOOKUP(Ingresos_Historicos[[#This Row],[Filtro Integrado]],Estructura!$M$4:$O$367,3,0)</f>
        <v>FI-303</v>
      </c>
      <c r="AA717" s="19" t="str">
        <f>+VLOOKUP(Ingresos_Historicos[[#This Row],[Muestra]],Estructura!$Q$4:$S$194,3,0)</f>
        <v>M-312</v>
      </c>
    </row>
    <row r="718" spans="1:27" ht="40.799999999999997" x14ac:dyDescent="0.3">
      <c r="A718" s="71" t="s">
        <v>1104</v>
      </c>
      <c r="B718" s="82">
        <v>300</v>
      </c>
      <c r="C718" s="57" t="s">
        <v>5839</v>
      </c>
      <c r="D718" s="57" t="s">
        <v>5847</v>
      </c>
      <c r="E718" s="69">
        <v>16</v>
      </c>
      <c r="F718" s="58" t="s">
        <v>7584</v>
      </c>
      <c r="G718" s="55" t="s">
        <v>7583</v>
      </c>
      <c r="H718" s="29" t="s">
        <v>15</v>
      </c>
      <c r="I718" s="28" t="s">
        <v>7621</v>
      </c>
      <c r="J718" s="56" t="s">
        <v>398</v>
      </c>
      <c r="K718" s="56" t="s">
        <v>7585</v>
      </c>
      <c r="L718" s="56" t="s">
        <v>7586</v>
      </c>
      <c r="M718" s="56" t="s">
        <v>5865</v>
      </c>
      <c r="N718" s="60" t="s">
        <v>7587</v>
      </c>
      <c r="O718" s="34" t="s">
        <v>7801</v>
      </c>
      <c r="P718" s="61" t="s">
        <v>7802</v>
      </c>
      <c r="Q718" s="62" t="s">
        <v>5967</v>
      </c>
      <c r="R718" s="91" t="s">
        <v>7656</v>
      </c>
      <c r="S718" s="70" t="s">
        <v>7803</v>
      </c>
      <c r="T718" s="66" t="s">
        <v>5924</v>
      </c>
      <c r="U718" s="24" t="s">
        <v>397</v>
      </c>
      <c r="V718" s="19" t="str">
        <f>+Ingresos_Historicos[[#This Row],[idcoleccion]]&amp;"-"&amp;Ingresos_Historicos[[#This Row],[id]]</f>
        <v>300-0708</v>
      </c>
      <c r="W718" s="19">
        <f>+VLOOKUP(Ingresos_Historicos[[#This Row],[Filtro URL]],Estructura!$X$4:$Y$366,2,0)</f>
        <v>30200016</v>
      </c>
      <c r="X718" s="19" t="str">
        <f>+VLOOKUP(Ingresos_Historicos[[#This Row],[tema]],Estructura!$A$4:$C$18,3,0)</f>
        <v>T-312</v>
      </c>
      <c r="Y718" s="19" t="str">
        <f>+VLOOKUP(Ingresos_Historicos[[#This Row],[contenido]],Estructura!$E$4:$G$18,3,0)</f>
        <v>C-304</v>
      </c>
      <c r="Z718" s="19" t="str">
        <f>+VLOOKUP(Ingresos_Historicos[[#This Row],[Filtro Integrado]],Estructura!$M$4:$O$367,3,0)</f>
        <v>FI-303</v>
      </c>
      <c r="AA718" s="19" t="str">
        <f>+VLOOKUP(Ingresos_Historicos[[#This Row],[Muestra]],Estructura!$Q$4:$S$194,3,0)</f>
        <v>M-312</v>
      </c>
    </row>
    <row r="719" spans="1:27" ht="51" x14ac:dyDescent="0.3">
      <c r="A719" s="88" t="s">
        <v>1105</v>
      </c>
      <c r="B719" s="56">
        <v>300</v>
      </c>
      <c r="C719" s="57" t="s">
        <v>5839</v>
      </c>
      <c r="D719" s="57" t="s">
        <v>5847</v>
      </c>
      <c r="E719" s="85">
        <v>0</v>
      </c>
      <c r="F719" s="58" t="s">
        <v>7804</v>
      </c>
      <c r="G719" s="58" t="s">
        <v>7805</v>
      </c>
      <c r="H719" s="86" t="s">
        <v>19</v>
      </c>
      <c r="I719" s="87" t="s">
        <v>14</v>
      </c>
      <c r="J719" s="56" t="s">
        <v>398</v>
      </c>
      <c r="K719" s="84" t="s">
        <v>7806</v>
      </c>
      <c r="L719" s="89" t="s">
        <v>7807</v>
      </c>
      <c r="M719" s="56" t="s">
        <v>6115</v>
      </c>
      <c r="N719" s="60" t="s">
        <v>7808</v>
      </c>
      <c r="O719" s="73" t="s">
        <v>7809</v>
      </c>
      <c r="P719" s="61" t="s">
        <v>7810</v>
      </c>
      <c r="Q719" s="62" t="s">
        <v>7811</v>
      </c>
      <c r="R719" s="34" t="s">
        <v>7812</v>
      </c>
      <c r="S719" s="70" t="s">
        <v>7813</v>
      </c>
      <c r="T719" s="66">
        <v>0</v>
      </c>
      <c r="U719" s="24" t="s">
        <v>397</v>
      </c>
      <c r="V719" s="19" t="str">
        <f>+Ingresos_Historicos[[#This Row],[idcoleccion]]&amp;"-"&amp;Ingresos_Historicos[[#This Row],[id]]</f>
        <v>300-0709</v>
      </c>
      <c r="W719" s="19">
        <f>+VLOOKUP(Ingresos_Historicos[[#This Row],[Filtro URL]],Estructura!$X$4:$Y$366,2,0)</f>
        <v>30100000</v>
      </c>
      <c r="X719" s="19" t="str">
        <f>+VLOOKUP(Ingresos_Historicos[[#This Row],[tema]],Estructura!$A$4:$C$18,3,0)</f>
        <v>T-315</v>
      </c>
      <c r="Y719" s="19" t="str">
        <f>+VLOOKUP(Ingresos_Historicos[[#This Row],[contenido]],Estructura!$E$4:$G$18,3,0)</f>
        <v>C-305</v>
      </c>
      <c r="Z719" s="19" t="str">
        <f>+VLOOKUP(Ingresos_Historicos[[#This Row],[Filtro Integrado]],Estructura!$M$4:$O$367,3,0)</f>
        <v>FI-303</v>
      </c>
      <c r="AA719" s="19" t="str">
        <f>+VLOOKUP(Ingresos_Historicos[[#This Row],[Muestra]],Estructura!$Q$4:$S$194,3,0)</f>
        <v>M-313</v>
      </c>
    </row>
    <row r="720" spans="1:27" ht="40.799999999999997" x14ac:dyDescent="0.3">
      <c r="A720" s="88" t="s">
        <v>1106</v>
      </c>
      <c r="B720" s="12">
        <v>300</v>
      </c>
      <c r="C720" s="13" t="s">
        <v>7814</v>
      </c>
      <c r="D720" s="13" t="s">
        <v>5847</v>
      </c>
      <c r="E720" s="85">
        <v>0</v>
      </c>
      <c r="F720" s="13" t="s">
        <v>7815</v>
      </c>
      <c r="G720" s="93" t="s">
        <v>7816</v>
      </c>
      <c r="H720" s="86" t="s">
        <v>19</v>
      </c>
      <c r="I720" s="87" t="s">
        <v>14</v>
      </c>
      <c r="J720" s="12" t="s">
        <v>7817</v>
      </c>
      <c r="K720" s="12" t="s">
        <v>7818</v>
      </c>
      <c r="L720" s="12" t="s">
        <v>7819</v>
      </c>
      <c r="M720" s="12" t="s">
        <v>7820</v>
      </c>
      <c r="N720" s="33" t="s">
        <v>7821</v>
      </c>
      <c r="O720" s="92" t="s">
        <v>7911</v>
      </c>
      <c r="P720" s="42" t="s">
        <v>7822</v>
      </c>
      <c r="Q720" s="14" t="s">
        <v>5967</v>
      </c>
      <c r="R720" s="90" t="s">
        <v>7823</v>
      </c>
      <c r="S720" s="15" t="s">
        <v>7824</v>
      </c>
      <c r="T720" s="65" t="s">
        <v>5951</v>
      </c>
      <c r="U720" s="24" t="s">
        <v>397</v>
      </c>
      <c r="V720" s="19" t="str">
        <f>+Ingresos_Historicos[[#This Row],[idcoleccion]]&amp;"-"&amp;Ingresos_Historicos[[#This Row],[id]]</f>
        <v>300-0710</v>
      </c>
      <c r="W720" s="19">
        <f>+VLOOKUP(Ingresos_Historicos[[#This Row],[Filtro URL]],Estructura!$X$4:$Y$366,2,0)</f>
        <v>30100000</v>
      </c>
      <c r="X720" s="19" t="e">
        <f>+VLOOKUP(Ingresos_Historicos[[#This Row],[tema]],Estructura!$A$4:$C$18,3,0)</f>
        <v>#N/A</v>
      </c>
      <c r="Y720" s="19" t="str">
        <f>+VLOOKUP(Ingresos_Historicos[[#This Row],[contenido]],Estructura!$E$4:$G$18,3,0)</f>
        <v>C-306</v>
      </c>
      <c r="Z720" s="19" t="str">
        <f>+VLOOKUP(Ingresos_Historicos[[#This Row],[Filtro Integrado]],Estructura!$M$4:$O$367,3,0)</f>
        <v>FI-304</v>
      </c>
      <c r="AA720" s="19" t="str">
        <f>+VLOOKUP(Ingresos_Historicos[[#This Row],[Muestra]],Estructura!$Q$4:$S$194,3,0)</f>
        <v>M-314</v>
      </c>
    </row>
    <row r="721" spans="1:27" ht="40.799999999999997" x14ac:dyDescent="0.3">
      <c r="A721" s="71" t="s">
        <v>1107</v>
      </c>
      <c r="B721" s="12">
        <v>300</v>
      </c>
      <c r="C721" s="13" t="s">
        <v>7814</v>
      </c>
      <c r="D721" s="13" t="s">
        <v>5847</v>
      </c>
      <c r="E721" s="85">
        <v>0</v>
      </c>
      <c r="F721" s="13" t="s">
        <v>7825</v>
      </c>
      <c r="G721" s="93" t="s">
        <v>7816</v>
      </c>
      <c r="H721" s="86" t="s">
        <v>19</v>
      </c>
      <c r="I721" s="87" t="s">
        <v>14</v>
      </c>
      <c r="J721" s="12" t="s">
        <v>7817</v>
      </c>
      <c r="K721" s="12" t="s">
        <v>7826</v>
      </c>
      <c r="L721" s="12" t="s">
        <v>7819</v>
      </c>
      <c r="M721" s="12" t="s">
        <v>7827</v>
      </c>
      <c r="N721" s="33" t="s">
        <v>7821</v>
      </c>
      <c r="O721" s="92" t="s">
        <v>7912</v>
      </c>
      <c r="P721" s="42" t="s">
        <v>7828</v>
      </c>
      <c r="Q721" s="14" t="s">
        <v>5967</v>
      </c>
      <c r="R721" s="90" t="s">
        <v>7829</v>
      </c>
      <c r="S721" s="15" t="s">
        <v>7830</v>
      </c>
      <c r="T721" s="65" t="s">
        <v>5951</v>
      </c>
      <c r="U721" s="24" t="s">
        <v>397</v>
      </c>
      <c r="V721" s="19" t="str">
        <f>+Ingresos_Historicos[[#This Row],[idcoleccion]]&amp;"-"&amp;Ingresos_Historicos[[#This Row],[id]]</f>
        <v>300-0711</v>
      </c>
      <c r="W721" s="19">
        <f>+VLOOKUP(Ingresos_Historicos[[#This Row],[Filtro URL]],Estructura!$X$4:$Y$366,2,0)</f>
        <v>30100000</v>
      </c>
      <c r="X721" s="19" t="e">
        <f>+VLOOKUP(Ingresos_Historicos[[#This Row],[tema]],Estructura!$A$4:$C$18,3,0)</f>
        <v>#N/A</v>
      </c>
      <c r="Y721" s="19" t="str">
        <f>+VLOOKUP(Ingresos_Historicos[[#This Row],[contenido]],Estructura!$E$4:$G$18,3,0)</f>
        <v>C-306</v>
      </c>
      <c r="Z721" s="19" t="str">
        <f>+VLOOKUP(Ingresos_Historicos[[#This Row],[Filtro Integrado]],Estructura!$M$4:$O$367,3,0)</f>
        <v>FI-304</v>
      </c>
      <c r="AA721" s="19" t="str">
        <f>+VLOOKUP(Ingresos_Historicos[[#This Row],[Muestra]],Estructura!$Q$4:$S$194,3,0)</f>
        <v>M-315</v>
      </c>
    </row>
    <row r="722" spans="1:27" ht="40.799999999999997" x14ac:dyDescent="0.3">
      <c r="A722" s="71" t="s">
        <v>1108</v>
      </c>
      <c r="B722" s="12">
        <v>300</v>
      </c>
      <c r="C722" s="13" t="s">
        <v>7814</v>
      </c>
      <c r="D722" s="13" t="s">
        <v>5847</v>
      </c>
      <c r="E722" s="85">
        <v>0</v>
      </c>
      <c r="F722" s="13" t="s">
        <v>7831</v>
      </c>
      <c r="G722" s="93" t="s">
        <v>7816</v>
      </c>
      <c r="H722" s="86" t="s">
        <v>19</v>
      </c>
      <c r="I722" s="87" t="s">
        <v>14</v>
      </c>
      <c r="J722" s="12" t="s">
        <v>7817</v>
      </c>
      <c r="K722" s="12" t="s">
        <v>7832</v>
      </c>
      <c r="L722" s="12" t="s">
        <v>7819</v>
      </c>
      <c r="M722" s="12" t="s">
        <v>7833</v>
      </c>
      <c r="N722" s="33" t="s">
        <v>7821</v>
      </c>
      <c r="O722" s="92" t="s">
        <v>7913</v>
      </c>
      <c r="P722" s="42" t="s">
        <v>7834</v>
      </c>
      <c r="Q722" s="14" t="s">
        <v>5967</v>
      </c>
      <c r="R722" s="90" t="s">
        <v>7835</v>
      </c>
      <c r="S722" s="15" t="s">
        <v>7836</v>
      </c>
      <c r="T722" s="65" t="s">
        <v>5951</v>
      </c>
      <c r="U722" s="24" t="s">
        <v>397</v>
      </c>
      <c r="V722" s="19" t="str">
        <f>+Ingresos_Historicos[[#This Row],[idcoleccion]]&amp;"-"&amp;Ingresos_Historicos[[#This Row],[id]]</f>
        <v>300-0712</v>
      </c>
      <c r="W722" s="19">
        <f>+VLOOKUP(Ingresos_Historicos[[#This Row],[Filtro URL]],Estructura!$X$4:$Y$366,2,0)</f>
        <v>30100000</v>
      </c>
      <c r="X722" s="19" t="e">
        <f>+VLOOKUP(Ingresos_Historicos[[#This Row],[tema]],Estructura!$A$4:$C$18,3,0)</f>
        <v>#N/A</v>
      </c>
      <c r="Y722" s="19" t="str">
        <f>+VLOOKUP(Ingresos_Historicos[[#This Row],[contenido]],Estructura!$E$4:$G$18,3,0)</f>
        <v>C-306</v>
      </c>
      <c r="Z722" s="19" t="str">
        <f>+VLOOKUP(Ingresos_Historicos[[#This Row],[Filtro Integrado]],Estructura!$M$4:$O$367,3,0)</f>
        <v>FI-304</v>
      </c>
      <c r="AA722" s="19" t="str">
        <f>+VLOOKUP(Ingresos_Historicos[[#This Row],[Muestra]],Estructura!$Q$4:$S$194,3,0)</f>
        <v>M-316</v>
      </c>
    </row>
    <row r="723" spans="1:27" ht="40.799999999999997" x14ac:dyDescent="0.3">
      <c r="A723" s="71" t="s">
        <v>1109</v>
      </c>
      <c r="B723" s="12">
        <v>300</v>
      </c>
      <c r="C723" s="13" t="s">
        <v>7814</v>
      </c>
      <c r="D723" s="13" t="s">
        <v>5847</v>
      </c>
      <c r="E723" s="85">
        <v>0</v>
      </c>
      <c r="F723" s="13" t="s">
        <v>7837</v>
      </c>
      <c r="G723" s="93" t="s">
        <v>7816</v>
      </c>
      <c r="H723" s="86" t="s">
        <v>19</v>
      </c>
      <c r="I723" s="87" t="s">
        <v>14</v>
      </c>
      <c r="J723" s="12" t="s">
        <v>7817</v>
      </c>
      <c r="K723" s="12" t="s">
        <v>7838</v>
      </c>
      <c r="L723" s="12" t="s">
        <v>7819</v>
      </c>
      <c r="M723" s="12" t="s">
        <v>7839</v>
      </c>
      <c r="N723" s="33" t="s">
        <v>7821</v>
      </c>
      <c r="O723" s="92" t="s">
        <v>7914</v>
      </c>
      <c r="P723" s="42" t="s">
        <v>7834</v>
      </c>
      <c r="Q723" s="14" t="s">
        <v>5967</v>
      </c>
      <c r="R723" s="90" t="s">
        <v>7840</v>
      </c>
      <c r="S723" s="15" t="s">
        <v>7841</v>
      </c>
      <c r="T723" s="65" t="s">
        <v>5951</v>
      </c>
      <c r="U723" s="24" t="s">
        <v>397</v>
      </c>
      <c r="V723" s="19" t="str">
        <f>+Ingresos_Historicos[[#This Row],[idcoleccion]]&amp;"-"&amp;Ingresos_Historicos[[#This Row],[id]]</f>
        <v>300-0713</v>
      </c>
      <c r="W723" s="19">
        <f>+VLOOKUP(Ingresos_Historicos[[#This Row],[Filtro URL]],Estructura!$X$4:$Y$366,2,0)</f>
        <v>30100000</v>
      </c>
      <c r="X723" s="19" t="e">
        <f>+VLOOKUP(Ingresos_Historicos[[#This Row],[tema]],Estructura!$A$4:$C$18,3,0)</f>
        <v>#N/A</v>
      </c>
      <c r="Y723" s="19" t="str">
        <f>+VLOOKUP(Ingresos_Historicos[[#This Row],[contenido]],Estructura!$E$4:$G$18,3,0)</f>
        <v>C-306</v>
      </c>
      <c r="Z723" s="19" t="str">
        <f>+VLOOKUP(Ingresos_Historicos[[#This Row],[Filtro Integrado]],Estructura!$M$4:$O$367,3,0)</f>
        <v>FI-304</v>
      </c>
      <c r="AA723" s="19" t="str">
        <f>+VLOOKUP(Ingresos_Historicos[[#This Row],[Muestra]],Estructura!$Q$4:$S$194,3,0)</f>
        <v>M-317</v>
      </c>
    </row>
    <row r="724" spans="1:27" ht="72" x14ac:dyDescent="0.3">
      <c r="A724" s="71" t="s">
        <v>1110</v>
      </c>
      <c r="B724" s="12">
        <v>300</v>
      </c>
      <c r="C724" s="13" t="s">
        <v>7814</v>
      </c>
      <c r="D724" s="13" t="s">
        <v>5847</v>
      </c>
      <c r="E724" s="85">
        <v>0</v>
      </c>
      <c r="F724" s="13" t="s">
        <v>7842</v>
      </c>
      <c r="G724" s="93" t="s">
        <v>7816</v>
      </c>
      <c r="H724" s="86" t="s">
        <v>19</v>
      </c>
      <c r="I724" s="87" t="s">
        <v>14</v>
      </c>
      <c r="J724" s="12" t="s">
        <v>7817</v>
      </c>
      <c r="K724" s="12" t="s">
        <v>7843</v>
      </c>
      <c r="L724" s="12" t="s">
        <v>7819</v>
      </c>
      <c r="M724" s="12" t="s">
        <v>7844</v>
      </c>
      <c r="N724" s="33" t="s">
        <v>7821</v>
      </c>
      <c r="O724" s="92" t="s">
        <v>7915</v>
      </c>
      <c r="P724" s="42" t="s">
        <v>7845</v>
      </c>
      <c r="Q724" s="14" t="s">
        <v>5967</v>
      </c>
      <c r="R724" s="90" t="s">
        <v>7846</v>
      </c>
      <c r="S724" s="15" t="s">
        <v>7847</v>
      </c>
      <c r="T724" s="65" t="s">
        <v>5951</v>
      </c>
      <c r="U724" s="24" t="s">
        <v>397</v>
      </c>
      <c r="V724" s="19" t="str">
        <f>+Ingresos_Historicos[[#This Row],[idcoleccion]]&amp;"-"&amp;Ingresos_Historicos[[#This Row],[id]]</f>
        <v>300-0714</v>
      </c>
      <c r="W724" s="19">
        <f>+VLOOKUP(Ingresos_Historicos[[#This Row],[Filtro URL]],Estructura!$X$4:$Y$366,2,0)</f>
        <v>30100000</v>
      </c>
      <c r="X724" s="19" t="e">
        <f>+VLOOKUP(Ingresos_Historicos[[#This Row],[tema]],Estructura!$A$4:$C$18,3,0)</f>
        <v>#N/A</v>
      </c>
      <c r="Y724" s="19" t="str">
        <f>+VLOOKUP(Ingresos_Historicos[[#This Row],[contenido]],Estructura!$E$4:$G$18,3,0)</f>
        <v>C-306</v>
      </c>
      <c r="Z724" s="19" t="str">
        <f>+VLOOKUP(Ingresos_Historicos[[#This Row],[Filtro Integrado]],Estructura!$M$4:$O$367,3,0)</f>
        <v>FI-304</v>
      </c>
      <c r="AA724" s="19" t="str">
        <f>+VLOOKUP(Ingresos_Historicos[[#This Row],[Muestra]],Estructura!$Q$4:$S$194,3,0)</f>
        <v>M-318</v>
      </c>
    </row>
    <row r="725" spans="1:27" ht="40.799999999999997" x14ac:dyDescent="0.3">
      <c r="A725" s="71" t="s">
        <v>1111</v>
      </c>
      <c r="B725" s="12">
        <v>300</v>
      </c>
      <c r="C725" s="13" t="s">
        <v>7814</v>
      </c>
      <c r="D725" s="13" t="s">
        <v>5847</v>
      </c>
      <c r="E725" s="85">
        <v>0</v>
      </c>
      <c r="F725" s="13" t="s">
        <v>7815</v>
      </c>
      <c r="G725" s="93" t="s">
        <v>7816</v>
      </c>
      <c r="H725" s="86" t="s">
        <v>19</v>
      </c>
      <c r="I725" s="87" t="s">
        <v>14</v>
      </c>
      <c r="J725" s="12" t="s">
        <v>7817</v>
      </c>
      <c r="K725" s="12" t="s">
        <v>7848</v>
      </c>
      <c r="L725" s="12" t="s">
        <v>7819</v>
      </c>
      <c r="M725" s="12" t="s">
        <v>6115</v>
      </c>
      <c r="N725" s="33" t="s">
        <v>7821</v>
      </c>
      <c r="O725" s="27" t="s">
        <v>7916</v>
      </c>
      <c r="P725" s="42" t="s">
        <v>7849</v>
      </c>
      <c r="Q725" s="14" t="s">
        <v>5967</v>
      </c>
      <c r="R725" s="90" t="s">
        <v>7850</v>
      </c>
      <c r="S725" s="15" t="s">
        <v>7851</v>
      </c>
      <c r="T725" s="65" t="s">
        <v>5951</v>
      </c>
      <c r="U725" s="24" t="s">
        <v>397</v>
      </c>
      <c r="V725" s="19" t="str">
        <f>+Ingresos_Historicos[[#This Row],[idcoleccion]]&amp;"-"&amp;Ingresos_Historicos[[#This Row],[id]]</f>
        <v>300-0715</v>
      </c>
      <c r="W725" s="19">
        <f>+VLOOKUP(Ingresos_Historicos[[#This Row],[Filtro URL]],Estructura!$X$4:$Y$366,2,0)</f>
        <v>30100000</v>
      </c>
      <c r="X725" s="19" t="e">
        <f>+VLOOKUP(Ingresos_Historicos[[#This Row],[tema]],Estructura!$A$4:$C$18,3,0)</f>
        <v>#N/A</v>
      </c>
      <c r="Y725" s="19" t="str">
        <f>+VLOOKUP(Ingresos_Historicos[[#This Row],[contenido]],Estructura!$E$4:$G$18,3,0)</f>
        <v>C-306</v>
      </c>
      <c r="Z725" s="19" t="str">
        <f>+VLOOKUP(Ingresos_Historicos[[#This Row],[Filtro Integrado]],Estructura!$M$4:$O$367,3,0)</f>
        <v>FI-304</v>
      </c>
      <c r="AA725" s="19" t="str">
        <f>+VLOOKUP(Ingresos_Historicos[[#This Row],[Muestra]],Estructura!$Q$4:$S$194,3,0)</f>
        <v>M-319</v>
      </c>
    </row>
    <row r="726" spans="1:27" ht="51" x14ac:dyDescent="0.3">
      <c r="A726" s="71" t="s">
        <v>1112</v>
      </c>
      <c r="B726" s="12">
        <v>300</v>
      </c>
      <c r="C726" s="13" t="s">
        <v>7814</v>
      </c>
      <c r="D726" s="13" t="s">
        <v>5847</v>
      </c>
      <c r="E726" s="85">
        <v>0</v>
      </c>
      <c r="F726" s="13" t="s">
        <v>7825</v>
      </c>
      <c r="G726" s="93" t="s">
        <v>7816</v>
      </c>
      <c r="H726" s="86" t="s">
        <v>19</v>
      </c>
      <c r="I726" s="87" t="s">
        <v>14</v>
      </c>
      <c r="J726" s="12" t="s">
        <v>7817</v>
      </c>
      <c r="K726" s="12" t="s">
        <v>7852</v>
      </c>
      <c r="L726" s="12" t="s">
        <v>7819</v>
      </c>
      <c r="M726" s="12" t="s">
        <v>7853</v>
      </c>
      <c r="N726" s="33" t="s">
        <v>7821</v>
      </c>
      <c r="O726" s="27" t="s">
        <v>7917</v>
      </c>
      <c r="P726" s="42" t="s">
        <v>7854</v>
      </c>
      <c r="Q726" s="14" t="s">
        <v>5967</v>
      </c>
      <c r="R726" s="90" t="s">
        <v>7855</v>
      </c>
      <c r="S726" s="15" t="s">
        <v>7856</v>
      </c>
      <c r="T726" s="65" t="s">
        <v>5951</v>
      </c>
      <c r="U726" s="24" t="s">
        <v>397</v>
      </c>
      <c r="V726" s="19" t="str">
        <f>+Ingresos_Historicos[[#This Row],[idcoleccion]]&amp;"-"&amp;Ingresos_Historicos[[#This Row],[id]]</f>
        <v>300-0716</v>
      </c>
      <c r="W726" s="19">
        <f>+VLOOKUP(Ingresos_Historicos[[#This Row],[Filtro URL]],Estructura!$X$4:$Y$366,2,0)</f>
        <v>30100000</v>
      </c>
      <c r="X726" s="19" t="e">
        <f>+VLOOKUP(Ingresos_Historicos[[#This Row],[tema]],Estructura!$A$4:$C$18,3,0)</f>
        <v>#N/A</v>
      </c>
      <c r="Y726" s="19" t="str">
        <f>+VLOOKUP(Ingresos_Historicos[[#This Row],[contenido]],Estructura!$E$4:$G$18,3,0)</f>
        <v>C-306</v>
      </c>
      <c r="Z726" s="19" t="str">
        <f>+VLOOKUP(Ingresos_Historicos[[#This Row],[Filtro Integrado]],Estructura!$M$4:$O$367,3,0)</f>
        <v>FI-304</v>
      </c>
      <c r="AA726" s="19" t="str">
        <f>+VLOOKUP(Ingresos_Historicos[[#This Row],[Muestra]],Estructura!$Q$4:$S$194,3,0)</f>
        <v>M-320</v>
      </c>
    </row>
    <row r="727" spans="1:27" ht="40.799999999999997" x14ac:dyDescent="0.3">
      <c r="A727" s="71" t="s">
        <v>1113</v>
      </c>
      <c r="B727" s="12">
        <v>300</v>
      </c>
      <c r="C727" s="13" t="s">
        <v>7814</v>
      </c>
      <c r="D727" s="13" t="s">
        <v>5847</v>
      </c>
      <c r="E727" s="85">
        <v>0</v>
      </c>
      <c r="F727" s="13" t="s">
        <v>7831</v>
      </c>
      <c r="G727" s="93" t="s">
        <v>7816</v>
      </c>
      <c r="H727" s="86" t="s">
        <v>19</v>
      </c>
      <c r="I727" s="87" t="s">
        <v>14</v>
      </c>
      <c r="J727" s="12" t="s">
        <v>7817</v>
      </c>
      <c r="K727" s="12" t="s">
        <v>7857</v>
      </c>
      <c r="L727" s="12" t="s">
        <v>7819</v>
      </c>
      <c r="M727" s="12" t="s">
        <v>7853</v>
      </c>
      <c r="N727" s="33" t="s">
        <v>7821</v>
      </c>
      <c r="O727" s="27" t="s">
        <v>7918</v>
      </c>
      <c r="P727" s="42" t="s">
        <v>7858</v>
      </c>
      <c r="Q727" s="14" t="s">
        <v>5967</v>
      </c>
      <c r="R727" s="90" t="s">
        <v>7859</v>
      </c>
      <c r="S727" s="15" t="s">
        <v>7860</v>
      </c>
      <c r="T727" s="65" t="s">
        <v>5951</v>
      </c>
      <c r="U727" s="24" t="s">
        <v>397</v>
      </c>
      <c r="V727" s="19" t="str">
        <f>+Ingresos_Historicos[[#This Row],[idcoleccion]]&amp;"-"&amp;Ingresos_Historicos[[#This Row],[id]]</f>
        <v>300-0717</v>
      </c>
      <c r="W727" s="19">
        <f>+VLOOKUP(Ingresos_Historicos[[#This Row],[Filtro URL]],Estructura!$X$4:$Y$366,2,0)</f>
        <v>30100000</v>
      </c>
      <c r="X727" s="19" t="e">
        <f>+VLOOKUP(Ingresos_Historicos[[#This Row],[tema]],Estructura!$A$4:$C$18,3,0)</f>
        <v>#N/A</v>
      </c>
      <c r="Y727" s="19" t="str">
        <f>+VLOOKUP(Ingresos_Historicos[[#This Row],[contenido]],Estructura!$E$4:$G$18,3,0)</f>
        <v>C-306</v>
      </c>
      <c r="Z727" s="19" t="str">
        <f>+VLOOKUP(Ingresos_Historicos[[#This Row],[Filtro Integrado]],Estructura!$M$4:$O$367,3,0)</f>
        <v>FI-304</v>
      </c>
      <c r="AA727" s="19" t="str">
        <f>+VLOOKUP(Ingresos_Historicos[[#This Row],[Muestra]],Estructura!$Q$4:$S$194,3,0)</f>
        <v>M-321</v>
      </c>
    </row>
    <row r="728" spans="1:27" ht="40.799999999999997" x14ac:dyDescent="0.3">
      <c r="A728" s="71" t="s">
        <v>1114</v>
      </c>
      <c r="B728" s="12">
        <v>300</v>
      </c>
      <c r="C728" s="13" t="s">
        <v>7814</v>
      </c>
      <c r="D728" s="13" t="s">
        <v>5847</v>
      </c>
      <c r="E728" s="85">
        <v>0</v>
      </c>
      <c r="F728" s="13" t="s">
        <v>7837</v>
      </c>
      <c r="G728" s="93" t="s">
        <v>7816</v>
      </c>
      <c r="H728" s="86" t="s">
        <v>19</v>
      </c>
      <c r="I728" s="87" t="s">
        <v>14</v>
      </c>
      <c r="J728" s="12" t="s">
        <v>7817</v>
      </c>
      <c r="K728" s="12" t="s">
        <v>7861</v>
      </c>
      <c r="L728" s="12" t="s">
        <v>7819</v>
      </c>
      <c r="M728" s="12" t="s">
        <v>6115</v>
      </c>
      <c r="N728" s="33" t="s">
        <v>7821</v>
      </c>
      <c r="O728" s="27" t="s">
        <v>7919</v>
      </c>
      <c r="P728" s="42" t="s">
        <v>7862</v>
      </c>
      <c r="Q728" s="14" t="s">
        <v>5967</v>
      </c>
      <c r="R728" s="90" t="s">
        <v>7863</v>
      </c>
      <c r="S728" s="15" t="s">
        <v>7864</v>
      </c>
      <c r="T728" s="65" t="s">
        <v>5951</v>
      </c>
      <c r="U728" s="24" t="s">
        <v>397</v>
      </c>
      <c r="V728" s="19" t="str">
        <f>+Ingresos_Historicos[[#This Row],[idcoleccion]]&amp;"-"&amp;Ingresos_Historicos[[#This Row],[id]]</f>
        <v>300-0718</v>
      </c>
      <c r="W728" s="19">
        <f>+VLOOKUP(Ingresos_Historicos[[#This Row],[Filtro URL]],Estructura!$X$4:$Y$366,2,0)</f>
        <v>30100000</v>
      </c>
      <c r="X728" s="19" t="e">
        <f>+VLOOKUP(Ingresos_Historicos[[#This Row],[tema]],Estructura!$A$4:$C$18,3,0)</f>
        <v>#N/A</v>
      </c>
      <c r="Y728" s="19" t="str">
        <f>+VLOOKUP(Ingresos_Historicos[[#This Row],[contenido]],Estructura!$E$4:$G$18,3,0)</f>
        <v>C-306</v>
      </c>
      <c r="Z728" s="19" t="str">
        <f>+VLOOKUP(Ingresos_Historicos[[#This Row],[Filtro Integrado]],Estructura!$M$4:$O$367,3,0)</f>
        <v>FI-304</v>
      </c>
      <c r="AA728" s="19" t="str">
        <f>+VLOOKUP(Ingresos_Historicos[[#This Row],[Muestra]],Estructura!$Q$4:$S$194,3,0)</f>
        <v>M-322</v>
      </c>
    </row>
    <row r="729" spans="1:27" ht="60" x14ac:dyDescent="0.3">
      <c r="A729" s="71" t="s">
        <v>1115</v>
      </c>
      <c r="B729" s="56">
        <v>300</v>
      </c>
      <c r="C729" s="57" t="s">
        <v>7814</v>
      </c>
      <c r="D729" s="57" t="s">
        <v>5847</v>
      </c>
      <c r="E729" s="85">
        <v>0</v>
      </c>
      <c r="F729" s="57" t="s">
        <v>7842</v>
      </c>
      <c r="G729" s="94" t="s">
        <v>7816</v>
      </c>
      <c r="H729" s="86" t="s">
        <v>19</v>
      </c>
      <c r="I729" s="87" t="s">
        <v>14</v>
      </c>
      <c r="J729" s="56" t="s">
        <v>7817</v>
      </c>
      <c r="K729" s="56" t="s">
        <v>7865</v>
      </c>
      <c r="L729" s="56" t="s">
        <v>7819</v>
      </c>
      <c r="M729" s="56" t="s">
        <v>7853</v>
      </c>
      <c r="N729" s="60" t="s">
        <v>7821</v>
      </c>
      <c r="O729" s="34" t="s">
        <v>7920</v>
      </c>
      <c r="P729" s="61" t="s">
        <v>7866</v>
      </c>
      <c r="Q729" s="62" t="s">
        <v>5967</v>
      </c>
      <c r="R729" s="91" t="s">
        <v>7867</v>
      </c>
      <c r="S729" s="70" t="s">
        <v>7868</v>
      </c>
      <c r="T729" s="66" t="s">
        <v>5951</v>
      </c>
      <c r="U729" s="24" t="s">
        <v>397</v>
      </c>
      <c r="V729" s="19" t="str">
        <f>+Ingresos_Historicos[[#This Row],[idcoleccion]]&amp;"-"&amp;Ingresos_Historicos[[#This Row],[id]]</f>
        <v>300-0719</v>
      </c>
      <c r="W729" s="19">
        <f>+VLOOKUP(Ingresos_Historicos[[#This Row],[Filtro URL]],Estructura!$X$4:$Y$366,2,0)</f>
        <v>30100000</v>
      </c>
      <c r="X729" s="19" t="e">
        <f>+VLOOKUP(Ingresos_Historicos[[#This Row],[tema]],Estructura!$A$4:$C$18,3,0)</f>
        <v>#N/A</v>
      </c>
      <c r="Y729" s="19" t="str">
        <f>+VLOOKUP(Ingresos_Historicos[[#This Row],[contenido]],Estructura!$E$4:$G$18,3,0)</f>
        <v>C-306</v>
      </c>
      <c r="Z729" s="19" t="str">
        <f>+VLOOKUP(Ingresos_Historicos[[#This Row],[Filtro Integrado]],Estructura!$M$4:$O$367,3,0)</f>
        <v>FI-304</v>
      </c>
      <c r="AA729" s="19" t="str">
        <f>+VLOOKUP(Ingresos_Historicos[[#This Row],[Muestra]],Estructura!$Q$4:$S$194,3,0)</f>
        <v>M-323</v>
      </c>
    </row>
    <row r="730" spans="1:27" ht="40.799999999999997" x14ac:dyDescent="0.3">
      <c r="A730" s="71" t="s">
        <v>1116</v>
      </c>
      <c r="B730" s="12">
        <v>300</v>
      </c>
      <c r="C730" s="13" t="s">
        <v>7814</v>
      </c>
      <c r="D730" s="13" t="s">
        <v>5847</v>
      </c>
      <c r="E730" s="85">
        <v>0</v>
      </c>
      <c r="F730" s="13" t="s">
        <v>7869</v>
      </c>
      <c r="G730" s="95" t="s">
        <v>7922</v>
      </c>
      <c r="H730" s="86" t="s">
        <v>19</v>
      </c>
      <c r="I730" s="87" t="s">
        <v>14</v>
      </c>
      <c r="J730" s="12" t="s">
        <v>7817</v>
      </c>
      <c r="K730" s="12" t="s">
        <v>7870</v>
      </c>
      <c r="L730" s="12" t="s">
        <v>7871</v>
      </c>
      <c r="M730" s="12" t="s">
        <v>7820</v>
      </c>
      <c r="N730" s="33" t="s">
        <v>7821</v>
      </c>
      <c r="O730" s="92" t="s">
        <v>7921</v>
      </c>
      <c r="P730" s="42" t="s">
        <v>7872</v>
      </c>
      <c r="Q730" s="14" t="s">
        <v>5967</v>
      </c>
      <c r="R730" s="90" t="s">
        <v>7873</v>
      </c>
      <c r="S730" s="15" t="s">
        <v>7874</v>
      </c>
      <c r="T730" s="65" t="s">
        <v>5951</v>
      </c>
      <c r="U730" s="24" t="s">
        <v>397</v>
      </c>
      <c r="V730" s="19" t="str">
        <f>+Ingresos_Historicos[[#This Row],[idcoleccion]]&amp;"-"&amp;Ingresos_Historicos[[#This Row],[id]]</f>
        <v>300-0720</v>
      </c>
      <c r="W730" s="19">
        <f>+VLOOKUP(Ingresos_Historicos[[#This Row],[Filtro URL]],Estructura!$X$4:$Y$366,2,0)</f>
        <v>30100000</v>
      </c>
      <c r="X730" s="19" t="e">
        <f>+VLOOKUP(Ingresos_Historicos[[#This Row],[tema]],Estructura!$A$4:$C$18,3,0)</f>
        <v>#N/A</v>
      </c>
      <c r="Y730" s="19" t="str">
        <f>+VLOOKUP(Ingresos_Historicos[[#This Row],[contenido]],Estructura!$E$4:$G$18,3,0)</f>
        <v>C-307</v>
      </c>
      <c r="Z730" s="19" t="str">
        <f>+VLOOKUP(Ingresos_Historicos[[#This Row],[Filtro Integrado]],Estructura!$M$4:$O$367,3,0)</f>
        <v>FI-304</v>
      </c>
      <c r="AA730" s="19" t="str">
        <f>+VLOOKUP(Ingresos_Historicos[[#This Row],[Muestra]],Estructura!$Q$4:$S$194,3,0)</f>
        <v>M-324</v>
      </c>
    </row>
    <row r="731" spans="1:27" ht="40.799999999999997" x14ac:dyDescent="0.3">
      <c r="A731" s="71" t="s">
        <v>1117</v>
      </c>
      <c r="B731" s="12">
        <v>300</v>
      </c>
      <c r="C731" s="13" t="s">
        <v>7814</v>
      </c>
      <c r="D731" s="13" t="s">
        <v>5847</v>
      </c>
      <c r="E731" s="85">
        <v>0</v>
      </c>
      <c r="F731" s="13" t="s">
        <v>7875</v>
      </c>
      <c r="G731" s="95" t="s">
        <v>7922</v>
      </c>
      <c r="H731" s="86" t="s">
        <v>19</v>
      </c>
      <c r="I731" s="87" t="s">
        <v>14</v>
      </c>
      <c r="J731" s="12" t="s">
        <v>7817</v>
      </c>
      <c r="K731" s="12" t="s">
        <v>7826</v>
      </c>
      <c r="L731" s="12" t="s">
        <v>7871</v>
      </c>
      <c r="M731" s="12" t="s">
        <v>7827</v>
      </c>
      <c r="N731" s="33" t="s">
        <v>7821</v>
      </c>
      <c r="O731" s="92" t="s">
        <v>7923</v>
      </c>
      <c r="P731" s="42" t="s">
        <v>7876</v>
      </c>
      <c r="Q731" s="14" t="s">
        <v>5967</v>
      </c>
      <c r="R731" s="90" t="s">
        <v>7877</v>
      </c>
      <c r="S731" s="15" t="s">
        <v>7878</v>
      </c>
      <c r="T731" s="65" t="s">
        <v>5951</v>
      </c>
      <c r="U731" s="24" t="s">
        <v>397</v>
      </c>
      <c r="V731" s="19" t="str">
        <f>+Ingresos_Historicos[[#This Row],[idcoleccion]]&amp;"-"&amp;Ingresos_Historicos[[#This Row],[id]]</f>
        <v>300-0721</v>
      </c>
      <c r="W731" s="19">
        <f>+VLOOKUP(Ingresos_Historicos[[#This Row],[Filtro URL]],Estructura!$X$4:$Y$366,2,0)</f>
        <v>30100000</v>
      </c>
      <c r="X731" s="19" t="e">
        <f>+VLOOKUP(Ingresos_Historicos[[#This Row],[tema]],Estructura!$A$4:$C$18,3,0)</f>
        <v>#N/A</v>
      </c>
      <c r="Y731" s="19" t="str">
        <f>+VLOOKUP(Ingresos_Historicos[[#This Row],[contenido]],Estructura!$E$4:$G$18,3,0)</f>
        <v>C-307</v>
      </c>
      <c r="Z731" s="19" t="str">
        <f>+VLOOKUP(Ingresos_Historicos[[#This Row],[Filtro Integrado]],Estructura!$M$4:$O$367,3,0)</f>
        <v>FI-304</v>
      </c>
      <c r="AA731" s="19" t="str">
        <f>+VLOOKUP(Ingresos_Historicos[[#This Row],[Muestra]],Estructura!$Q$4:$S$194,3,0)</f>
        <v>M-315</v>
      </c>
    </row>
    <row r="732" spans="1:27" ht="40.799999999999997" x14ac:dyDescent="0.3">
      <c r="A732" s="71" t="s">
        <v>1118</v>
      </c>
      <c r="B732" s="12">
        <v>300</v>
      </c>
      <c r="C732" s="13" t="s">
        <v>7814</v>
      </c>
      <c r="D732" s="13" t="s">
        <v>5847</v>
      </c>
      <c r="E732" s="85">
        <v>0</v>
      </c>
      <c r="F732" s="13" t="s">
        <v>7879</v>
      </c>
      <c r="G732" s="95" t="s">
        <v>7922</v>
      </c>
      <c r="H732" s="86" t="s">
        <v>19</v>
      </c>
      <c r="I732" s="87" t="s">
        <v>14</v>
      </c>
      <c r="J732" s="12" t="s">
        <v>7817</v>
      </c>
      <c r="K732" s="12" t="s">
        <v>7832</v>
      </c>
      <c r="L732" s="12" t="s">
        <v>7871</v>
      </c>
      <c r="M732" s="12" t="s">
        <v>7833</v>
      </c>
      <c r="N732" s="33" t="s">
        <v>7821</v>
      </c>
      <c r="O732" s="92" t="s">
        <v>7924</v>
      </c>
      <c r="P732" s="42" t="s">
        <v>7880</v>
      </c>
      <c r="Q732" s="14" t="s">
        <v>5967</v>
      </c>
      <c r="R732" s="90" t="s">
        <v>7881</v>
      </c>
      <c r="S732" s="15" t="s">
        <v>7882</v>
      </c>
      <c r="T732" s="65" t="s">
        <v>5951</v>
      </c>
      <c r="U732" s="24" t="s">
        <v>397</v>
      </c>
      <c r="V732" s="19" t="str">
        <f>+Ingresos_Historicos[[#This Row],[idcoleccion]]&amp;"-"&amp;Ingresos_Historicos[[#This Row],[id]]</f>
        <v>300-0722</v>
      </c>
      <c r="W732" s="19">
        <f>+VLOOKUP(Ingresos_Historicos[[#This Row],[Filtro URL]],Estructura!$X$4:$Y$366,2,0)</f>
        <v>30100000</v>
      </c>
      <c r="X732" s="19" t="e">
        <f>+VLOOKUP(Ingresos_Historicos[[#This Row],[tema]],Estructura!$A$4:$C$18,3,0)</f>
        <v>#N/A</v>
      </c>
      <c r="Y732" s="19" t="str">
        <f>+VLOOKUP(Ingresos_Historicos[[#This Row],[contenido]],Estructura!$E$4:$G$18,3,0)</f>
        <v>C-307</v>
      </c>
      <c r="Z732" s="19" t="str">
        <f>+VLOOKUP(Ingresos_Historicos[[#This Row],[Filtro Integrado]],Estructura!$M$4:$O$367,3,0)</f>
        <v>FI-304</v>
      </c>
      <c r="AA732" s="19" t="str">
        <f>+VLOOKUP(Ingresos_Historicos[[#This Row],[Muestra]],Estructura!$Q$4:$S$194,3,0)</f>
        <v>M-316</v>
      </c>
    </row>
    <row r="733" spans="1:27" ht="40.799999999999997" x14ac:dyDescent="0.3">
      <c r="A733" s="71" t="s">
        <v>1119</v>
      </c>
      <c r="B733" s="12">
        <v>300</v>
      </c>
      <c r="C733" s="13" t="s">
        <v>7814</v>
      </c>
      <c r="D733" s="13" t="s">
        <v>5847</v>
      </c>
      <c r="E733" s="85">
        <v>0</v>
      </c>
      <c r="F733" s="13" t="s">
        <v>7883</v>
      </c>
      <c r="G733" s="95" t="s">
        <v>7922</v>
      </c>
      <c r="H733" s="86" t="s">
        <v>19</v>
      </c>
      <c r="I733" s="87" t="s">
        <v>14</v>
      </c>
      <c r="J733" s="12" t="s">
        <v>7817</v>
      </c>
      <c r="K733" s="12" t="s">
        <v>7838</v>
      </c>
      <c r="L733" s="12" t="s">
        <v>7871</v>
      </c>
      <c r="M733" s="12" t="s">
        <v>7839</v>
      </c>
      <c r="N733" s="33" t="s">
        <v>7821</v>
      </c>
      <c r="O733" s="92" t="s">
        <v>7925</v>
      </c>
      <c r="P733" s="42" t="s">
        <v>7884</v>
      </c>
      <c r="Q733" s="14" t="s">
        <v>5967</v>
      </c>
      <c r="R733" s="90" t="s">
        <v>7885</v>
      </c>
      <c r="S733" s="15" t="s">
        <v>7886</v>
      </c>
      <c r="T733" s="65" t="s">
        <v>5951</v>
      </c>
      <c r="U733" s="24" t="s">
        <v>397</v>
      </c>
      <c r="V733" s="19" t="str">
        <f>+Ingresos_Historicos[[#This Row],[idcoleccion]]&amp;"-"&amp;Ingresos_Historicos[[#This Row],[id]]</f>
        <v>300-0723</v>
      </c>
      <c r="W733" s="19">
        <f>+VLOOKUP(Ingresos_Historicos[[#This Row],[Filtro URL]],Estructura!$X$4:$Y$366,2,0)</f>
        <v>30100000</v>
      </c>
      <c r="X733" s="19" t="e">
        <f>+VLOOKUP(Ingresos_Historicos[[#This Row],[tema]],Estructura!$A$4:$C$18,3,0)</f>
        <v>#N/A</v>
      </c>
      <c r="Y733" s="19" t="str">
        <f>+VLOOKUP(Ingresos_Historicos[[#This Row],[contenido]],Estructura!$E$4:$G$18,3,0)</f>
        <v>C-307</v>
      </c>
      <c r="Z733" s="19" t="str">
        <f>+VLOOKUP(Ingresos_Historicos[[#This Row],[Filtro Integrado]],Estructura!$M$4:$O$367,3,0)</f>
        <v>FI-304</v>
      </c>
      <c r="AA733" s="19" t="str">
        <f>+VLOOKUP(Ingresos_Historicos[[#This Row],[Muestra]],Estructura!$Q$4:$S$194,3,0)</f>
        <v>M-317</v>
      </c>
    </row>
    <row r="734" spans="1:27" ht="72" x14ac:dyDescent="0.3">
      <c r="A734" s="71" t="s">
        <v>1120</v>
      </c>
      <c r="B734" s="12">
        <v>300</v>
      </c>
      <c r="C734" s="13" t="s">
        <v>7814</v>
      </c>
      <c r="D734" s="13" t="s">
        <v>5847</v>
      </c>
      <c r="E734" s="85">
        <v>0</v>
      </c>
      <c r="F734" s="13" t="s">
        <v>7887</v>
      </c>
      <c r="G734" s="95" t="s">
        <v>7922</v>
      </c>
      <c r="H734" s="86" t="s">
        <v>19</v>
      </c>
      <c r="I734" s="87" t="s">
        <v>14</v>
      </c>
      <c r="J734" s="12" t="s">
        <v>7817</v>
      </c>
      <c r="K734" s="12" t="s">
        <v>7843</v>
      </c>
      <c r="L734" s="12" t="s">
        <v>7871</v>
      </c>
      <c r="M734" s="12" t="s">
        <v>7844</v>
      </c>
      <c r="N734" s="33" t="s">
        <v>7821</v>
      </c>
      <c r="O734" s="92" t="s">
        <v>7926</v>
      </c>
      <c r="P734" s="42" t="s">
        <v>7888</v>
      </c>
      <c r="Q734" s="14" t="s">
        <v>5967</v>
      </c>
      <c r="R734" s="90" t="s">
        <v>7889</v>
      </c>
      <c r="S734" s="15" t="s">
        <v>7890</v>
      </c>
      <c r="T734" s="65" t="s">
        <v>5951</v>
      </c>
      <c r="U734" s="24" t="s">
        <v>397</v>
      </c>
      <c r="V734" s="19" t="str">
        <f>+Ingresos_Historicos[[#This Row],[idcoleccion]]&amp;"-"&amp;Ingresos_Historicos[[#This Row],[id]]</f>
        <v>300-0724</v>
      </c>
      <c r="W734" s="19">
        <f>+VLOOKUP(Ingresos_Historicos[[#This Row],[Filtro URL]],Estructura!$X$4:$Y$366,2,0)</f>
        <v>30100000</v>
      </c>
      <c r="X734" s="19" t="e">
        <f>+VLOOKUP(Ingresos_Historicos[[#This Row],[tema]],Estructura!$A$4:$C$18,3,0)</f>
        <v>#N/A</v>
      </c>
      <c r="Y734" s="19" t="str">
        <f>+VLOOKUP(Ingresos_Historicos[[#This Row],[contenido]],Estructura!$E$4:$G$18,3,0)</f>
        <v>C-307</v>
      </c>
      <c r="Z734" s="19" t="str">
        <f>+VLOOKUP(Ingresos_Historicos[[#This Row],[Filtro Integrado]],Estructura!$M$4:$O$367,3,0)</f>
        <v>FI-304</v>
      </c>
      <c r="AA734" s="19" t="str">
        <f>+VLOOKUP(Ingresos_Historicos[[#This Row],[Muestra]],Estructura!$Q$4:$S$194,3,0)</f>
        <v>M-318</v>
      </c>
    </row>
    <row r="735" spans="1:27" ht="40.799999999999997" x14ac:dyDescent="0.3">
      <c r="A735" s="71" t="s">
        <v>1121</v>
      </c>
      <c r="B735" s="12">
        <v>300</v>
      </c>
      <c r="C735" s="13" t="s">
        <v>7814</v>
      </c>
      <c r="D735" s="13" t="s">
        <v>5847</v>
      </c>
      <c r="E735" s="85">
        <v>0</v>
      </c>
      <c r="F735" s="13" t="s">
        <v>7869</v>
      </c>
      <c r="G735" s="95" t="s">
        <v>7922</v>
      </c>
      <c r="H735" s="86" t="s">
        <v>19</v>
      </c>
      <c r="I735" s="87" t="s">
        <v>14</v>
      </c>
      <c r="J735" s="12" t="s">
        <v>7817</v>
      </c>
      <c r="K735" s="12" t="s">
        <v>7891</v>
      </c>
      <c r="L735" s="12" t="s">
        <v>7871</v>
      </c>
      <c r="M735" s="12" t="s">
        <v>6115</v>
      </c>
      <c r="N735" s="33" t="s">
        <v>7821</v>
      </c>
      <c r="O735" s="27" t="s">
        <v>7927</v>
      </c>
      <c r="P735" s="42" t="s">
        <v>7892</v>
      </c>
      <c r="Q735" s="14" t="s">
        <v>5967</v>
      </c>
      <c r="R735" s="90" t="s">
        <v>7893</v>
      </c>
      <c r="S735" s="15" t="s">
        <v>7894</v>
      </c>
      <c r="T735" s="65" t="s">
        <v>5951</v>
      </c>
      <c r="U735" s="24" t="s">
        <v>397</v>
      </c>
      <c r="V735" s="19" t="str">
        <f>+Ingresos_Historicos[[#This Row],[idcoleccion]]&amp;"-"&amp;Ingresos_Historicos[[#This Row],[id]]</f>
        <v>300-0725</v>
      </c>
      <c r="W735" s="19">
        <f>+VLOOKUP(Ingresos_Historicos[[#This Row],[Filtro URL]],Estructura!$X$4:$Y$366,2,0)</f>
        <v>30100000</v>
      </c>
      <c r="X735" s="19" t="e">
        <f>+VLOOKUP(Ingresos_Historicos[[#This Row],[tema]],Estructura!$A$4:$C$18,3,0)</f>
        <v>#N/A</v>
      </c>
      <c r="Y735" s="19" t="str">
        <f>+VLOOKUP(Ingresos_Historicos[[#This Row],[contenido]],Estructura!$E$4:$G$18,3,0)</f>
        <v>C-307</v>
      </c>
      <c r="Z735" s="19" t="str">
        <f>+VLOOKUP(Ingresos_Historicos[[#This Row],[Filtro Integrado]],Estructura!$M$4:$O$367,3,0)</f>
        <v>FI-304</v>
      </c>
      <c r="AA735" s="19" t="str">
        <f>+VLOOKUP(Ingresos_Historicos[[#This Row],[Muestra]],Estructura!$Q$4:$S$194,3,0)</f>
        <v>M-325</v>
      </c>
    </row>
    <row r="736" spans="1:27" ht="40.799999999999997" x14ac:dyDescent="0.3">
      <c r="A736" s="71" t="s">
        <v>1122</v>
      </c>
      <c r="B736" s="12">
        <v>300</v>
      </c>
      <c r="C736" s="13" t="s">
        <v>7814</v>
      </c>
      <c r="D736" s="13" t="s">
        <v>5847</v>
      </c>
      <c r="E736" s="85">
        <v>0</v>
      </c>
      <c r="F736" s="13" t="s">
        <v>7875</v>
      </c>
      <c r="G736" s="95" t="s">
        <v>7922</v>
      </c>
      <c r="H736" s="86" t="s">
        <v>19</v>
      </c>
      <c r="I736" s="87" t="s">
        <v>14</v>
      </c>
      <c r="J736" s="12" t="s">
        <v>7817</v>
      </c>
      <c r="K736" s="12" t="s">
        <v>7895</v>
      </c>
      <c r="L736" s="12" t="s">
        <v>7871</v>
      </c>
      <c r="M736" s="12" t="s">
        <v>6115</v>
      </c>
      <c r="N736" s="33" t="s">
        <v>7821</v>
      </c>
      <c r="O736" s="27" t="s">
        <v>7928</v>
      </c>
      <c r="P736" s="42" t="s">
        <v>7896</v>
      </c>
      <c r="Q736" s="14" t="s">
        <v>5967</v>
      </c>
      <c r="R736" s="90" t="s">
        <v>7897</v>
      </c>
      <c r="S736" s="15" t="s">
        <v>7898</v>
      </c>
      <c r="T736" s="65" t="s">
        <v>5951</v>
      </c>
      <c r="U736" s="24" t="s">
        <v>397</v>
      </c>
      <c r="V736" s="19" t="str">
        <f>+Ingresos_Historicos[[#This Row],[idcoleccion]]&amp;"-"&amp;Ingresos_Historicos[[#This Row],[id]]</f>
        <v>300-0726</v>
      </c>
      <c r="W736" s="19">
        <f>+VLOOKUP(Ingresos_Historicos[[#This Row],[Filtro URL]],Estructura!$X$4:$Y$366,2,0)</f>
        <v>30100000</v>
      </c>
      <c r="X736" s="19" t="e">
        <f>+VLOOKUP(Ingresos_Historicos[[#This Row],[tema]],Estructura!$A$4:$C$18,3,0)</f>
        <v>#N/A</v>
      </c>
      <c r="Y736" s="19" t="str">
        <f>+VLOOKUP(Ingresos_Historicos[[#This Row],[contenido]],Estructura!$E$4:$G$18,3,0)</f>
        <v>C-307</v>
      </c>
      <c r="Z736" s="19" t="str">
        <f>+VLOOKUP(Ingresos_Historicos[[#This Row],[Filtro Integrado]],Estructura!$M$4:$O$367,3,0)</f>
        <v>FI-304</v>
      </c>
      <c r="AA736" s="19" t="str">
        <f>+VLOOKUP(Ingresos_Historicos[[#This Row],[Muestra]],Estructura!$Q$4:$S$194,3,0)</f>
        <v>M-326</v>
      </c>
    </row>
    <row r="737" spans="1:27" ht="40.799999999999997" x14ac:dyDescent="0.3">
      <c r="A737" s="71" t="s">
        <v>1123</v>
      </c>
      <c r="B737" s="12">
        <v>300</v>
      </c>
      <c r="C737" s="13" t="s">
        <v>7814</v>
      </c>
      <c r="D737" s="13" t="s">
        <v>5847</v>
      </c>
      <c r="E737" s="85">
        <v>0</v>
      </c>
      <c r="F737" s="13" t="s">
        <v>7879</v>
      </c>
      <c r="G737" s="95" t="s">
        <v>7922</v>
      </c>
      <c r="H737" s="86" t="s">
        <v>19</v>
      </c>
      <c r="I737" s="87" t="s">
        <v>14</v>
      </c>
      <c r="J737" s="12" t="s">
        <v>7817</v>
      </c>
      <c r="K737" s="12" t="s">
        <v>7899</v>
      </c>
      <c r="L737" s="12" t="s">
        <v>7871</v>
      </c>
      <c r="M737" s="12" t="s">
        <v>6115</v>
      </c>
      <c r="N737" s="33" t="s">
        <v>7821</v>
      </c>
      <c r="O737" s="27" t="s">
        <v>7929</v>
      </c>
      <c r="P737" s="42" t="s">
        <v>7900</v>
      </c>
      <c r="Q737" s="14" t="s">
        <v>5967</v>
      </c>
      <c r="R737" s="90" t="s">
        <v>7901</v>
      </c>
      <c r="S737" s="15" t="s">
        <v>7902</v>
      </c>
      <c r="T737" s="65" t="s">
        <v>5951</v>
      </c>
      <c r="U737" s="24" t="s">
        <v>397</v>
      </c>
      <c r="V737" s="19" t="str">
        <f>+Ingresos_Historicos[[#This Row],[idcoleccion]]&amp;"-"&amp;Ingresos_Historicos[[#This Row],[id]]</f>
        <v>300-0727</v>
      </c>
      <c r="W737" s="19">
        <f>+VLOOKUP(Ingresos_Historicos[[#This Row],[Filtro URL]],Estructura!$X$4:$Y$366,2,0)</f>
        <v>30100000</v>
      </c>
      <c r="X737" s="19" t="e">
        <f>+VLOOKUP(Ingresos_Historicos[[#This Row],[tema]],Estructura!$A$4:$C$18,3,0)</f>
        <v>#N/A</v>
      </c>
      <c r="Y737" s="19" t="str">
        <f>+VLOOKUP(Ingresos_Historicos[[#This Row],[contenido]],Estructura!$E$4:$G$18,3,0)</f>
        <v>C-307</v>
      </c>
      <c r="Z737" s="19" t="str">
        <f>+VLOOKUP(Ingresos_Historicos[[#This Row],[Filtro Integrado]],Estructura!$M$4:$O$367,3,0)</f>
        <v>FI-304</v>
      </c>
      <c r="AA737" s="19" t="str">
        <f>+VLOOKUP(Ingresos_Historicos[[#This Row],[Muestra]],Estructura!$Q$4:$S$194,3,0)</f>
        <v>M-327</v>
      </c>
    </row>
    <row r="738" spans="1:27" ht="40.799999999999997" x14ac:dyDescent="0.3">
      <c r="A738" s="71" t="s">
        <v>1124</v>
      </c>
      <c r="B738" s="12">
        <v>300</v>
      </c>
      <c r="C738" s="13" t="s">
        <v>7814</v>
      </c>
      <c r="D738" s="13" t="s">
        <v>5847</v>
      </c>
      <c r="E738" s="85">
        <v>0</v>
      </c>
      <c r="F738" s="13" t="s">
        <v>7883</v>
      </c>
      <c r="G738" s="95" t="s">
        <v>7922</v>
      </c>
      <c r="H738" s="86" t="s">
        <v>19</v>
      </c>
      <c r="I738" s="87" t="s">
        <v>14</v>
      </c>
      <c r="J738" s="12" t="s">
        <v>7817</v>
      </c>
      <c r="K738" s="12" t="s">
        <v>7903</v>
      </c>
      <c r="L738" s="12" t="s">
        <v>7871</v>
      </c>
      <c r="M738" s="12" t="s">
        <v>6115</v>
      </c>
      <c r="N738" s="33" t="s">
        <v>7821</v>
      </c>
      <c r="O738" s="27" t="s">
        <v>7930</v>
      </c>
      <c r="P738" s="42" t="s">
        <v>7904</v>
      </c>
      <c r="Q738" s="14" t="s">
        <v>5967</v>
      </c>
      <c r="R738" s="90" t="s">
        <v>7905</v>
      </c>
      <c r="S738" s="15" t="s">
        <v>7906</v>
      </c>
      <c r="T738" s="65" t="s">
        <v>5951</v>
      </c>
      <c r="U738" s="24" t="s">
        <v>397</v>
      </c>
      <c r="V738" s="19" t="str">
        <f>+Ingresos_Historicos[[#This Row],[idcoleccion]]&amp;"-"&amp;Ingresos_Historicos[[#This Row],[id]]</f>
        <v>300-0728</v>
      </c>
      <c r="W738" s="19">
        <f>+VLOOKUP(Ingresos_Historicos[[#This Row],[Filtro URL]],Estructura!$X$4:$Y$366,2,0)</f>
        <v>30100000</v>
      </c>
      <c r="X738" s="19" t="e">
        <f>+VLOOKUP(Ingresos_Historicos[[#This Row],[tema]],Estructura!$A$4:$C$18,3,0)</f>
        <v>#N/A</v>
      </c>
      <c r="Y738" s="19" t="str">
        <f>+VLOOKUP(Ingresos_Historicos[[#This Row],[contenido]],Estructura!$E$4:$G$18,3,0)</f>
        <v>C-307</v>
      </c>
      <c r="Z738" s="19" t="str">
        <f>+VLOOKUP(Ingresos_Historicos[[#This Row],[Filtro Integrado]],Estructura!$M$4:$O$367,3,0)</f>
        <v>FI-304</v>
      </c>
      <c r="AA738" s="19" t="str">
        <f>+VLOOKUP(Ingresos_Historicos[[#This Row],[Muestra]],Estructura!$Q$4:$S$194,3,0)</f>
        <v>M-328</v>
      </c>
    </row>
    <row r="739" spans="1:27" ht="60" x14ac:dyDescent="0.3">
      <c r="A739" s="71" t="s">
        <v>1125</v>
      </c>
      <c r="B739" s="56">
        <v>300</v>
      </c>
      <c r="C739" s="57" t="s">
        <v>7814</v>
      </c>
      <c r="D739" s="57" t="s">
        <v>5847</v>
      </c>
      <c r="E739" s="85">
        <v>0</v>
      </c>
      <c r="F739" s="57" t="s">
        <v>7887</v>
      </c>
      <c r="G739" s="96" t="s">
        <v>7922</v>
      </c>
      <c r="H739" s="86" t="s">
        <v>19</v>
      </c>
      <c r="I739" s="87" t="s">
        <v>14</v>
      </c>
      <c r="J739" s="56" t="s">
        <v>7817</v>
      </c>
      <c r="K739" s="56" t="s">
        <v>7907</v>
      </c>
      <c r="L739" s="56" t="s">
        <v>7871</v>
      </c>
      <c r="M739" s="56" t="s">
        <v>6115</v>
      </c>
      <c r="N739" s="60" t="s">
        <v>7821</v>
      </c>
      <c r="O739" s="34" t="s">
        <v>7931</v>
      </c>
      <c r="P739" s="61" t="s">
        <v>7908</v>
      </c>
      <c r="Q739" s="62" t="s">
        <v>5967</v>
      </c>
      <c r="R739" s="91" t="s">
        <v>7909</v>
      </c>
      <c r="S739" s="70" t="s">
        <v>7910</v>
      </c>
      <c r="T739" s="66" t="s">
        <v>5951</v>
      </c>
      <c r="U739" s="24" t="s">
        <v>397</v>
      </c>
      <c r="V739" s="19" t="str">
        <f>+Ingresos_Historicos[[#This Row],[idcoleccion]]&amp;"-"&amp;Ingresos_Historicos[[#This Row],[id]]</f>
        <v>300-0729</v>
      </c>
      <c r="W739" s="19">
        <f>+VLOOKUP(Ingresos_Historicos[[#This Row],[Filtro URL]],Estructura!$X$4:$Y$366,2,0)</f>
        <v>30100000</v>
      </c>
      <c r="X739" s="19" t="e">
        <f>+VLOOKUP(Ingresos_Historicos[[#This Row],[tema]],Estructura!$A$4:$C$18,3,0)</f>
        <v>#N/A</v>
      </c>
      <c r="Y739" s="19" t="str">
        <f>+VLOOKUP(Ingresos_Historicos[[#This Row],[contenido]],Estructura!$E$4:$G$18,3,0)</f>
        <v>C-307</v>
      </c>
      <c r="Z739" s="19" t="str">
        <f>+VLOOKUP(Ingresos_Historicos[[#This Row],[Filtro Integrado]],Estructura!$M$4:$O$367,3,0)</f>
        <v>FI-304</v>
      </c>
      <c r="AA739" s="19" t="str">
        <f>+VLOOKUP(Ingresos_Historicos[[#This Row],[Muestra]],Estructura!$Q$4:$S$194,3,0)</f>
        <v>M-329</v>
      </c>
    </row>
  </sheetData>
  <phoneticPr fontId="8" type="noConversion"/>
  <conditionalFormatting sqref="P44:P46">
    <cfRule type="expression" dxfId="252" priority="223">
      <formula>$Z44="Reporte 2"</formula>
    </cfRule>
    <cfRule type="expression" dxfId="251" priority="224">
      <formula>$Z44="Reporte 1"</formula>
    </cfRule>
    <cfRule type="expression" dxfId="250" priority="225">
      <formula>$Z44="Informe 10"</formula>
    </cfRule>
    <cfRule type="expression" dxfId="249" priority="226">
      <formula>$Z44="Informe 9"</formula>
    </cfRule>
    <cfRule type="expression" dxfId="248" priority="227">
      <formula>$Z44="Informe 8"</formula>
    </cfRule>
    <cfRule type="expression" dxfId="247" priority="228">
      <formula>$Z44="Informe 7"</formula>
    </cfRule>
    <cfRule type="expression" dxfId="246" priority="229">
      <formula>$Z44="Informe 6"</formula>
    </cfRule>
    <cfRule type="expression" dxfId="245" priority="230">
      <formula>$Z44="Informe 5"</formula>
    </cfRule>
    <cfRule type="expression" dxfId="244" priority="231">
      <formula>$Z44="Informe 4"</formula>
    </cfRule>
    <cfRule type="expression" dxfId="243" priority="232">
      <formula>$Z44="Informe 3"</formula>
    </cfRule>
    <cfRule type="expression" dxfId="242" priority="233">
      <formula>$Z44="Informe 2"</formula>
    </cfRule>
    <cfRule type="expression" dxfId="241" priority="234">
      <formula>$Z44="Informe 1"</formula>
    </cfRule>
    <cfRule type="expression" dxfId="240" priority="235">
      <formula>$Z44="Gráfico 10"</formula>
    </cfRule>
    <cfRule type="expression" dxfId="239" priority="236">
      <formula>$Z44="Gráfico 25"</formula>
    </cfRule>
    <cfRule type="expression" dxfId="238" priority="237">
      <formula>$Z44="Gráfico 24"</formula>
    </cfRule>
    <cfRule type="expression" dxfId="237" priority="238">
      <formula>$Z44="Gráfico 23"</formula>
    </cfRule>
    <cfRule type="expression" dxfId="236" priority="239">
      <formula>$Z44="Gráfico 22"</formula>
    </cfRule>
    <cfRule type="expression" dxfId="235" priority="240">
      <formula>$Z44="Gráfico 21"</formula>
    </cfRule>
    <cfRule type="expression" dxfId="234" priority="241">
      <formula>$Z44="Gráfico 20"</formula>
    </cfRule>
    <cfRule type="expression" dxfId="233" priority="242">
      <formula>$Z44="Gráfico 18"</formula>
    </cfRule>
    <cfRule type="expression" dxfId="232" priority="243">
      <formula>$Z44="Gráfico 19"</formula>
    </cfRule>
    <cfRule type="expression" dxfId="231" priority="244">
      <formula>$Z44="Gráfico 17"</formula>
    </cfRule>
    <cfRule type="expression" dxfId="230" priority="245">
      <formula>$Z44="Gráfico 16"</formula>
    </cfRule>
    <cfRule type="expression" dxfId="229" priority="246">
      <formula>$Z44="Gráfico 15"</formula>
    </cfRule>
    <cfRule type="expression" dxfId="228" priority="247">
      <formula>$Z44="Gráfico 14"</formula>
    </cfRule>
    <cfRule type="expression" dxfId="227" priority="248">
      <formula>$Z44="Gráfico 12"</formula>
    </cfRule>
    <cfRule type="expression" dxfId="226" priority="249">
      <formula>$Z44="Gráfico 13"</formula>
    </cfRule>
    <cfRule type="expression" dxfId="225" priority="250">
      <formula>$Z44="Gráfico 11"</formula>
    </cfRule>
    <cfRule type="expression" dxfId="224" priority="251">
      <formula>$Z44="Gráfico 9"</formula>
    </cfRule>
    <cfRule type="expression" dxfId="223" priority="252">
      <formula>$Z44="Gráfico 8"</formula>
    </cfRule>
    <cfRule type="expression" dxfId="222" priority="253">
      <formula>$Z44="Gráfico 7"</formula>
    </cfRule>
    <cfRule type="expression" dxfId="221" priority="254">
      <formula>$Z44="Gráfico 6"</formula>
    </cfRule>
    <cfRule type="expression" dxfId="220" priority="255">
      <formula>$Z44="Gráfico 4"</formula>
    </cfRule>
    <cfRule type="expression" dxfId="219" priority="256">
      <formula>$Z44="Gráfico 3"</formula>
    </cfRule>
    <cfRule type="expression" dxfId="218" priority="257">
      <formula>$Z44="Gráfico 2"</formula>
    </cfRule>
    <cfRule type="expression" dxfId="217" priority="258">
      <formula>$Z44="Gráfico 1"</formula>
    </cfRule>
    <cfRule type="expression" dxfId="216" priority="259">
      <formula>$Z44="Gráfico 5"</formula>
    </cfRule>
  </conditionalFormatting>
  <conditionalFormatting sqref="O47:O49">
    <cfRule type="expression" dxfId="215" priority="186">
      <formula>$Z47="Reporte 2"</formula>
    </cfRule>
    <cfRule type="expression" dxfId="214" priority="187">
      <formula>$Z47="Reporte 1"</formula>
    </cfRule>
    <cfRule type="expression" dxfId="213" priority="188">
      <formula>$Z47="Informe 10"</formula>
    </cfRule>
    <cfRule type="expression" dxfId="212" priority="189">
      <formula>$Z47="Informe 9"</formula>
    </cfRule>
    <cfRule type="expression" dxfId="211" priority="190">
      <formula>$Z47="Informe 8"</formula>
    </cfRule>
    <cfRule type="expression" dxfId="210" priority="191">
      <formula>$Z47="Informe 7"</formula>
    </cfRule>
    <cfRule type="expression" dxfId="209" priority="192">
      <formula>$Z47="Informe 6"</formula>
    </cfRule>
    <cfRule type="expression" dxfId="208" priority="193">
      <formula>$Z47="Informe 5"</formula>
    </cfRule>
    <cfRule type="expression" dxfId="207" priority="194">
      <formula>$Z47="Informe 4"</formula>
    </cfRule>
    <cfRule type="expression" dxfId="206" priority="195">
      <formula>$Z47="Informe 3"</formula>
    </cfRule>
    <cfRule type="expression" dxfId="205" priority="196">
      <formula>$Z47="Informe 2"</formula>
    </cfRule>
    <cfRule type="expression" dxfId="204" priority="197">
      <formula>$Z47="Informe 1"</formula>
    </cfRule>
    <cfRule type="expression" dxfId="203" priority="198">
      <formula>$Z47="Gráfico 10"</formula>
    </cfRule>
    <cfRule type="expression" dxfId="202" priority="199">
      <formula>$Z47="Gráfico 25"</formula>
    </cfRule>
    <cfRule type="expression" dxfId="201" priority="200">
      <formula>$Z47="Gráfico 24"</formula>
    </cfRule>
    <cfRule type="expression" dxfId="200" priority="201">
      <formula>$Z47="Gráfico 23"</formula>
    </cfRule>
    <cfRule type="expression" dxfId="199" priority="202">
      <formula>$Z47="Gráfico 22"</formula>
    </cfRule>
    <cfRule type="expression" dxfId="198" priority="203">
      <formula>$Z47="Gráfico 21"</formula>
    </cfRule>
    <cfRule type="expression" dxfId="197" priority="204">
      <formula>$Z47="Gráfico 20"</formula>
    </cfRule>
    <cfRule type="expression" dxfId="196" priority="205">
      <formula>$Z47="Gráfico 18"</formula>
    </cfRule>
    <cfRule type="expression" dxfId="195" priority="206">
      <formula>$Z47="Gráfico 19"</formula>
    </cfRule>
    <cfRule type="expression" dxfId="194" priority="207">
      <formula>$Z47="Gráfico 17"</formula>
    </cfRule>
    <cfRule type="expression" dxfId="193" priority="208">
      <formula>$Z47="Gráfico 16"</formula>
    </cfRule>
    <cfRule type="expression" dxfId="192" priority="209">
      <formula>$Z47="Gráfico 15"</formula>
    </cfRule>
    <cfRule type="expression" dxfId="191" priority="210">
      <formula>$Z47="Gráfico 14"</formula>
    </cfRule>
    <cfRule type="expression" dxfId="190" priority="211">
      <formula>$Z47="Gráfico 12"</formula>
    </cfRule>
    <cfRule type="expression" dxfId="189" priority="212">
      <formula>$Z47="Gráfico 13"</formula>
    </cfRule>
    <cfRule type="expression" dxfId="188" priority="213">
      <formula>$Z47="Gráfico 11"</formula>
    </cfRule>
    <cfRule type="expression" dxfId="187" priority="214">
      <formula>$Z47="Gráfico 9"</formula>
    </cfRule>
    <cfRule type="expression" dxfId="186" priority="215">
      <formula>$Z47="Gráfico 8"</formula>
    </cfRule>
    <cfRule type="expression" dxfId="185" priority="216">
      <formula>$Z47="Gráfico 7"</formula>
    </cfRule>
    <cfRule type="expression" dxfId="184" priority="217">
      <formula>$Z47="Gráfico 6"</formula>
    </cfRule>
    <cfRule type="expression" dxfId="183" priority="218">
      <formula>$Z47="Gráfico 4"</formula>
    </cfRule>
    <cfRule type="expression" dxfId="182" priority="219">
      <formula>$Z47="Gráfico 3"</formula>
    </cfRule>
    <cfRule type="expression" dxfId="181" priority="220">
      <formula>$Z47="Gráfico 2"</formula>
    </cfRule>
    <cfRule type="expression" dxfId="180" priority="221">
      <formula>$Z47="Gráfico 1"</formula>
    </cfRule>
    <cfRule type="expression" dxfId="179" priority="222">
      <formula>$Z47="Gráfico 5"</formula>
    </cfRule>
  </conditionalFormatting>
  <conditionalFormatting sqref="P47:P49">
    <cfRule type="expression" dxfId="178" priority="149">
      <formula>$Z47="Reporte 2"</formula>
    </cfRule>
    <cfRule type="expression" dxfId="177" priority="150">
      <formula>$Z47="Reporte 1"</formula>
    </cfRule>
    <cfRule type="expression" dxfId="176" priority="151">
      <formula>$Z47="Informe 10"</formula>
    </cfRule>
    <cfRule type="expression" dxfId="175" priority="152">
      <formula>$Z47="Informe 9"</formula>
    </cfRule>
    <cfRule type="expression" dxfId="174" priority="153">
      <formula>$Z47="Informe 8"</formula>
    </cfRule>
    <cfRule type="expression" dxfId="173" priority="154">
      <formula>$Z47="Informe 7"</formula>
    </cfRule>
    <cfRule type="expression" dxfId="172" priority="155">
      <formula>$Z47="Informe 6"</formula>
    </cfRule>
    <cfRule type="expression" dxfId="171" priority="156">
      <formula>$Z47="Informe 5"</formula>
    </cfRule>
    <cfRule type="expression" dxfId="170" priority="157">
      <formula>$Z47="Informe 4"</formula>
    </cfRule>
    <cfRule type="expression" dxfId="169" priority="158">
      <formula>$Z47="Informe 3"</formula>
    </cfRule>
    <cfRule type="expression" dxfId="168" priority="159">
      <formula>$Z47="Informe 2"</formula>
    </cfRule>
    <cfRule type="expression" dxfId="167" priority="160">
      <formula>$Z47="Informe 1"</formula>
    </cfRule>
    <cfRule type="expression" dxfId="166" priority="161">
      <formula>$Z47="Gráfico 10"</formula>
    </cfRule>
    <cfRule type="expression" dxfId="165" priority="162">
      <formula>$Z47="Gráfico 25"</formula>
    </cfRule>
    <cfRule type="expression" dxfId="164" priority="163">
      <formula>$Z47="Gráfico 24"</formula>
    </cfRule>
    <cfRule type="expression" dxfId="163" priority="164">
      <formula>$Z47="Gráfico 23"</formula>
    </cfRule>
    <cfRule type="expression" dxfId="162" priority="165">
      <formula>$Z47="Gráfico 22"</formula>
    </cfRule>
    <cfRule type="expression" dxfId="161" priority="166">
      <formula>$Z47="Gráfico 21"</formula>
    </cfRule>
    <cfRule type="expression" dxfId="160" priority="167">
      <formula>$Z47="Gráfico 20"</formula>
    </cfRule>
    <cfRule type="expression" dxfId="159" priority="168">
      <formula>$Z47="Gráfico 18"</formula>
    </cfRule>
    <cfRule type="expression" dxfId="158" priority="169">
      <formula>$Z47="Gráfico 19"</formula>
    </cfRule>
    <cfRule type="expression" dxfId="157" priority="170">
      <formula>$Z47="Gráfico 17"</formula>
    </cfRule>
    <cfRule type="expression" dxfId="156" priority="171">
      <formula>$Z47="Gráfico 16"</formula>
    </cfRule>
    <cfRule type="expression" dxfId="155" priority="172">
      <formula>$Z47="Gráfico 15"</formula>
    </cfRule>
    <cfRule type="expression" dxfId="154" priority="173">
      <formula>$Z47="Gráfico 14"</formula>
    </cfRule>
    <cfRule type="expression" dxfId="153" priority="174">
      <formula>$Z47="Gráfico 12"</formula>
    </cfRule>
    <cfRule type="expression" dxfId="152" priority="175">
      <formula>$Z47="Gráfico 13"</formula>
    </cfRule>
    <cfRule type="expression" dxfId="151" priority="176">
      <formula>$Z47="Gráfico 11"</formula>
    </cfRule>
    <cfRule type="expression" dxfId="150" priority="177">
      <formula>$Z47="Gráfico 9"</formula>
    </cfRule>
    <cfRule type="expression" dxfId="149" priority="178">
      <formula>$Z47="Gráfico 8"</formula>
    </cfRule>
    <cfRule type="expression" dxfId="148" priority="179">
      <formula>$Z47="Gráfico 7"</formula>
    </cfRule>
    <cfRule type="expression" dxfId="147" priority="180">
      <formula>$Z47="Gráfico 6"</formula>
    </cfRule>
    <cfRule type="expression" dxfId="146" priority="181">
      <formula>$Z47="Gráfico 4"</formula>
    </cfRule>
    <cfRule type="expression" dxfId="145" priority="182">
      <formula>$Z47="Gráfico 3"</formula>
    </cfRule>
    <cfRule type="expression" dxfId="144" priority="183">
      <formula>$Z47="Gráfico 2"</formula>
    </cfRule>
    <cfRule type="expression" dxfId="143" priority="184">
      <formula>$Z47="Gráfico 1"</formula>
    </cfRule>
    <cfRule type="expression" dxfId="142" priority="185">
      <formula>$Z47="Gráfico 5"</formula>
    </cfRule>
  </conditionalFormatting>
  <conditionalFormatting sqref="P50">
    <cfRule type="expression" dxfId="141" priority="112">
      <formula>$Z50="Reporte 2"</formula>
    </cfRule>
    <cfRule type="expression" dxfId="140" priority="113">
      <formula>$Z50="Reporte 1"</formula>
    </cfRule>
    <cfRule type="expression" dxfId="139" priority="114">
      <formula>$Z50="Informe 10"</formula>
    </cfRule>
    <cfRule type="expression" dxfId="138" priority="115">
      <formula>$Z50="Informe 9"</formula>
    </cfRule>
    <cfRule type="expression" dxfId="137" priority="116">
      <formula>$Z50="Informe 8"</formula>
    </cfRule>
    <cfRule type="expression" dxfId="136" priority="117">
      <formula>$Z50="Informe 7"</formula>
    </cfRule>
    <cfRule type="expression" dxfId="135" priority="118">
      <formula>$Z50="Informe 6"</formula>
    </cfRule>
    <cfRule type="expression" dxfId="134" priority="119">
      <formula>$Z50="Informe 5"</formula>
    </cfRule>
    <cfRule type="expression" dxfId="133" priority="120">
      <formula>$Z50="Informe 4"</formula>
    </cfRule>
    <cfRule type="expression" dxfId="132" priority="121">
      <formula>$Z50="Informe 3"</formula>
    </cfRule>
    <cfRule type="expression" dxfId="131" priority="122">
      <formula>$Z50="Informe 2"</formula>
    </cfRule>
    <cfRule type="expression" dxfId="130" priority="123">
      <formula>$Z50="Informe 1"</formula>
    </cfRule>
    <cfRule type="expression" dxfId="129" priority="124">
      <formula>$Z50="Gráfico 10"</formula>
    </cfRule>
    <cfRule type="expression" dxfId="128" priority="125">
      <formula>$Z50="Gráfico 25"</formula>
    </cfRule>
    <cfRule type="expression" dxfId="127" priority="126">
      <formula>$Z50="Gráfico 24"</formula>
    </cfRule>
    <cfRule type="expression" dxfId="126" priority="127">
      <formula>$Z50="Gráfico 23"</formula>
    </cfRule>
    <cfRule type="expression" dxfId="125" priority="128">
      <formula>$Z50="Gráfico 22"</formula>
    </cfRule>
    <cfRule type="expression" dxfId="124" priority="129">
      <formula>$Z50="Gráfico 21"</formula>
    </cfRule>
    <cfRule type="expression" dxfId="123" priority="130">
      <formula>$Z50="Gráfico 20"</formula>
    </cfRule>
    <cfRule type="expression" dxfId="122" priority="131">
      <formula>$Z50="Gráfico 18"</formula>
    </cfRule>
    <cfRule type="expression" dxfId="121" priority="132">
      <formula>$Z50="Gráfico 19"</formula>
    </cfRule>
    <cfRule type="expression" dxfId="120" priority="133">
      <formula>$Z50="Gráfico 17"</formula>
    </cfRule>
    <cfRule type="expression" dxfId="119" priority="134">
      <formula>$Z50="Gráfico 16"</formula>
    </cfRule>
    <cfRule type="expression" dxfId="118" priority="135">
      <formula>$Z50="Gráfico 15"</formula>
    </cfRule>
    <cfRule type="expression" dxfId="117" priority="136">
      <formula>$Z50="Gráfico 14"</formula>
    </cfRule>
    <cfRule type="expression" dxfId="116" priority="137">
      <formula>$Z50="Gráfico 12"</formula>
    </cfRule>
    <cfRule type="expression" dxfId="115" priority="138">
      <formula>$Z50="Gráfico 13"</formula>
    </cfRule>
    <cfRule type="expression" dxfId="114" priority="139">
      <formula>$Z50="Gráfico 11"</formula>
    </cfRule>
    <cfRule type="expression" dxfId="113" priority="140">
      <formula>$Z50="Gráfico 9"</formula>
    </cfRule>
    <cfRule type="expression" dxfId="112" priority="141">
      <formula>$Z50="Gráfico 8"</formula>
    </cfRule>
    <cfRule type="expression" dxfId="111" priority="142">
      <formula>$Z50="Gráfico 7"</formula>
    </cfRule>
    <cfRule type="expression" dxfId="110" priority="143">
      <formula>$Z50="Gráfico 6"</formula>
    </cfRule>
    <cfRule type="expression" dxfId="109" priority="144">
      <formula>$Z50="Gráfico 4"</formula>
    </cfRule>
    <cfRule type="expression" dxfId="108" priority="145">
      <formula>$Z50="Gráfico 3"</formula>
    </cfRule>
    <cfRule type="expression" dxfId="107" priority="146">
      <formula>$Z50="Gráfico 2"</formula>
    </cfRule>
    <cfRule type="expression" dxfId="106" priority="147">
      <formula>$Z50="Gráfico 1"</formula>
    </cfRule>
    <cfRule type="expression" dxfId="105" priority="148">
      <formula>$Z50="Gráfico 5"</formula>
    </cfRule>
  </conditionalFormatting>
  <conditionalFormatting sqref="P96:P305">
    <cfRule type="expression" dxfId="104" priority="75">
      <formula>$Z96="Reporte 2"</formula>
    </cfRule>
    <cfRule type="expression" dxfId="103" priority="76">
      <formula>$Z96="Reporte 1"</formula>
    </cfRule>
    <cfRule type="expression" dxfId="102" priority="77">
      <formula>$Z96="Informe 10"</formula>
    </cfRule>
    <cfRule type="expression" dxfId="101" priority="78">
      <formula>$Z96="Informe 9"</formula>
    </cfRule>
    <cfRule type="expression" dxfId="100" priority="79">
      <formula>$Z96="Informe 8"</formula>
    </cfRule>
    <cfRule type="expression" dxfId="99" priority="80">
      <formula>$Z96="Informe 7"</formula>
    </cfRule>
    <cfRule type="expression" dxfId="98" priority="81">
      <formula>$Z96="Informe 6"</formula>
    </cfRule>
    <cfRule type="expression" dxfId="97" priority="82">
      <formula>$Z96="Informe 5"</formula>
    </cfRule>
    <cfRule type="expression" dxfId="96" priority="83">
      <formula>$Z96="Informe 4"</formula>
    </cfRule>
    <cfRule type="expression" dxfId="95" priority="84">
      <formula>$Z96="Informe 3"</formula>
    </cfRule>
    <cfRule type="expression" dxfId="94" priority="85">
      <formula>$Z96="Informe 2"</formula>
    </cfRule>
    <cfRule type="expression" dxfId="93" priority="86">
      <formula>$Z96="Informe 1"</formula>
    </cfRule>
    <cfRule type="expression" dxfId="92" priority="87">
      <formula>$Z96="Gráfico 10"</formula>
    </cfRule>
    <cfRule type="expression" dxfId="91" priority="88">
      <formula>$Z96="Gráfico 25"</formula>
    </cfRule>
    <cfRule type="expression" dxfId="90" priority="89">
      <formula>$Z96="Gráfico 24"</formula>
    </cfRule>
    <cfRule type="expression" dxfId="89" priority="90">
      <formula>$Z96="Gráfico 23"</formula>
    </cfRule>
    <cfRule type="expression" dxfId="88" priority="91">
      <formula>$Z96="Gráfico 22"</formula>
    </cfRule>
    <cfRule type="expression" dxfId="87" priority="92">
      <formula>$Z96="Gráfico 21"</formula>
    </cfRule>
    <cfRule type="expression" dxfId="86" priority="93">
      <formula>$Z96="Gráfico 20"</formula>
    </cfRule>
    <cfRule type="expression" dxfId="85" priority="94">
      <formula>$Z96="Gráfico 18"</formula>
    </cfRule>
    <cfRule type="expression" dxfId="84" priority="95">
      <formula>$Z96="Gráfico 19"</formula>
    </cfRule>
    <cfRule type="expression" dxfId="83" priority="96">
      <formula>$Z96="Gráfico 17"</formula>
    </cfRule>
    <cfRule type="expression" dxfId="82" priority="97">
      <formula>$Z96="Gráfico 16"</formula>
    </cfRule>
    <cfRule type="expression" dxfId="81" priority="98">
      <formula>$Z96="Gráfico 15"</formula>
    </cfRule>
    <cfRule type="expression" dxfId="80" priority="99">
      <formula>$Z96="Gráfico 14"</formula>
    </cfRule>
    <cfRule type="expression" dxfId="79" priority="100">
      <formula>$Z96="Gráfico 12"</formula>
    </cfRule>
    <cfRule type="expression" dxfId="78" priority="101">
      <formula>$Z96="Gráfico 13"</formula>
    </cfRule>
    <cfRule type="expression" dxfId="77" priority="102">
      <formula>$Z96="Gráfico 11"</formula>
    </cfRule>
    <cfRule type="expression" dxfId="76" priority="103">
      <formula>$Z96="Gráfico 9"</formula>
    </cfRule>
    <cfRule type="expression" dxfId="75" priority="104">
      <formula>$Z96="Gráfico 8"</formula>
    </cfRule>
    <cfRule type="expression" dxfId="74" priority="105">
      <formula>$Z96="Gráfico 7"</formula>
    </cfRule>
    <cfRule type="expression" dxfId="73" priority="106">
      <formula>$Z96="Gráfico 6"</formula>
    </cfRule>
    <cfRule type="expression" dxfId="72" priority="107">
      <formula>$Z96="Gráfico 4"</formula>
    </cfRule>
    <cfRule type="expression" dxfId="71" priority="108">
      <formula>$Z96="Gráfico 3"</formula>
    </cfRule>
    <cfRule type="expression" dxfId="70" priority="109">
      <formula>$Z96="Gráfico 2"</formula>
    </cfRule>
    <cfRule type="expression" dxfId="69" priority="110">
      <formula>$Z96="Gráfico 1"</formula>
    </cfRule>
    <cfRule type="expression" dxfId="68" priority="111">
      <formula>$Z96="Gráfico 5"</formula>
    </cfRule>
  </conditionalFormatting>
  <conditionalFormatting sqref="P407:P618">
    <cfRule type="expression" dxfId="67" priority="1">
      <formula>$Z407="Reporte 2"</formula>
    </cfRule>
    <cfRule type="expression" dxfId="66" priority="2">
      <formula>$Z407="Reporte 1"</formula>
    </cfRule>
    <cfRule type="expression" dxfId="65" priority="3">
      <formula>$Z407="Informe 10"</formula>
    </cfRule>
    <cfRule type="expression" dxfId="64" priority="4">
      <formula>$Z407="Informe 9"</formula>
    </cfRule>
    <cfRule type="expression" dxfId="63" priority="5">
      <formula>$Z407="Informe 8"</formula>
    </cfRule>
    <cfRule type="expression" dxfId="62" priority="6">
      <formula>$Z407="Informe 7"</formula>
    </cfRule>
    <cfRule type="expression" dxfId="61" priority="7">
      <formula>$Z407="Informe 6"</formula>
    </cfRule>
    <cfRule type="expression" dxfId="60" priority="8">
      <formula>$Z407="Informe 5"</formula>
    </cfRule>
    <cfRule type="expression" dxfId="59" priority="9">
      <formula>$Z407="Informe 4"</formula>
    </cfRule>
    <cfRule type="expression" dxfId="58" priority="10">
      <formula>$Z407="Informe 3"</formula>
    </cfRule>
    <cfRule type="expression" dxfId="57" priority="11">
      <formula>$Z407="Informe 2"</formula>
    </cfRule>
    <cfRule type="expression" dxfId="56" priority="12">
      <formula>$Z407="Informe 1"</formula>
    </cfRule>
    <cfRule type="expression" dxfId="55" priority="13">
      <formula>$Z407="Gráfico 10"</formula>
    </cfRule>
    <cfRule type="expression" dxfId="54" priority="14">
      <formula>$Z407="Gráfico 25"</formula>
    </cfRule>
    <cfRule type="expression" dxfId="53" priority="15">
      <formula>$Z407="Gráfico 24"</formula>
    </cfRule>
    <cfRule type="expression" dxfId="52" priority="16">
      <formula>$Z407="Gráfico 23"</formula>
    </cfRule>
    <cfRule type="expression" dxfId="51" priority="17">
      <formula>$Z407="Gráfico 22"</formula>
    </cfRule>
    <cfRule type="expression" dxfId="50" priority="18">
      <formula>$Z407="Gráfico 21"</formula>
    </cfRule>
    <cfRule type="expression" dxfId="49" priority="19">
      <formula>$Z407="Gráfico 20"</formula>
    </cfRule>
    <cfRule type="expression" dxfId="48" priority="20">
      <formula>$Z407="Gráfico 18"</formula>
    </cfRule>
    <cfRule type="expression" dxfId="47" priority="21">
      <formula>$Z407="Gráfico 19"</formula>
    </cfRule>
    <cfRule type="expression" dxfId="46" priority="22">
      <formula>$Z407="Gráfico 17"</formula>
    </cfRule>
    <cfRule type="expression" dxfId="45" priority="23">
      <formula>$Z407="Gráfico 16"</formula>
    </cfRule>
    <cfRule type="expression" dxfId="44" priority="24">
      <formula>$Z407="Gráfico 15"</formula>
    </cfRule>
    <cfRule type="expression" dxfId="43" priority="25">
      <formula>$Z407="Gráfico 14"</formula>
    </cfRule>
    <cfRule type="expression" dxfId="42" priority="26">
      <formula>$Z407="Gráfico 12"</formula>
    </cfRule>
    <cfRule type="expression" dxfId="41" priority="27">
      <formula>$Z407="Gráfico 13"</formula>
    </cfRule>
    <cfRule type="expression" dxfId="40" priority="28">
      <formula>$Z407="Gráfico 11"</formula>
    </cfRule>
    <cfRule type="expression" dxfId="39" priority="29">
      <formula>$Z407="Gráfico 9"</formula>
    </cfRule>
    <cfRule type="expression" dxfId="38" priority="30">
      <formula>$Z407="Gráfico 8"</formula>
    </cfRule>
    <cfRule type="expression" dxfId="37" priority="31">
      <formula>$Z407="Gráfico 7"</formula>
    </cfRule>
    <cfRule type="expression" dxfId="36" priority="32">
      <formula>$Z407="Gráfico 6"</formula>
    </cfRule>
    <cfRule type="expression" dxfId="35" priority="33">
      <formula>$Z407="Gráfico 4"</formula>
    </cfRule>
    <cfRule type="expression" dxfId="34" priority="34">
      <formula>$Z407="Gráfico 3"</formula>
    </cfRule>
    <cfRule type="expression" dxfId="33" priority="35">
      <formula>$Z407="Gráfico 2"</formula>
    </cfRule>
    <cfRule type="expression" dxfId="32" priority="36">
      <formula>$Z407="Gráfico 1"</formula>
    </cfRule>
    <cfRule type="expression" dxfId="31" priority="37">
      <formula>$Z407="Gráfico 5"</formula>
    </cfRule>
  </conditionalFormatting>
  <hyperlinks>
    <hyperlink ref="S239" r:id="rId1" display="https://analytics.zoho.com/open-view/2395394000007166623?ZOHO_CRITERIA=%22Trasposicion_27.15%22.%22Id_Juzgado_Garant%C3%ADa%22%3D64" xr:uid="{BD3F1CCE-FB26-4C96-8441-84DDB4BA6A48}"/>
    <hyperlink ref="S391" r:id="rId2" xr:uid="{346F0803-2826-41D6-9D5B-73B3AF058D4D}"/>
    <hyperlink ref="S635" r:id="rId3" xr:uid="{058C9F60-B799-4A31-A05B-A807E7FB56B4}"/>
    <hyperlink ref="S668" r:id="rId4" xr:uid="{A14DB1BE-00F1-4F28-89F2-4CC302DFCB45}"/>
    <hyperlink ref="S669" r:id="rId5" xr:uid="{E4942205-0DA9-46B0-BF83-C02497650F17}"/>
    <hyperlink ref="S686" r:id="rId6" xr:uid="{EA79913D-7A5B-4850-B516-A4AC3C6DAF7C}"/>
    <hyperlink ref="S682" r:id="rId7" xr:uid="{1CAF0BB1-5B11-420B-A3E7-F00EFE83A984}"/>
    <hyperlink ref="S703" r:id="rId8" xr:uid="{C45A55E6-18A5-4F2D-8AFD-544B1C4AC687}"/>
    <hyperlink ref="S687" r:id="rId9" xr:uid="{75DFFE4F-2714-4039-9A92-9BC06F4F049C}"/>
    <hyperlink ref="S725" r:id="rId10" xr:uid="{30C06A9F-EE54-454F-AB04-3AD32FA7E108}"/>
    <hyperlink ref="S729" r:id="rId11" xr:uid="{DFB77365-7B10-4DB7-87DB-2D6D2B4C642B}"/>
    <hyperlink ref="S728" r:id="rId12" xr:uid="{03C36B8F-48CE-4472-B349-E085B1F62CFD}"/>
    <hyperlink ref="S727" r:id="rId13" xr:uid="{34E67E8B-8BBA-442D-B11D-6A20ADB6AB11}"/>
    <hyperlink ref="S726" r:id="rId14" xr:uid="{762164BF-67DF-44E4-851C-04F2767AB947}"/>
    <hyperlink ref="S724" r:id="rId15" xr:uid="{C9684C40-AF27-4342-AF45-44DBBCF0A2B6}"/>
    <hyperlink ref="S722" r:id="rId16" xr:uid="{58BE1FEA-8053-4773-8F7E-7C8059DAE169}"/>
    <hyperlink ref="S721" r:id="rId17" xr:uid="{C3A6E2CE-FA78-4C84-8394-1241E9AC3E98}"/>
    <hyperlink ref="S720" r:id="rId18" xr:uid="{FC4F5AEB-25BC-49B5-840F-915337B4C811}"/>
    <hyperlink ref="S723" r:id="rId19" xr:uid="{A225708C-F9EA-4DE2-9B1A-AC7D9824A11F}"/>
    <hyperlink ref="S730" r:id="rId20" xr:uid="{D1D3EE2A-370D-4D0B-AF1D-DA29ACBDB469}"/>
    <hyperlink ref="S731" r:id="rId21" xr:uid="{0B4BAB2B-2E58-48CE-B2C9-B240C0AC54B3}"/>
    <hyperlink ref="S732" r:id="rId22" xr:uid="{824C7143-1FE8-4C88-BB43-D51326A1315A}"/>
    <hyperlink ref="S733" r:id="rId23" xr:uid="{02C090E7-A4AC-416A-95F6-98992B909662}"/>
    <hyperlink ref="S735" r:id="rId24" xr:uid="{A5E91049-40F4-408B-9679-6112358F649D}"/>
    <hyperlink ref="S737" r:id="rId25" xr:uid="{130D76C5-43BF-41E9-84DF-5E44CF796586}"/>
    <hyperlink ref="S738" r:id="rId26" xr:uid="{076A59AD-758D-4DEC-9077-EF7B36E96AAD}"/>
    <hyperlink ref="S734" r:id="rId27" xr:uid="{F9251C4C-698F-4968-ADD3-8A1D6197FED7}"/>
    <hyperlink ref="S736" r:id="rId28" xr:uid="{2BA008E3-5B7F-49CE-B050-AE713310A597}"/>
    <hyperlink ref="S739" r:id="rId29" xr:uid="{BB8D50E8-8C69-4980-9871-B314490D5FD5}"/>
  </hyperlinks>
  <pageMargins left="0.7" right="0.7" top="0.75" bottom="0.75" header="0.3" footer="0.3"/>
  <pageSetup orientation="portrait" horizontalDpi="4294967293" verticalDpi="4294967293" r:id="rId30"/>
  <drawing r:id="rId31"/>
  <tableParts count="1">
    <tablePart r:id="rId32"/>
  </tableParts>
  <extLst>
    <ext xmlns:x15="http://schemas.microsoft.com/office/spreadsheetml/2010/11/main" uri="{3A4CF648-6AED-40f4-86FF-DC5316D8AED3}">
      <x14:slicerList xmlns:x14="http://schemas.microsoft.com/office/spreadsheetml/2009/9/main">
        <x14:slicer r:id="rId3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996-782E-477B-9CFA-4A03E6187C1D}">
  <sheetPr>
    <tabColor rgb="FFC00000"/>
  </sheetPr>
  <dimension ref="A1:AD366"/>
  <sheetViews>
    <sheetView showGridLines="0" topLeftCell="R1" workbookViewId="0">
      <pane ySplit="3" topLeftCell="A76" activePane="bottomLeft" state="frozen"/>
      <selection pane="bottomLeft" activeCell="V83" sqref="V83"/>
    </sheetView>
  </sheetViews>
  <sheetFormatPr baseColWidth="10" defaultRowHeight="14.4" x14ac:dyDescent="0.3"/>
  <cols>
    <col min="1" max="1" width="78.109375" bestFit="1" customWidth="1"/>
    <col min="2" max="2" width="4" bestFit="1" customWidth="1"/>
    <col min="3" max="3" width="7.5546875" bestFit="1" customWidth="1"/>
    <col min="4" max="4" width="1.21875" style="21" customWidth="1"/>
    <col min="5" max="5" width="38.44140625" bestFit="1" customWidth="1"/>
    <col min="6" max="6" width="2" bestFit="1" customWidth="1"/>
    <col min="7" max="7" width="11.5546875" bestFit="1" customWidth="1"/>
    <col min="8" max="8" width="1.21875" style="21" customWidth="1"/>
    <col min="9" max="9" width="7.5546875" bestFit="1" customWidth="1"/>
    <col min="10" max="10" width="8.21875" bestFit="1" customWidth="1"/>
    <col min="11" max="11" width="4" bestFit="1" customWidth="1"/>
    <col min="12" max="12" width="1" style="21" customWidth="1"/>
    <col min="13" max="13" width="16.109375" bestFit="1" customWidth="1"/>
    <col min="14" max="14" width="2" bestFit="1" customWidth="1"/>
    <col min="15" max="15" width="6.44140625" bestFit="1" customWidth="1"/>
    <col min="16" max="16" width="1.21875" style="21" customWidth="1"/>
    <col min="17" max="17" width="69.33203125" bestFit="1" customWidth="1"/>
    <col min="18" max="18" width="3" bestFit="1" customWidth="1"/>
    <col min="19" max="19" width="10.21875" bestFit="1" customWidth="1"/>
    <col min="20" max="20" width="1" style="21" customWidth="1"/>
    <col min="21" max="21" width="9" bestFit="1" customWidth="1"/>
    <col min="22" max="22" width="26" customWidth="1"/>
    <col min="23" max="23" width="8.21875" bestFit="1" customWidth="1"/>
    <col min="24" max="24" width="6" bestFit="1" customWidth="1"/>
    <col min="26" max="26" width="3.77734375" customWidth="1"/>
    <col min="27" max="27" width="2.5546875" style="21" customWidth="1"/>
    <col min="28" max="28" width="3.44140625" customWidth="1"/>
    <col min="29" max="29" width="24.44140625" bestFit="1" customWidth="1"/>
    <col min="31" max="31" width="11.77734375" customWidth="1"/>
  </cols>
  <sheetData>
    <row r="1" spans="1:30" x14ac:dyDescent="0.3">
      <c r="A1" s="22" t="s">
        <v>3472</v>
      </c>
      <c r="B1" s="23">
        <v>300</v>
      </c>
    </row>
    <row r="3" spans="1:30" x14ac:dyDescent="0.3">
      <c r="A3" s="4" t="s">
        <v>3</v>
      </c>
      <c r="C3" t="s">
        <v>386</v>
      </c>
      <c r="E3" s="4" t="s">
        <v>4</v>
      </c>
      <c r="G3" s="5" t="s">
        <v>387</v>
      </c>
      <c r="I3" t="s">
        <v>388</v>
      </c>
      <c r="J3" s="5" t="s">
        <v>5</v>
      </c>
      <c r="M3" s="4" t="s">
        <v>23</v>
      </c>
      <c r="N3" s="20"/>
      <c r="O3" s="5" t="s">
        <v>390</v>
      </c>
      <c r="Q3" s="4" t="s">
        <v>24</v>
      </c>
      <c r="R3" s="20"/>
      <c r="S3" s="5" t="s">
        <v>389</v>
      </c>
      <c r="V3" s="4" t="s">
        <v>6</v>
      </c>
      <c r="W3" s="5" t="s">
        <v>5</v>
      </c>
      <c r="X3" s="6" t="s">
        <v>396</v>
      </c>
      <c r="Y3" s="6" t="s">
        <v>395</v>
      </c>
      <c r="AC3" t="s">
        <v>14</v>
      </c>
      <c r="AD3">
        <v>0</v>
      </c>
    </row>
    <row r="4" spans="1:30" x14ac:dyDescent="0.3">
      <c r="A4" t="s">
        <v>5846</v>
      </c>
      <c r="B4" s="20">
        <v>1</v>
      </c>
      <c r="C4" s="40" t="str">
        <f t="shared" ref="C4:C13" si="0">+IF(A4="","","T-"&amp;$B$1+B4)</f>
        <v>T-301</v>
      </c>
      <c r="E4" t="s">
        <v>5960</v>
      </c>
      <c r="F4" s="20">
        <v>1</v>
      </c>
      <c r="G4" t="str">
        <f t="shared" ref="G4:G7" si="1">+IF(E4="","","C-"&amp;$B$1+F4)</f>
        <v>C-301</v>
      </c>
      <c r="I4">
        <f>+$B$1+1</f>
        <v>301</v>
      </c>
      <c r="J4" t="s">
        <v>19</v>
      </c>
      <c r="K4">
        <f>+I4</f>
        <v>301</v>
      </c>
      <c r="M4" t="s">
        <v>17</v>
      </c>
      <c r="N4" s="20">
        <v>1</v>
      </c>
      <c r="O4" t="str">
        <f t="shared" ref="O4:O9" si="2">+IF(M4="","","FI-"&amp;$B$1+N4)</f>
        <v>FI-301</v>
      </c>
      <c r="Q4" t="s">
        <v>5843</v>
      </c>
      <c r="R4" s="20">
        <v>1</v>
      </c>
      <c r="S4" t="str">
        <f>+IF(Q4="","","M-"&amp;$B$1+R4)</f>
        <v>M-301</v>
      </c>
      <c r="U4">
        <f>+VLOOKUP(W4,$J$4:$K$6,2,0)*100000+X4</f>
        <v>30310202</v>
      </c>
      <c r="V4" t="s">
        <v>261</v>
      </c>
      <c r="W4" t="s">
        <v>17</v>
      </c>
      <c r="X4">
        <f>+VLOOKUP(V4,$AC$3:$AD$364,2,0)</f>
        <v>10202</v>
      </c>
      <c r="Y4">
        <f>+U4</f>
        <v>30310202</v>
      </c>
      <c r="AC4" t="s">
        <v>367</v>
      </c>
      <c r="AD4">
        <v>1</v>
      </c>
    </row>
    <row r="5" spans="1:30" x14ac:dyDescent="0.3">
      <c r="A5" t="s">
        <v>5955</v>
      </c>
      <c r="B5" s="20">
        <f t="shared" ref="B5:B13" si="3">+IF(A5="","",B4+1)</f>
        <v>2</v>
      </c>
      <c r="C5" t="str">
        <f t="shared" si="0"/>
        <v>T-302</v>
      </c>
      <c r="E5" t="s">
        <v>7570</v>
      </c>
      <c r="F5" s="20">
        <f t="shared" ref="F5:F7" si="4">+IF(E5="","",F4+1)</f>
        <v>2</v>
      </c>
      <c r="G5" t="str">
        <f t="shared" si="1"/>
        <v>C-302</v>
      </c>
      <c r="I5" s="40">
        <f>++IF(J5="","",I4+1)</f>
        <v>302</v>
      </c>
      <c r="J5" t="s">
        <v>15</v>
      </c>
      <c r="K5">
        <f t="shared" ref="K5:K6" si="5">+I5</f>
        <v>302</v>
      </c>
      <c r="M5" t="s">
        <v>15</v>
      </c>
      <c r="N5" s="20">
        <f t="shared" ref="N5:N9" si="6">+IF(M5="","",N4+1)</f>
        <v>2</v>
      </c>
      <c r="O5" t="str">
        <f t="shared" si="2"/>
        <v>FI-302</v>
      </c>
      <c r="Q5" t="s">
        <v>5844</v>
      </c>
      <c r="R5" s="20">
        <f>+IF(Q5="","",R4+1)</f>
        <v>2</v>
      </c>
      <c r="S5" t="str">
        <f>+IF(Q5="","","M-"&amp;$B$1+R5)</f>
        <v>M-302</v>
      </c>
      <c r="U5">
        <f t="shared" ref="U5:U68" si="7">+VLOOKUP(W5,$J$4:$K$6,2,0)*100000+X5</f>
        <v>30309201</v>
      </c>
      <c r="V5" t="s">
        <v>240</v>
      </c>
      <c r="W5" t="s">
        <v>17</v>
      </c>
      <c r="X5">
        <f t="shared" ref="X5:X68" si="8">+VLOOKUP(V5,$AC$3:$AD$364,2,0)</f>
        <v>9201</v>
      </c>
      <c r="Y5">
        <f t="shared" ref="Y5:Y68" si="9">+U5</f>
        <v>30309201</v>
      </c>
      <c r="AC5" t="s">
        <v>368</v>
      </c>
      <c r="AD5">
        <v>2</v>
      </c>
    </row>
    <row r="6" spans="1:30" x14ac:dyDescent="0.3">
      <c r="A6" t="s">
        <v>5956</v>
      </c>
      <c r="B6" s="20">
        <f t="shared" si="3"/>
        <v>3</v>
      </c>
      <c r="C6" t="str">
        <f t="shared" si="0"/>
        <v>T-303</v>
      </c>
      <c r="E6" t="s">
        <v>7576</v>
      </c>
      <c r="F6" s="20">
        <f t="shared" si="4"/>
        <v>3</v>
      </c>
      <c r="G6" t="str">
        <f t="shared" si="1"/>
        <v>C-303</v>
      </c>
      <c r="I6">
        <f t="shared" ref="I6:I15" si="10">++IF(J6="","",I5+1)</f>
        <v>303</v>
      </c>
      <c r="J6" t="s">
        <v>17</v>
      </c>
      <c r="K6">
        <f t="shared" si="5"/>
        <v>303</v>
      </c>
      <c r="M6" t="s">
        <v>398</v>
      </c>
      <c r="N6" s="20">
        <f t="shared" si="6"/>
        <v>3</v>
      </c>
      <c r="O6" t="str">
        <f t="shared" si="2"/>
        <v>FI-303</v>
      </c>
      <c r="Q6" t="s">
        <v>5849</v>
      </c>
      <c r="R6" s="20">
        <f>+IF(Q6="","",R5+1)</f>
        <v>3</v>
      </c>
      <c r="S6" s="40" t="str">
        <f>+IF(Q6="","","M-"&amp;$B$1+R6)</f>
        <v>M-303</v>
      </c>
      <c r="U6">
        <f t="shared" si="7"/>
        <v>30202101</v>
      </c>
      <c r="V6" t="s">
        <v>16</v>
      </c>
      <c r="W6" t="s">
        <v>15</v>
      </c>
      <c r="X6">
        <f t="shared" si="8"/>
        <v>2101</v>
      </c>
      <c r="Y6">
        <f t="shared" si="9"/>
        <v>30202101</v>
      </c>
      <c r="AC6" t="s">
        <v>369</v>
      </c>
      <c r="AD6">
        <v>3</v>
      </c>
    </row>
    <row r="7" spans="1:30" x14ac:dyDescent="0.3">
      <c r="A7" t="s">
        <v>5957</v>
      </c>
      <c r="B7" s="20">
        <f t="shared" si="3"/>
        <v>4</v>
      </c>
      <c r="C7" t="str">
        <f t="shared" si="0"/>
        <v>T-304</v>
      </c>
      <c r="E7" t="s">
        <v>7583</v>
      </c>
      <c r="F7" s="20">
        <f t="shared" si="4"/>
        <v>4</v>
      </c>
      <c r="G7" t="str">
        <f t="shared" si="1"/>
        <v>C-304</v>
      </c>
      <c r="I7" t="str">
        <f t="shared" si="10"/>
        <v/>
      </c>
      <c r="M7" t="s">
        <v>7817</v>
      </c>
      <c r="N7" s="20">
        <f t="shared" si="6"/>
        <v>4</v>
      </c>
      <c r="O7" t="str">
        <f t="shared" si="2"/>
        <v>FI-304</v>
      </c>
      <c r="Q7" t="s">
        <v>5851</v>
      </c>
      <c r="R7" s="20">
        <f t="shared" ref="R7:R70" si="11">+IF(Q7="","",R6+1)</f>
        <v>4</v>
      </c>
      <c r="S7" s="40" t="str">
        <f t="shared" ref="S7:S70" si="12">+IF(Q7="","","M-"&amp;$B$1+R7)</f>
        <v>M-304</v>
      </c>
      <c r="U7">
        <f t="shared" si="7"/>
        <v>30302101</v>
      </c>
      <c r="V7" t="s">
        <v>16</v>
      </c>
      <c r="W7" t="s">
        <v>17</v>
      </c>
      <c r="X7">
        <f t="shared" si="8"/>
        <v>2101</v>
      </c>
      <c r="Y7">
        <f t="shared" si="9"/>
        <v>30302101</v>
      </c>
      <c r="AC7" t="s">
        <v>370</v>
      </c>
      <c r="AD7">
        <v>4</v>
      </c>
    </row>
    <row r="8" spans="1:30" x14ac:dyDescent="0.3">
      <c r="A8" t="s">
        <v>5863</v>
      </c>
      <c r="B8" s="20">
        <f t="shared" si="3"/>
        <v>5</v>
      </c>
      <c r="C8" t="str">
        <f t="shared" si="0"/>
        <v>T-305</v>
      </c>
      <c r="E8" t="s">
        <v>7805</v>
      </c>
      <c r="F8" s="20">
        <f t="shared" ref="F8:F71" si="13">+IF(E8="","",F7+1)</f>
        <v>5</v>
      </c>
      <c r="G8" t="str">
        <f t="shared" ref="G8:G71" si="14">+IF(E8="","","C-"&amp;$B$1+F8)</f>
        <v>C-305</v>
      </c>
      <c r="I8" t="str">
        <f t="shared" si="10"/>
        <v/>
      </c>
      <c r="N8" s="20" t="str">
        <f t="shared" si="6"/>
        <v/>
      </c>
      <c r="O8" s="40" t="str">
        <f t="shared" si="2"/>
        <v/>
      </c>
      <c r="Q8" t="s">
        <v>5855</v>
      </c>
      <c r="R8" s="20">
        <f t="shared" si="11"/>
        <v>5</v>
      </c>
      <c r="S8" s="40" t="str">
        <f t="shared" si="12"/>
        <v>M-305</v>
      </c>
      <c r="U8">
        <f t="shared" si="7"/>
        <v>30308202</v>
      </c>
      <c r="V8" t="s">
        <v>178</v>
      </c>
      <c r="W8" t="s">
        <v>17</v>
      </c>
      <c r="X8">
        <f t="shared" si="8"/>
        <v>8202</v>
      </c>
      <c r="Y8">
        <f t="shared" si="9"/>
        <v>30308202</v>
      </c>
      <c r="AC8" t="s">
        <v>371</v>
      </c>
      <c r="AD8">
        <v>5</v>
      </c>
    </row>
    <row r="9" spans="1:30" x14ac:dyDescent="0.3">
      <c r="A9" t="s">
        <v>5959</v>
      </c>
      <c r="B9" s="20">
        <f t="shared" si="3"/>
        <v>6</v>
      </c>
      <c r="C9" t="str">
        <f t="shared" si="0"/>
        <v>T-306</v>
      </c>
      <c r="E9" t="s">
        <v>7816</v>
      </c>
      <c r="F9" s="20">
        <f t="shared" si="13"/>
        <v>6</v>
      </c>
      <c r="G9" t="str">
        <f t="shared" si="14"/>
        <v>C-306</v>
      </c>
      <c r="I9" t="str">
        <f t="shared" si="10"/>
        <v/>
      </c>
      <c r="N9" s="20" t="str">
        <f t="shared" si="6"/>
        <v/>
      </c>
      <c r="O9" t="str">
        <f t="shared" si="2"/>
        <v/>
      </c>
      <c r="Q9" t="s">
        <v>5961</v>
      </c>
      <c r="R9" s="20">
        <f t="shared" si="11"/>
        <v>6</v>
      </c>
      <c r="S9" s="40" t="str">
        <f t="shared" si="12"/>
        <v>M-306</v>
      </c>
      <c r="U9">
        <f t="shared" si="7"/>
        <v>30315101</v>
      </c>
      <c r="V9" t="s">
        <v>362</v>
      </c>
      <c r="W9" t="s">
        <v>17</v>
      </c>
      <c r="X9">
        <f t="shared" si="8"/>
        <v>15101</v>
      </c>
      <c r="Y9">
        <f t="shared" si="9"/>
        <v>30315101</v>
      </c>
      <c r="AC9" t="s">
        <v>372</v>
      </c>
      <c r="AD9">
        <v>6</v>
      </c>
    </row>
    <row r="10" spans="1:30" x14ac:dyDescent="0.3">
      <c r="A10" t="s">
        <v>7577</v>
      </c>
      <c r="B10" s="20">
        <f t="shared" si="3"/>
        <v>7</v>
      </c>
      <c r="C10" t="str">
        <f t="shared" si="0"/>
        <v>T-307</v>
      </c>
      <c r="E10" t="s">
        <v>7922</v>
      </c>
      <c r="F10" s="20">
        <f t="shared" si="13"/>
        <v>7</v>
      </c>
      <c r="G10" t="str">
        <f t="shared" si="14"/>
        <v>C-307</v>
      </c>
      <c r="I10" t="str">
        <f t="shared" si="10"/>
        <v/>
      </c>
      <c r="N10" s="20" t="str">
        <f t="shared" ref="N10:N38" si="15">+IF(M10="","",N9+1)</f>
        <v/>
      </c>
      <c r="O10" t="str">
        <f t="shared" ref="O10:O38" si="16">+IF(M10="","","FI-"&amp;$B$1+N10)</f>
        <v/>
      </c>
      <c r="Q10" t="s">
        <v>6114</v>
      </c>
      <c r="R10" s="20">
        <f t="shared" si="11"/>
        <v>7</v>
      </c>
      <c r="S10" s="40" t="str">
        <f t="shared" si="12"/>
        <v>M-307</v>
      </c>
      <c r="U10">
        <f t="shared" si="7"/>
        <v>30302201</v>
      </c>
      <c r="V10" t="s">
        <v>39</v>
      </c>
      <c r="W10" t="s">
        <v>17</v>
      </c>
      <c r="X10">
        <f t="shared" si="8"/>
        <v>2201</v>
      </c>
      <c r="Y10">
        <f t="shared" si="9"/>
        <v>30302201</v>
      </c>
      <c r="AC10" t="s">
        <v>373</v>
      </c>
      <c r="AD10">
        <v>7</v>
      </c>
    </row>
    <row r="11" spans="1:30" x14ac:dyDescent="0.3">
      <c r="A11" t="s">
        <v>7579</v>
      </c>
      <c r="B11" s="20">
        <f t="shared" si="3"/>
        <v>8</v>
      </c>
      <c r="C11" t="str">
        <f t="shared" si="0"/>
        <v>T-308</v>
      </c>
      <c r="F11" s="20" t="str">
        <f t="shared" si="13"/>
        <v/>
      </c>
      <c r="G11" t="str">
        <f t="shared" si="14"/>
        <v/>
      </c>
      <c r="I11" t="str">
        <f t="shared" si="10"/>
        <v/>
      </c>
      <c r="N11" s="20" t="str">
        <f t="shared" si="15"/>
        <v/>
      </c>
      <c r="O11" t="str">
        <f t="shared" si="16"/>
        <v/>
      </c>
      <c r="Q11" t="s">
        <v>6148</v>
      </c>
      <c r="R11" s="20">
        <f t="shared" si="11"/>
        <v>8</v>
      </c>
      <c r="S11" s="40" t="str">
        <f t="shared" si="12"/>
        <v>M-308</v>
      </c>
      <c r="U11">
        <f t="shared" si="7"/>
        <v>30305502</v>
      </c>
      <c r="V11" t="s">
        <v>83</v>
      </c>
      <c r="W11" t="s">
        <v>17</v>
      </c>
      <c r="X11">
        <f t="shared" si="8"/>
        <v>5502</v>
      </c>
      <c r="Y11">
        <f t="shared" si="9"/>
        <v>30305502</v>
      </c>
      <c r="AC11" t="s">
        <v>374</v>
      </c>
      <c r="AD11">
        <v>8</v>
      </c>
    </row>
    <row r="12" spans="1:30" x14ac:dyDescent="0.3">
      <c r="A12" t="s">
        <v>7580</v>
      </c>
      <c r="B12" s="20">
        <f t="shared" si="3"/>
        <v>9</v>
      </c>
      <c r="C12" t="str">
        <f t="shared" si="0"/>
        <v>T-309</v>
      </c>
      <c r="F12" s="20" t="str">
        <f t="shared" si="13"/>
        <v/>
      </c>
      <c r="G12" t="str">
        <f t="shared" si="14"/>
        <v/>
      </c>
      <c r="I12" t="str">
        <f t="shared" si="10"/>
        <v/>
      </c>
      <c r="N12" s="20" t="str">
        <f t="shared" si="15"/>
        <v/>
      </c>
      <c r="O12" t="str">
        <f t="shared" si="16"/>
        <v/>
      </c>
      <c r="Q12" t="s">
        <v>6169</v>
      </c>
      <c r="R12" s="20">
        <f t="shared" si="11"/>
        <v>9</v>
      </c>
      <c r="S12" s="40" t="str">
        <f t="shared" si="12"/>
        <v>M-309</v>
      </c>
      <c r="U12">
        <f t="shared" si="7"/>
        <v>30308203</v>
      </c>
      <c r="V12" t="s">
        <v>179</v>
      </c>
      <c r="W12" t="s">
        <v>17</v>
      </c>
      <c r="X12">
        <f t="shared" si="8"/>
        <v>8203</v>
      </c>
      <c r="Y12">
        <f t="shared" si="9"/>
        <v>30308203</v>
      </c>
      <c r="AC12" t="s">
        <v>375</v>
      </c>
      <c r="AD12">
        <v>9</v>
      </c>
    </row>
    <row r="13" spans="1:30" x14ac:dyDescent="0.3">
      <c r="A13" t="s">
        <v>7581</v>
      </c>
      <c r="B13" s="20">
        <f t="shared" si="3"/>
        <v>10</v>
      </c>
      <c r="C13" t="str">
        <f t="shared" si="0"/>
        <v>T-310</v>
      </c>
      <c r="F13" s="20" t="str">
        <f t="shared" si="13"/>
        <v/>
      </c>
      <c r="G13" t="str">
        <f t="shared" si="14"/>
        <v/>
      </c>
      <c r="I13" t="str">
        <f t="shared" si="10"/>
        <v/>
      </c>
      <c r="N13" s="20" t="str">
        <f t="shared" si="15"/>
        <v/>
      </c>
      <c r="O13" t="str">
        <f t="shared" si="16"/>
        <v/>
      </c>
      <c r="Q13" t="s">
        <v>6191</v>
      </c>
      <c r="R13" s="20">
        <f t="shared" si="11"/>
        <v>10</v>
      </c>
      <c r="S13" s="40" t="str">
        <f t="shared" si="12"/>
        <v>M-310</v>
      </c>
      <c r="U13">
        <f t="shared" si="7"/>
        <v>30310201</v>
      </c>
      <c r="V13" t="s">
        <v>260</v>
      </c>
      <c r="W13" t="s">
        <v>17</v>
      </c>
      <c r="X13">
        <f t="shared" si="8"/>
        <v>10201</v>
      </c>
      <c r="Y13">
        <f t="shared" si="9"/>
        <v>30310201</v>
      </c>
      <c r="AC13" t="s">
        <v>376</v>
      </c>
      <c r="AD13">
        <v>10</v>
      </c>
    </row>
    <row r="14" spans="1:30" x14ac:dyDescent="0.3">
      <c r="A14" t="s">
        <v>7578</v>
      </c>
      <c r="B14" s="20">
        <f t="shared" ref="B14:B77" si="17">+IF(A14="","",B13+1)</f>
        <v>11</v>
      </c>
      <c r="C14" t="str">
        <f t="shared" ref="C14:C77" si="18">+IF(A14="","","T-"&amp;$B$1+B14)</f>
        <v>T-311</v>
      </c>
      <c r="F14" s="20" t="str">
        <f t="shared" si="13"/>
        <v/>
      </c>
      <c r="G14" t="str">
        <f t="shared" si="14"/>
        <v/>
      </c>
      <c r="I14" t="str">
        <f t="shared" si="10"/>
        <v/>
      </c>
      <c r="N14" s="20" t="str">
        <f t="shared" si="15"/>
        <v/>
      </c>
      <c r="O14" t="str">
        <f t="shared" si="16"/>
        <v/>
      </c>
      <c r="Q14" t="s">
        <v>6396</v>
      </c>
      <c r="R14" s="20">
        <f t="shared" si="11"/>
        <v>11</v>
      </c>
      <c r="S14" s="40" t="str">
        <f t="shared" si="12"/>
        <v>M-311</v>
      </c>
      <c r="U14">
        <f t="shared" si="7"/>
        <v>30307201</v>
      </c>
      <c r="V14" t="s">
        <v>145</v>
      </c>
      <c r="W14" t="s">
        <v>17</v>
      </c>
      <c r="X14">
        <f t="shared" si="8"/>
        <v>7201</v>
      </c>
      <c r="Y14">
        <f t="shared" si="9"/>
        <v>30307201</v>
      </c>
      <c r="AC14" t="s">
        <v>377</v>
      </c>
      <c r="AD14">
        <v>11</v>
      </c>
    </row>
    <row r="15" spans="1:30" x14ac:dyDescent="0.3">
      <c r="A15" t="s">
        <v>7584</v>
      </c>
      <c r="B15" s="20">
        <f t="shared" si="17"/>
        <v>12</v>
      </c>
      <c r="C15" t="str">
        <f t="shared" si="18"/>
        <v>T-312</v>
      </c>
      <c r="F15" s="20" t="str">
        <f t="shared" si="13"/>
        <v/>
      </c>
      <c r="G15" t="str">
        <f t="shared" si="14"/>
        <v/>
      </c>
      <c r="I15" t="str">
        <f t="shared" si="10"/>
        <v/>
      </c>
      <c r="N15" s="20" t="str">
        <f t="shared" si="15"/>
        <v/>
      </c>
      <c r="O15" t="str">
        <f t="shared" si="16"/>
        <v/>
      </c>
      <c r="Q15" t="s">
        <v>7585</v>
      </c>
      <c r="R15" s="20">
        <f t="shared" si="11"/>
        <v>12</v>
      </c>
      <c r="S15" s="40" t="str">
        <f t="shared" si="12"/>
        <v>M-312</v>
      </c>
      <c r="U15">
        <f t="shared" si="7"/>
        <v>30308103</v>
      </c>
      <c r="V15" t="s">
        <v>167</v>
      </c>
      <c r="W15" t="s">
        <v>17</v>
      </c>
      <c r="X15">
        <f t="shared" si="8"/>
        <v>8103</v>
      </c>
      <c r="Y15">
        <f t="shared" si="9"/>
        <v>30308103</v>
      </c>
      <c r="AC15" t="s">
        <v>378</v>
      </c>
      <c r="AD15">
        <v>12</v>
      </c>
    </row>
    <row r="16" spans="1:30" x14ac:dyDescent="0.3">
      <c r="A16" t="s">
        <v>7592</v>
      </c>
      <c r="B16" s="20">
        <f t="shared" si="17"/>
        <v>13</v>
      </c>
      <c r="C16" t="str">
        <f t="shared" si="18"/>
        <v>T-313</v>
      </c>
      <c r="F16" s="20" t="str">
        <f t="shared" si="13"/>
        <v/>
      </c>
      <c r="G16" t="str">
        <f t="shared" si="14"/>
        <v/>
      </c>
      <c r="N16" s="20" t="str">
        <f t="shared" si="15"/>
        <v/>
      </c>
      <c r="O16" t="str">
        <f t="shared" si="16"/>
        <v/>
      </c>
      <c r="Q16" t="s">
        <v>7806</v>
      </c>
      <c r="R16" s="20">
        <f t="shared" si="11"/>
        <v>13</v>
      </c>
      <c r="S16" s="40" t="str">
        <f t="shared" si="12"/>
        <v>M-313</v>
      </c>
      <c r="U16">
        <f t="shared" si="7"/>
        <v>30100000</v>
      </c>
      <c r="V16" t="s">
        <v>14</v>
      </c>
      <c r="W16" t="s">
        <v>19</v>
      </c>
      <c r="X16">
        <f t="shared" si="8"/>
        <v>0</v>
      </c>
      <c r="Y16">
        <f t="shared" si="9"/>
        <v>30100000</v>
      </c>
      <c r="AC16" t="s">
        <v>379</v>
      </c>
      <c r="AD16">
        <v>13</v>
      </c>
    </row>
    <row r="17" spans="1:30" x14ac:dyDescent="0.3">
      <c r="A17" t="s">
        <v>7623</v>
      </c>
      <c r="B17" s="20">
        <f t="shared" si="17"/>
        <v>14</v>
      </c>
      <c r="C17" t="str">
        <f t="shared" si="18"/>
        <v>T-314</v>
      </c>
      <c r="F17" s="20" t="str">
        <f t="shared" si="13"/>
        <v/>
      </c>
      <c r="G17" t="str">
        <f t="shared" si="14"/>
        <v/>
      </c>
      <c r="N17" s="20" t="str">
        <f t="shared" si="15"/>
        <v/>
      </c>
      <c r="O17" t="str">
        <f t="shared" si="16"/>
        <v/>
      </c>
      <c r="Q17" t="s">
        <v>7818</v>
      </c>
      <c r="R17" s="20">
        <f t="shared" si="11"/>
        <v>14</v>
      </c>
      <c r="S17" s="40" t="str">
        <f t="shared" si="12"/>
        <v>M-314</v>
      </c>
      <c r="U17">
        <f t="shared" si="7"/>
        <v>30204102</v>
      </c>
      <c r="V17" t="s">
        <v>25</v>
      </c>
      <c r="W17" t="s">
        <v>15</v>
      </c>
      <c r="X17">
        <f t="shared" si="8"/>
        <v>4102</v>
      </c>
      <c r="Y17">
        <f t="shared" si="9"/>
        <v>30204102</v>
      </c>
      <c r="AC17" t="s">
        <v>380</v>
      </c>
      <c r="AD17">
        <v>14</v>
      </c>
    </row>
    <row r="18" spans="1:30" x14ac:dyDescent="0.3">
      <c r="A18" t="s">
        <v>7804</v>
      </c>
      <c r="B18" s="20">
        <f t="shared" si="17"/>
        <v>15</v>
      </c>
      <c r="C18" t="str">
        <f t="shared" si="18"/>
        <v>T-315</v>
      </c>
      <c r="F18" s="20" t="str">
        <f t="shared" si="13"/>
        <v/>
      </c>
      <c r="G18" t="str">
        <f t="shared" si="14"/>
        <v/>
      </c>
      <c r="N18" s="20" t="str">
        <f t="shared" si="15"/>
        <v/>
      </c>
      <c r="O18" t="str">
        <f t="shared" si="16"/>
        <v/>
      </c>
      <c r="Q18" t="s">
        <v>7826</v>
      </c>
      <c r="R18" s="20">
        <f t="shared" si="11"/>
        <v>15</v>
      </c>
      <c r="S18" s="40" t="str">
        <f t="shared" si="12"/>
        <v>M-315</v>
      </c>
      <c r="U18">
        <f t="shared" si="7"/>
        <v>30304102</v>
      </c>
      <c r="V18" t="s">
        <v>25</v>
      </c>
      <c r="W18" t="s">
        <v>17</v>
      </c>
      <c r="X18">
        <f t="shared" si="8"/>
        <v>4102</v>
      </c>
      <c r="Y18">
        <f t="shared" si="9"/>
        <v>30304102</v>
      </c>
      <c r="AC18" t="s">
        <v>381</v>
      </c>
      <c r="AD18">
        <v>15</v>
      </c>
    </row>
    <row r="19" spans="1:30" x14ac:dyDescent="0.3">
      <c r="A19" t="s">
        <v>7815</v>
      </c>
      <c r="B19" s="20">
        <f t="shared" si="17"/>
        <v>16</v>
      </c>
      <c r="C19" t="str">
        <f t="shared" si="18"/>
        <v>T-316</v>
      </c>
      <c r="F19" s="20" t="str">
        <f t="shared" si="13"/>
        <v/>
      </c>
      <c r="G19" t="str">
        <f t="shared" si="14"/>
        <v/>
      </c>
      <c r="N19" s="20" t="str">
        <f t="shared" si="15"/>
        <v/>
      </c>
      <c r="O19" t="str">
        <f t="shared" si="16"/>
        <v/>
      </c>
      <c r="Q19" t="s">
        <v>7832</v>
      </c>
      <c r="R19" s="20">
        <f t="shared" si="11"/>
        <v>16</v>
      </c>
      <c r="S19" s="40" t="str">
        <f t="shared" si="12"/>
        <v>M-316</v>
      </c>
      <c r="U19">
        <f t="shared" si="7"/>
        <v>30308102</v>
      </c>
      <c r="V19" t="s">
        <v>166</v>
      </c>
      <c r="W19" t="s">
        <v>17</v>
      </c>
      <c r="X19">
        <f t="shared" si="8"/>
        <v>8102</v>
      </c>
      <c r="Y19">
        <f t="shared" si="9"/>
        <v>30308102</v>
      </c>
      <c r="AC19" t="s">
        <v>382</v>
      </c>
      <c r="AD19">
        <v>16</v>
      </c>
    </row>
    <row r="20" spans="1:30" x14ac:dyDescent="0.3">
      <c r="A20" t="s">
        <v>7825</v>
      </c>
      <c r="B20" s="20">
        <f t="shared" si="17"/>
        <v>17</v>
      </c>
      <c r="C20" t="str">
        <f t="shared" si="18"/>
        <v>T-317</v>
      </c>
      <c r="F20" s="20" t="str">
        <f t="shared" si="13"/>
        <v/>
      </c>
      <c r="G20" t="str">
        <f t="shared" si="14"/>
        <v/>
      </c>
      <c r="N20" s="20" t="str">
        <f t="shared" si="15"/>
        <v/>
      </c>
      <c r="O20" t="str">
        <f t="shared" si="16"/>
        <v/>
      </c>
      <c r="Q20" t="s">
        <v>7838</v>
      </c>
      <c r="R20" s="20">
        <f t="shared" si="11"/>
        <v>17</v>
      </c>
      <c r="S20" s="40" t="str">
        <f t="shared" si="12"/>
        <v>M-317</v>
      </c>
      <c r="U20">
        <f t="shared" si="7"/>
        <v>30303202</v>
      </c>
      <c r="V20" t="s">
        <v>48</v>
      </c>
      <c r="W20" t="s">
        <v>17</v>
      </c>
      <c r="X20">
        <f t="shared" si="8"/>
        <v>3202</v>
      </c>
      <c r="Y20">
        <f t="shared" si="9"/>
        <v>30303202</v>
      </c>
      <c r="AC20" t="s">
        <v>29</v>
      </c>
      <c r="AD20">
        <v>1101</v>
      </c>
    </row>
    <row r="21" spans="1:30" x14ac:dyDescent="0.3">
      <c r="A21" t="s">
        <v>7831</v>
      </c>
      <c r="B21" s="20">
        <f t="shared" si="17"/>
        <v>18</v>
      </c>
      <c r="C21" t="str">
        <f t="shared" si="18"/>
        <v>T-318</v>
      </c>
      <c r="F21" s="20" t="str">
        <f t="shared" si="13"/>
        <v/>
      </c>
      <c r="G21" t="str">
        <f t="shared" si="14"/>
        <v/>
      </c>
      <c r="N21" s="20" t="str">
        <f t="shared" si="15"/>
        <v/>
      </c>
      <c r="O21" t="str">
        <f t="shared" si="16"/>
        <v/>
      </c>
      <c r="Q21" t="s">
        <v>7843</v>
      </c>
      <c r="R21" s="20">
        <f t="shared" si="11"/>
        <v>18</v>
      </c>
      <c r="S21" s="40" t="str">
        <f t="shared" si="12"/>
        <v>M-318</v>
      </c>
      <c r="U21">
        <f t="shared" si="7"/>
        <v>30306106</v>
      </c>
      <c r="V21" t="s">
        <v>108</v>
      </c>
      <c r="W21" t="s">
        <v>17</v>
      </c>
      <c r="X21">
        <f t="shared" si="8"/>
        <v>6106</v>
      </c>
      <c r="Y21">
        <f t="shared" si="9"/>
        <v>30306106</v>
      </c>
      <c r="AC21" t="s">
        <v>30</v>
      </c>
      <c r="AD21">
        <v>1107</v>
      </c>
    </row>
    <row r="22" spans="1:30" x14ac:dyDescent="0.3">
      <c r="A22" t="s">
        <v>7837</v>
      </c>
      <c r="B22" s="20">
        <f t="shared" si="17"/>
        <v>19</v>
      </c>
      <c r="C22" t="str">
        <f t="shared" si="18"/>
        <v>T-319</v>
      </c>
      <c r="F22" s="20" t="str">
        <f t="shared" si="13"/>
        <v/>
      </c>
      <c r="G22" t="str">
        <f t="shared" si="14"/>
        <v/>
      </c>
      <c r="N22" s="20" t="str">
        <f t="shared" si="15"/>
        <v/>
      </c>
      <c r="O22" t="str">
        <f t="shared" si="16"/>
        <v/>
      </c>
      <c r="Q22" t="s">
        <v>7848</v>
      </c>
      <c r="R22" s="20">
        <f t="shared" si="11"/>
        <v>19</v>
      </c>
      <c r="S22" s="40" t="str">
        <f t="shared" si="12"/>
        <v>M-319</v>
      </c>
      <c r="U22">
        <f t="shared" si="7"/>
        <v>30304201</v>
      </c>
      <c r="V22" t="s">
        <v>58</v>
      </c>
      <c r="W22" t="s">
        <v>17</v>
      </c>
      <c r="X22">
        <f t="shared" si="8"/>
        <v>4201</v>
      </c>
      <c r="Y22">
        <f t="shared" si="9"/>
        <v>30304201</v>
      </c>
      <c r="AC22" t="s">
        <v>31</v>
      </c>
      <c r="AD22">
        <v>1401</v>
      </c>
    </row>
    <row r="23" spans="1:30" x14ac:dyDescent="0.3">
      <c r="A23" t="s">
        <v>7842</v>
      </c>
      <c r="B23" s="20">
        <f t="shared" si="17"/>
        <v>20</v>
      </c>
      <c r="C23" t="str">
        <f t="shared" si="18"/>
        <v>T-320</v>
      </c>
      <c r="F23" s="20" t="str">
        <f t="shared" si="13"/>
        <v/>
      </c>
      <c r="G23" t="str">
        <f t="shared" si="14"/>
        <v/>
      </c>
      <c r="N23" s="20" t="str">
        <f t="shared" si="15"/>
        <v/>
      </c>
      <c r="O23" t="str">
        <f t="shared" si="16"/>
        <v/>
      </c>
      <c r="Q23" t="s">
        <v>7852</v>
      </c>
      <c r="R23" s="20">
        <f t="shared" si="11"/>
        <v>20</v>
      </c>
      <c r="S23" s="40" t="str">
        <f t="shared" si="12"/>
        <v>M-320</v>
      </c>
      <c r="U23">
        <f t="shared" si="7"/>
        <v>30301101</v>
      </c>
      <c r="V23" t="s">
        <v>29</v>
      </c>
      <c r="W23" t="s">
        <v>17</v>
      </c>
      <c r="X23">
        <f t="shared" si="8"/>
        <v>1101</v>
      </c>
      <c r="Y23">
        <f t="shared" si="9"/>
        <v>30301101</v>
      </c>
      <c r="AC23" t="s">
        <v>32</v>
      </c>
      <c r="AD23">
        <v>1402</v>
      </c>
    </row>
    <row r="24" spans="1:30" x14ac:dyDescent="0.3">
      <c r="A24" t="s">
        <v>7869</v>
      </c>
      <c r="B24" s="20">
        <f t="shared" si="17"/>
        <v>21</v>
      </c>
      <c r="C24" t="str">
        <f t="shared" si="18"/>
        <v>T-321</v>
      </c>
      <c r="F24" s="20" t="str">
        <f t="shared" si="13"/>
        <v/>
      </c>
      <c r="G24" t="str">
        <f t="shared" si="14"/>
        <v/>
      </c>
      <c r="N24" s="20" t="str">
        <f t="shared" si="15"/>
        <v/>
      </c>
      <c r="O24" t="str">
        <f t="shared" si="16"/>
        <v/>
      </c>
      <c r="Q24" t="s">
        <v>7857</v>
      </c>
      <c r="R24" s="20">
        <f t="shared" si="11"/>
        <v>21</v>
      </c>
      <c r="S24" s="40" t="str">
        <f t="shared" si="12"/>
        <v>M-321</v>
      </c>
      <c r="U24">
        <f t="shared" si="7"/>
        <v>30305401</v>
      </c>
      <c r="V24" t="s">
        <v>77</v>
      </c>
      <c r="W24" t="s">
        <v>17</v>
      </c>
      <c r="X24">
        <f t="shared" si="8"/>
        <v>5401</v>
      </c>
      <c r="Y24">
        <f t="shared" si="9"/>
        <v>30305401</v>
      </c>
      <c r="AC24" t="s">
        <v>33</v>
      </c>
      <c r="AD24">
        <v>1403</v>
      </c>
    </row>
    <row r="25" spans="1:30" x14ac:dyDescent="0.3">
      <c r="A25" t="s">
        <v>7875</v>
      </c>
      <c r="B25" s="20">
        <f t="shared" si="17"/>
        <v>22</v>
      </c>
      <c r="C25" t="str">
        <f t="shared" si="18"/>
        <v>T-322</v>
      </c>
      <c r="F25" s="20" t="str">
        <f t="shared" si="13"/>
        <v/>
      </c>
      <c r="G25" t="str">
        <f t="shared" si="14"/>
        <v/>
      </c>
      <c r="N25" s="20" t="str">
        <f t="shared" si="15"/>
        <v/>
      </c>
      <c r="O25" t="str">
        <f t="shared" si="16"/>
        <v/>
      </c>
      <c r="Q25" t="s">
        <v>7861</v>
      </c>
      <c r="R25" s="20">
        <f t="shared" si="11"/>
        <v>22</v>
      </c>
      <c r="S25" s="40" t="str">
        <f t="shared" si="12"/>
        <v>M-322</v>
      </c>
      <c r="U25">
        <f t="shared" si="7"/>
        <v>30304101</v>
      </c>
      <c r="V25" t="s">
        <v>53</v>
      </c>
      <c r="W25" t="s">
        <v>17</v>
      </c>
      <c r="X25">
        <f t="shared" si="8"/>
        <v>4101</v>
      </c>
      <c r="Y25">
        <f t="shared" si="9"/>
        <v>30304101</v>
      </c>
      <c r="AC25" t="s">
        <v>34</v>
      </c>
      <c r="AD25">
        <v>1404</v>
      </c>
    </row>
    <row r="26" spans="1:30" x14ac:dyDescent="0.3">
      <c r="A26" t="s">
        <v>7879</v>
      </c>
      <c r="B26" s="20">
        <f t="shared" si="17"/>
        <v>23</v>
      </c>
      <c r="C26" t="str">
        <f t="shared" si="18"/>
        <v>T-323</v>
      </c>
      <c r="F26" s="20" t="str">
        <f t="shared" si="13"/>
        <v/>
      </c>
      <c r="G26" t="str">
        <f t="shared" si="14"/>
        <v/>
      </c>
      <c r="N26" s="20" t="str">
        <f t="shared" si="15"/>
        <v/>
      </c>
      <c r="O26" t="str">
        <f t="shared" si="16"/>
        <v/>
      </c>
      <c r="Q26" t="s">
        <v>7865</v>
      </c>
      <c r="R26" s="20">
        <f t="shared" si="11"/>
        <v>23</v>
      </c>
      <c r="S26" s="40" t="str">
        <f t="shared" si="12"/>
        <v>M-323</v>
      </c>
      <c r="U26">
        <f t="shared" si="7"/>
        <v>30309108</v>
      </c>
      <c r="V26" t="s">
        <v>226</v>
      </c>
      <c r="W26" t="s">
        <v>17</v>
      </c>
      <c r="X26">
        <f t="shared" si="8"/>
        <v>9108</v>
      </c>
      <c r="Y26">
        <f t="shared" si="9"/>
        <v>30309108</v>
      </c>
      <c r="AC26" t="s">
        <v>35</v>
      </c>
      <c r="AD26">
        <v>1405</v>
      </c>
    </row>
    <row r="27" spans="1:30" x14ac:dyDescent="0.3">
      <c r="A27" t="s">
        <v>7883</v>
      </c>
      <c r="B27" s="20">
        <f t="shared" si="17"/>
        <v>24</v>
      </c>
      <c r="C27" t="str">
        <f t="shared" si="18"/>
        <v>T-324</v>
      </c>
      <c r="F27" s="20" t="str">
        <f t="shared" si="13"/>
        <v/>
      </c>
      <c r="G27" t="str">
        <f t="shared" si="14"/>
        <v/>
      </c>
      <c r="N27" s="20" t="str">
        <f t="shared" si="15"/>
        <v/>
      </c>
      <c r="O27" t="str">
        <f t="shared" si="16"/>
        <v/>
      </c>
      <c r="Q27" t="s">
        <v>7870</v>
      </c>
      <c r="R27" s="20">
        <f t="shared" si="11"/>
        <v>24</v>
      </c>
      <c r="S27" s="40" t="str">
        <f t="shared" si="12"/>
        <v>M-324</v>
      </c>
      <c r="U27">
        <f t="shared" si="7"/>
        <v>30305802</v>
      </c>
      <c r="V27" t="s">
        <v>100</v>
      </c>
      <c r="W27" t="s">
        <v>17</v>
      </c>
      <c r="X27">
        <f t="shared" si="8"/>
        <v>5802</v>
      </c>
      <c r="Y27">
        <f t="shared" si="9"/>
        <v>30305802</v>
      </c>
      <c r="AC27" t="s">
        <v>16</v>
      </c>
      <c r="AD27">
        <v>2101</v>
      </c>
    </row>
    <row r="28" spans="1:30" x14ac:dyDescent="0.3">
      <c r="A28" t="s">
        <v>7887</v>
      </c>
      <c r="B28" s="20">
        <f t="shared" si="17"/>
        <v>25</v>
      </c>
      <c r="C28" t="str">
        <f t="shared" si="18"/>
        <v>T-325</v>
      </c>
      <c r="F28" s="20" t="str">
        <f t="shared" si="13"/>
        <v/>
      </c>
      <c r="G28" t="str">
        <f t="shared" si="14"/>
        <v/>
      </c>
      <c r="N28" s="20" t="str">
        <f t="shared" si="15"/>
        <v/>
      </c>
      <c r="O28" t="str">
        <f t="shared" si="16"/>
        <v/>
      </c>
      <c r="Q28" t="s">
        <v>7891</v>
      </c>
      <c r="R28" s="20">
        <f t="shared" si="11"/>
        <v>25</v>
      </c>
      <c r="S28" s="40" t="str">
        <f t="shared" si="12"/>
        <v>M-325</v>
      </c>
      <c r="U28">
        <f t="shared" si="7"/>
        <v>30307401</v>
      </c>
      <c r="V28" t="s">
        <v>157</v>
      </c>
      <c r="W28" t="s">
        <v>17</v>
      </c>
      <c r="X28">
        <f t="shared" si="8"/>
        <v>7401</v>
      </c>
      <c r="Y28">
        <f t="shared" si="9"/>
        <v>30307401</v>
      </c>
      <c r="AC28" t="s">
        <v>36</v>
      </c>
      <c r="AD28">
        <v>2102</v>
      </c>
    </row>
    <row r="29" spans="1:30" x14ac:dyDescent="0.3">
      <c r="B29" s="20" t="str">
        <f t="shared" si="17"/>
        <v/>
      </c>
      <c r="C29" t="str">
        <f t="shared" si="18"/>
        <v/>
      </c>
      <c r="F29" s="20" t="str">
        <f t="shared" si="13"/>
        <v/>
      </c>
      <c r="G29" t="str">
        <f t="shared" si="14"/>
        <v/>
      </c>
      <c r="N29" s="20" t="str">
        <f t="shared" si="15"/>
        <v/>
      </c>
      <c r="O29" t="str">
        <f t="shared" si="16"/>
        <v/>
      </c>
      <c r="Q29" t="s">
        <v>7895</v>
      </c>
      <c r="R29" s="20">
        <f t="shared" si="11"/>
        <v>26</v>
      </c>
      <c r="S29" s="40" t="str">
        <f t="shared" si="12"/>
        <v>M-326</v>
      </c>
      <c r="U29">
        <f t="shared" si="7"/>
        <v>30309109</v>
      </c>
      <c r="V29" t="s">
        <v>227</v>
      </c>
      <c r="W29" t="s">
        <v>17</v>
      </c>
      <c r="X29">
        <f t="shared" si="8"/>
        <v>9109</v>
      </c>
      <c r="Y29">
        <f t="shared" si="9"/>
        <v>30309109</v>
      </c>
      <c r="AC29" t="s">
        <v>37</v>
      </c>
      <c r="AD29">
        <v>2103</v>
      </c>
    </row>
    <row r="30" spans="1:30" x14ac:dyDescent="0.3">
      <c r="B30" s="20" t="str">
        <f t="shared" si="17"/>
        <v/>
      </c>
      <c r="C30" t="str">
        <f t="shared" si="18"/>
        <v/>
      </c>
      <c r="F30" s="20" t="str">
        <f t="shared" si="13"/>
        <v/>
      </c>
      <c r="G30" t="str">
        <f t="shared" si="14"/>
        <v/>
      </c>
      <c r="N30" s="20" t="str">
        <f t="shared" si="15"/>
        <v/>
      </c>
      <c r="O30" t="str">
        <f t="shared" si="16"/>
        <v/>
      </c>
      <c r="Q30" t="s">
        <v>7899</v>
      </c>
      <c r="R30" s="20">
        <f t="shared" si="11"/>
        <v>27</v>
      </c>
      <c r="S30" s="40" t="str">
        <f t="shared" si="12"/>
        <v>M-327</v>
      </c>
      <c r="U30">
        <f t="shared" si="7"/>
        <v>30305301</v>
      </c>
      <c r="V30" t="s">
        <v>73</v>
      </c>
      <c r="W30" t="s">
        <v>17</v>
      </c>
      <c r="X30">
        <f t="shared" si="8"/>
        <v>5301</v>
      </c>
      <c r="Y30">
        <f t="shared" si="9"/>
        <v>30305301</v>
      </c>
      <c r="AC30" t="s">
        <v>38</v>
      </c>
      <c r="AD30">
        <v>2104</v>
      </c>
    </row>
    <row r="31" spans="1:30" x14ac:dyDescent="0.3">
      <c r="B31" s="20" t="str">
        <f t="shared" si="17"/>
        <v/>
      </c>
      <c r="C31" t="str">
        <f t="shared" si="18"/>
        <v/>
      </c>
      <c r="F31" s="20" t="str">
        <f t="shared" si="13"/>
        <v/>
      </c>
      <c r="G31" t="str">
        <f t="shared" si="14"/>
        <v/>
      </c>
      <c r="N31" s="20" t="str">
        <f t="shared" si="15"/>
        <v/>
      </c>
      <c r="O31" t="str">
        <f t="shared" si="16"/>
        <v/>
      </c>
      <c r="Q31" t="s">
        <v>7903</v>
      </c>
      <c r="R31" s="20">
        <f t="shared" si="11"/>
        <v>28</v>
      </c>
      <c r="S31" s="40" t="str">
        <f t="shared" si="12"/>
        <v>M-328</v>
      </c>
      <c r="U31">
        <f t="shared" si="7"/>
        <v>30308301</v>
      </c>
      <c r="V31" t="s">
        <v>184</v>
      </c>
      <c r="W31" t="s">
        <v>17</v>
      </c>
      <c r="X31">
        <f t="shared" si="8"/>
        <v>8301</v>
      </c>
      <c r="Y31">
        <f t="shared" si="9"/>
        <v>30308301</v>
      </c>
      <c r="AC31" t="s">
        <v>39</v>
      </c>
      <c r="AD31">
        <v>2201</v>
      </c>
    </row>
    <row r="32" spans="1:30" x14ac:dyDescent="0.3">
      <c r="B32" s="20" t="str">
        <f t="shared" si="17"/>
        <v/>
      </c>
      <c r="C32" t="str">
        <f t="shared" si="18"/>
        <v/>
      </c>
      <c r="F32" s="20" t="str">
        <f t="shared" si="13"/>
        <v/>
      </c>
      <c r="G32" t="str">
        <f t="shared" si="14"/>
        <v/>
      </c>
      <c r="N32" s="20" t="str">
        <f t="shared" si="15"/>
        <v/>
      </c>
      <c r="O32" t="str">
        <f t="shared" si="16"/>
        <v/>
      </c>
      <c r="Q32" t="s">
        <v>7907</v>
      </c>
      <c r="R32" s="20">
        <f t="shared" si="11"/>
        <v>29</v>
      </c>
      <c r="S32" s="40" t="str">
        <f t="shared" si="12"/>
        <v>M-329</v>
      </c>
      <c r="U32">
        <f t="shared" si="7"/>
        <v>30214104</v>
      </c>
      <c r="V32" t="s">
        <v>28</v>
      </c>
      <c r="W32" t="s">
        <v>15</v>
      </c>
      <c r="X32">
        <f t="shared" si="8"/>
        <v>14104</v>
      </c>
      <c r="Y32">
        <f t="shared" si="9"/>
        <v>30214104</v>
      </c>
      <c r="AC32" t="s">
        <v>40</v>
      </c>
      <c r="AD32">
        <v>2202</v>
      </c>
    </row>
    <row r="33" spans="2:30" x14ac:dyDescent="0.3">
      <c r="B33" s="20" t="str">
        <f t="shared" si="17"/>
        <v/>
      </c>
      <c r="C33" t="str">
        <f t="shared" si="18"/>
        <v/>
      </c>
      <c r="F33" s="20" t="str">
        <f t="shared" si="13"/>
        <v/>
      </c>
      <c r="G33" t="str">
        <f t="shared" si="14"/>
        <v/>
      </c>
      <c r="N33" s="20" t="str">
        <f t="shared" si="15"/>
        <v/>
      </c>
      <c r="O33" t="str">
        <f t="shared" si="16"/>
        <v/>
      </c>
      <c r="R33" s="20" t="str">
        <f t="shared" si="11"/>
        <v/>
      </c>
      <c r="S33" s="40" t="str">
        <f t="shared" si="12"/>
        <v/>
      </c>
      <c r="U33">
        <f t="shared" si="7"/>
        <v>30314104</v>
      </c>
      <c r="V33" t="s">
        <v>28</v>
      </c>
      <c r="W33" t="s">
        <v>17</v>
      </c>
      <c r="X33">
        <f t="shared" si="8"/>
        <v>14104</v>
      </c>
      <c r="Y33">
        <f t="shared" si="9"/>
        <v>30314104</v>
      </c>
      <c r="AC33" t="s">
        <v>41</v>
      </c>
      <c r="AD33">
        <v>2203</v>
      </c>
    </row>
    <row r="34" spans="2:30" x14ac:dyDescent="0.3">
      <c r="B34" s="20" t="str">
        <f t="shared" si="17"/>
        <v/>
      </c>
      <c r="C34" t="str">
        <f t="shared" si="18"/>
        <v/>
      </c>
      <c r="F34" s="20" t="str">
        <f t="shared" si="13"/>
        <v/>
      </c>
      <c r="G34" t="str">
        <f t="shared" si="14"/>
        <v/>
      </c>
      <c r="N34" s="20" t="str">
        <f t="shared" si="15"/>
        <v/>
      </c>
      <c r="O34" t="str">
        <f t="shared" si="16"/>
        <v/>
      </c>
      <c r="R34" s="20" t="str">
        <f t="shared" si="11"/>
        <v/>
      </c>
      <c r="S34" s="40" t="str">
        <f t="shared" si="12"/>
        <v/>
      </c>
      <c r="U34">
        <f t="shared" si="7"/>
        <v>30314106</v>
      </c>
      <c r="V34" t="s">
        <v>355</v>
      </c>
      <c r="W34" t="s">
        <v>17</v>
      </c>
      <c r="X34">
        <f t="shared" si="8"/>
        <v>14106</v>
      </c>
      <c r="Y34">
        <f t="shared" si="9"/>
        <v>30314106</v>
      </c>
      <c r="AC34" t="s">
        <v>42</v>
      </c>
      <c r="AD34">
        <v>2301</v>
      </c>
    </row>
    <row r="35" spans="2:30" x14ac:dyDescent="0.3">
      <c r="B35" s="20" t="str">
        <f t="shared" si="17"/>
        <v/>
      </c>
      <c r="C35" t="str">
        <f t="shared" si="18"/>
        <v/>
      </c>
      <c r="F35" s="20" t="str">
        <f t="shared" si="13"/>
        <v/>
      </c>
      <c r="G35" t="str">
        <f t="shared" si="14"/>
        <v/>
      </c>
      <c r="N35" s="20" t="str">
        <f t="shared" si="15"/>
        <v/>
      </c>
      <c r="O35" t="str">
        <f t="shared" si="16"/>
        <v/>
      </c>
      <c r="R35" s="20" t="str">
        <f t="shared" si="11"/>
        <v/>
      </c>
      <c r="S35" s="40" t="str">
        <f t="shared" si="12"/>
        <v/>
      </c>
      <c r="U35">
        <f t="shared" si="7"/>
        <v>30207105</v>
      </c>
      <c r="V35" t="s">
        <v>27</v>
      </c>
      <c r="W35" t="s">
        <v>15</v>
      </c>
      <c r="X35">
        <f t="shared" si="8"/>
        <v>7105</v>
      </c>
      <c r="Y35">
        <f t="shared" si="9"/>
        <v>30207105</v>
      </c>
      <c r="AC35" t="s">
        <v>43</v>
      </c>
      <c r="AD35">
        <v>2302</v>
      </c>
    </row>
    <row r="36" spans="2:30" x14ac:dyDescent="0.3">
      <c r="B36" s="20" t="str">
        <f t="shared" si="17"/>
        <v/>
      </c>
      <c r="C36" t="str">
        <f t="shared" si="18"/>
        <v/>
      </c>
      <c r="F36" s="20" t="str">
        <f t="shared" si="13"/>
        <v/>
      </c>
      <c r="G36" t="str">
        <f t="shared" si="14"/>
        <v/>
      </c>
      <c r="N36" s="20" t="str">
        <f t="shared" si="15"/>
        <v/>
      </c>
      <c r="O36" t="str">
        <f t="shared" si="16"/>
        <v/>
      </c>
      <c r="R36" s="20" t="str">
        <f t="shared" si="11"/>
        <v/>
      </c>
      <c r="S36" s="40" t="str">
        <f t="shared" si="12"/>
        <v/>
      </c>
      <c r="U36">
        <f t="shared" si="7"/>
        <v>30307304</v>
      </c>
      <c r="V36" t="s">
        <v>151</v>
      </c>
      <c r="W36" t="s">
        <v>17</v>
      </c>
      <c r="X36">
        <f t="shared" si="8"/>
        <v>7304</v>
      </c>
      <c r="Y36">
        <f t="shared" si="9"/>
        <v>30307304</v>
      </c>
      <c r="AC36" t="s">
        <v>44</v>
      </c>
      <c r="AD36">
        <v>3101</v>
      </c>
    </row>
    <row r="37" spans="2:30" x14ac:dyDescent="0.3">
      <c r="B37" s="20" t="str">
        <f t="shared" si="17"/>
        <v/>
      </c>
      <c r="C37" t="str">
        <f t="shared" si="18"/>
        <v/>
      </c>
      <c r="F37" s="20" t="str">
        <f t="shared" si="13"/>
        <v/>
      </c>
      <c r="G37" t="str">
        <f t="shared" si="14"/>
        <v/>
      </c>
      <c r="N37" s="20" t="str">
        <f t="shared" si="15"/>
        <v/>
      </c>
      <c r="O37" t="str">
        <f t="shared" si="16"/>
        <v/>
      </c>
      <c r="R37" s="20" t="str">
        <f t="shared" si="11"/>
        <v/>
      </c>
      <c r="S37" s="40" t="str">
        <f t="shared" si="12"/>
        <v/>
      </c>
      <c r="U37">
        <f t="shared" si="7"/>
        <v>30309111</v>
      </c>
      <c r="V37" t="s">
        <v>229</v>
      </c>
      <c r="W37" t="s">
        <v>17</v>
      </c>
      <c r="X37">
        <f t="shared" si="8"/>
        <v>9111</v>
      </c>
      <c r="Y37">
        <f t="shared" si="9"/>
        <v>30309111</v>
      </c>
      <c r="AC37" t="s">
        <v>45</v>
      </c>
      <c r="AD37">
        <v>3102</v>
      </c>
    </row>
    <row r="38" spans="2:30" x14ac:dyDescent="0.3">
      <c r="B38" s="20" t="str">
        <f t="shared" si="17"/>
        <v/>
      </c>
      <c r="C38" t="str">
        <f t="shared" si="18"/>
        <v/>
      </c>
      <c r="F38" s="20" t="str">
        <f t="shared" si="13"/>
        <v/>
      </c>
      <c r="G38" t="str">
        <f t="shared" si="14"/>
        <v/>
      </c>
      <c r="N38" s="20" t="str">
        <f t="shared" si="15"/>
        <v/>
      </c>
      <c r="O38" t="str">
        <f t="shared" si="16"/>
        <v/>
      </c>
      <c r="R38" s="20" t="str">
        <f t="shared" si="11"/>
        <v/>
      </c>
      <c r="S38" s="40" t="str">
        <f t="shared" si="12"/>
        <v/>
      </c>
      <c r="U38">
        <f t="shared" si="7"/>
        <v>30310301</v>
      </c>
      <c r="V38" t="s">
        <v>270</v>
      </c>
      <c r="W38" t="s">
        <v>17</v>
      </c>
      <c r="X38">
        <f t="shared" si="8"/>
        <v>10301</v>
      </c>
      <c r="Y38">
        <f t="shared" si="9"/>
        <v>30310301</v>
      </c>
      <c r="AC38" t="s">
        <v>46</v>
      </c>
      <c r="AD38">
        <v>3103</v>
      </c>
    </row>
    <row r="39" spans="2:30" x14ac:dyDescent="0.3">
      <c r="B39" s="20" t="str">
        <f t="shared" si="17"/>
        <v/>
      </c>
      <c r="C39" t="str">
        <f t="shared" si="18"/>
        <v/>
      </c>
      <c r="F39" s="20" t="str">
        <f t="shared" si="13"/>
        <v/>
      </c>
      <c r="G39" t="str">
        <f t="shared" si="14"/>
        <v/>
      </c>
      <c r="R39" s="20" t="str">
        <f t="shared" si="11"/>
        <v/>
      </c>
      <c r="S39" s="40" t="str">
        <f t="shared" si="12"/>
        <v/>
      </c>
      <c r="U39">
        <f t="shared" si="7"/>
        <v>30304301</v>
      </c>
      <c r="V39" t="s">
        <v>21</v>
      </c>
      <c r="W39" t="s">
        <v>17</v>
      </c>
      <c r="X39">
        <f t="shared" si="8"/>
        <v>4301</v>
      </c>
      <c r="Y39">
        <f t="shared" si="9"/>
        <v>30304301</v>
      </c>
      <c r="AC39" t="s">
        <v>47</v>
      </c>
      <c r="AD39">
        <v>3201</v>
      </c>
    </row>
    <row r="40" spans="2:30" x14ac:dyDescent="0.3">
      <c r="B40" s="20" t="str">
        <f t="shared" si="17"/>
        <v/>
      </c>
      <c r="C40" t="str">
        <f t="shared" si="18"/>
        <v/>
      </c>
      <c r="F40" s="20" t="str">
        <f t="shared" si="13"/>
        <v/>
      </c>
      <c r="G40" t="str">
        <f t="shared" si="14"/>
        <v/>
      </c>
      <c r="R40" s="20" t="str">
        <f t="shared" si="11"/>
        <v/>
      </c>
      <c r="S40" s="40" t="str">
        <f t="shared" si="12"/>
        <v/>
      </c>
      <c r="U40">
        <f t="shared" si="7"/>
        <v>30307404</v>
      </c>
      <c r="V40" t="s">
        <v>160</v>
      </c>
      <c r="W40" t="s">
        <v>17</v>
      </c>
      <c r="X40">
        <f t="shared" si="8"/>
        <v>7404</v>
      </c>
      <c r="Y40">
        <f t="shared" si="9"/>
        <v>30307404</v>
      </c>
      <c r="AC40" t="s">
        <v>48</v>
      </c>
      <c r="AD40">
        <v>3202</v>
      </c>
    </row>
    <row r="41" spans="2:30" x14ac:dyDescent="0.3">
      <c r="B41" s="20" t="str">
        <f t="shared" si="17"/>
        <v/>
      </c>
      <c r="C41" t="str">
        <f t="shared" si="18"/>
        <v/>
      </c>
      <c r="F41" s="20" t="str">
        <f t="shared" si="13"/>
        <v/>
      </c>
      <c r="G41" t="str">
        <f t="shared" si="14"/>
        <v/>
      </c>
      <c r="R41" s="20" t="str">
        <f t="shared" si="11"/>
        <v/>
      </c>
      <c r="S41" s="40" t="str">
        <f t="shared" si="12"/>
        <v/>
      </c>
      <c r="U41">
        <f t="shared" si="7"/>
        <v>30310101</v>
      </c>
      <c r="V41" t="s">
        <v>251</v>
      </c>
      <c r="W41" t="s">
        <v>17</v>
      </c>
      <c r="X41">
        <f t="shared" si="8"/>
        <v>10101</v>
      </c>
      <c r="Y41">
        <f t="shared" si="9"/>
        <v>30310101</v>
      </c>
      <c r="AC41" t="s">
        <v>49</v>
      </c>
      <c r="AD41">
        <v>3301</v>
      </c>
    </row>
    <row r="42" spans="2:30" x14ac:dyDescent="0.3">
      <c r="B42" s="20" t="str">
        <f t="shared" si="17"/>
        <v/>
      </c>
      <c r="C42" t="str">
        <f t="shared" si="18"/>
        <v/>
      </c>
      <c r="F42" s="20" t="str">
        <f t="shared" si="13"/>
        <v/>
      </c>
      <c r="G42" t="str">
        <f t="shared" si="14"/>
        <v/>
      </c>
      <c r="R42" s="20" t="str">
        <f t="shared" si="11"/>
        <v/>
      </c>
      <c r="S42" s="40" t="str">
        <f t="shared" si="12"/>
        <v/>
      </c>
      <c r="U42">
        <f t="shared" si="7"/>
        <v>30310109</v>
      </c>
      <c r="V42" t="s">
        <v>259</v>
      </c>
      <c r="W42" t="s">
        <v>17</v>
      </c>
      <c r="X42">
        <f t="shared" si="8"/>
        <v>10109</v>
      </c>
      <c r="Y42">
        <f t="shared" si="9"/>
        <v>30310109</v>
      </c>
      <c r="AC42" t="s">
        <v>50</v>
      </c>
      <c r="AD42">
        <v>3302</v>
      </c>
    </row>
    <row r="43" spans="2:30" x14ac:dyDescent="0.3">
      <c r="B43" s="20" t="str">
        <f t="shared" si="17"/>
        <v/>
      </c>
      <c r="C43" t="str">
        <f t="shared" si="18"/>
        <v/>
      </c>
      <c r="F43" s="20" t="str">
        <f t="shared" si="13"/>
        <v/>
      </c>
      <c r="G43" t="str">
        <f t="shared" si="14"/>
        <v/>
      </c>
      <c r="R43" s="20" t="str">
        <f t="shared" si="11"/>
        <v/>
      </c>
      <c r="S43" s="40" t="str">
        <f t="shared" si="12"/>
        <v/>
      </c>
      <c r="U43">
        <f t="shared" si="7"/>
        <v>30312101</v>
      </c>
      <c r="V43" t="s">
        <v>290</v>
      </c>
      <c r="W43" t="s">
        <v>17</v>
      </c>
      <c r="X43">
        <f t="shared" si="8"/>
        <v>12101</v>
      </c>
      <c r="Y43">
        <f t="shared" si="9"/>
        <v>30312101</v>
      </c>
      <c r="AC43" t="s">
        <v>51</v>
      </c>
      <c r="AD43">
        <v>3303</v>
      </c>
    </row>
    <row r="44" spans="2:30" x14ac:dyDescent="0.3">
      <c r="B44" s="20" t="str">
        <f t="shared" si="17"/>
        <v/>
      </c>
      <c r="C44" t="str">
        <f t="shared" si="18"/>
        <v/>
      </c>
      <c r="F44" s="20" t="str">
        <f t="shared" si="13"/>
        <v/>
      </c>
      <c r="G44" t="str">
        <f t="shared" si="14"/>
        <v/>
      </c>
      <c r="R44" s="20" t="str">
        <f t="shared" si="11"/>
        <v/>
      </c>
      <c r="S44" s="40" t="str">
        <f t="shared" si="12"/>
        <v/>
      </c>
      <c r="U44">
        <f t="shared" si="7"/>
        <v>30305501</v>
      </c>
      <c r="V44" t="s">
        <v>82</v>
      </c>
      <c r="W44" t="s">
        <v>17</v>
      </c>
      <c r="X44">
        <f t="shared" si="8"/>
        <v>5501</v>
      </c>
      <c r="Y44">
        <f t="shared" si="9"/>
        <v>30305501</v>
      </c>
      <c r="AC44" t="s">
        <v>52</v>
      </c>
      <c r="AD44">
        <v>3304</v>
      </c>
    </row>
    <row r="45" spans="2:30" x14ac:dyDescent="0.3">
      <c r="B45" s="20" t="str">
        <f t="shared" si="17"/>
        <v/>
      </c>
      <c r="C45" t="str">
        <f t="shared" si="18"/>
        <v/>
      </c>
      <c r="F45" s="20" t="str">
        <f t="shared" si="13"/>
        <v/>
      </c>
      <c r="G45" t="str">
        <f t="shared" si="14"/>
        <v/>
      </c>
      <c r="R45" s="20" t="str">
        <f t="shared" si="11"/>
        <v/>
      </c>
      <c r="S45" s="40" t="str">
        <f t="shared" si="12"/>
        <v/>
      </c>
      <c r="U45" s="16">
        <f t="shared" si="7"/>
        <v>30306101</v>
      </c>
      <c r="V45" t="s">
        <v>103</v>
      </c>
      <c r="W45" t="s">
        <v>17</v>
      </c>
      <c r="X45">
        <f t="shared" si="8"/>
        <v>6101</v>
      </c>
      <c r="Y45">
        <f t="shared" si="9"/>
        <v>30306101</v>
      </c>
      <c r="AC45" t="s">
        <v>53</v>
      </c>
      <c r="AD45">
        <v>4101</v>
      </c>
    </row>
    <row r="46" spans="2:30" x14ac:dyDescent="0.3">
      <c r="B46" s="20" t="str">
        <f t="shared" si="17"/>
        <v/>
      </c>
      <c r="C46" t="str">
        <f t="shared" si="18"/>
        <v/>
      </c>
      <c r="F46" s="20" t="str">
        <f t="shared" si="13"/>
        <v/>
      </c>
      <c r="G46" t="str">
        <f t="shared" si="14"/>
        <v/>
      </c>
      <c r="R46" s="20" t="str">
        <f t="shared" si="11"/>
        <v/>
      </c>
      <c r="S46" s="40" t="str">
        <f t="shared" si="12"/>
        <v/>
      </c>
      <c r="U46">
        <f t="shared" si="7"/>
        <v>30200002</v>
      </c>
      <c r="V46" t="s">
        <v>368</v>
      </c>
      <c r="W46" t="s">
        <v>15</v>
      </c>
      <c r="X46">
        <f t="shared" si="8"/>
        <v>2</v>
      </c>
      <c r="Y46">
        <f t="shared" si="9"/>
        <v>30200002</v>
      </c>
      <c r="AC46" t="s">
        <v>25</v>
      </c>
      <c r="AD46">
        <v>4102</v>
      </c>
    </row>
    <row r="47" spans="2:30" x14ac:dyDescent="0.3">
      <c r="B47" s="20" t="str">
        <f t="shared" si="17"/>
        <v/>
      </c>
      <c r="C47" t="str">
        <f t="shared" si="18"/>
        <v/>
      </c>
      <c r="F47" s="20" t="str">
        <f t="shared" si="13"/>
        <v/>
      </c>
      <c r="G47" t="str">
        <f t="shared" si="14"/>
        <v/>
      </c>
      <c r="R47" s="20" t="str">
        <f t="shared" si="11"/>
        <v/>
      </c>
      <c r="S47" s="40" t="str">
        <f t="shared" si="12"/>
        <v/>
      </c>
      <c r="U47">
        <f t="shared" si="7"/>
        <v>30200015</v>
      </c>
      <c r="V47" t="s">
        <v>381</v>
      </c>
      <c r="W47" t="s">
        <v>15</v>
      </c>
      <c r="X47">
        <f t="shared" si="8"/>
        <v>15</v>
      </c>
      <c r="Y47">
        <f t="shared" si="9"/>
        <v>30200015</v>
      </c>
      <c r="AC47" t="s">
        <v>54</v>
      </c>
      <c r="AD47">
        <v>4103</v>
      </c>
    </row>
    <row r="48" spans="2:30" x14ac:dyDescent="0.3">
      <c r="B48" s="20" t="str">
        <f t="shared" si="17"/>
        <v/>
      </c>
      <c r="C48" t="str">
        <f t="shared" si="18"/>
        <v/>
      </c>
      <c r="F48" s="20" t="str">
        <f t="shared" si="13"/>
        <v/>
      </c>
      <c r="G48" t="str">
        <f t="shared" si="14"/>
        <v/>
      </c>
      <c r="R48" s="20" t="str">
        <f t="shared" si="11"/>
        <v/>
      </c>
      <c r="S48" s="40" t="str">
        <f t="shared" si="12"/>
        <v/>
      </c>
      <c r="U48">
        <f t="shared" si="7"/>
        <v>30200003</v>
      </c>
      <c r="V48" t="s">
        <v>369</v>
      </c>
      <c r="W48" t="s">
        <v>15</v>
      </c>
      <c r="X48">
        <f t="shared" si="8"/>
        <v>3</v>
      </c>
      <c r="Y48">
        <f t="shared" si="9"/>
        <v>30200003</v>
      </c>
      <c r="AC48" t="s">
        <v>55</v>
      </c>
      <c r="AD48">
        <v>4104</v>
      </c>
    </row>
    <row r="49" spans="2:30" x14ac:dyDescent="0.3">
      <c r="B49" s="20" t="str">
        <f t="shared" si="17"/>
        <v/>
      </c>
      <c r="C49" t="str">
        <f t="shared" si="18"/>
        <v/>
      </c>
      <c r="F49" s="20" t="str">
        <f t="shared" si="13"/>
        <v/>
      </c>
      <c r="G49" t="str">
        <f t="shared" si="14"/>
        <v/>
      </c>
      <c r="R49" s="20" t="str">
        <f t="shared" si="11"/>
        <v/>
      </c>
      <c r="S49" s="40" t="str">
        <f t="shared" si="12"/>
        <v/>
      </c>
      <c r="U49">
        <f t="shared" si="7"/>
        <v>30200011</v>
      </c>
      <c r="V49" t="s">
        <v>377</v>
      </c>
      <c r="W49" t="s">
        <v>15</v>
      </c>
      <c r="X49">
        <f t="shared" si="8"/>
        <v>11</v>
      </c>
      <c r="Y49">
        <f t="shared" si="9"/>
        <v>30200011</v>
      </c>
      <c r="AC49" t="s">
        <v>56</v>
      </c>
      <c r="AD49">
        <v>4105</v>
      </c>
    </row>
    <row r="50" spans="2:30" x14ac:dyDescent="0.3">
      <c r="B50" s="20" t="str">
        <f t="shared" si="17"/>
        <v/>
      </c>
      <c r="C50" t="str">
        <f t="shared" si="18"/>
        <v/>
      </c>
      <c r="F50" s="20" t="str">
        <f t="shared" si="13"/>
        <v/>
      </c>
      <c r="G50" t="str">
        <f t="shared" si="14"/>
        <v/>
      </c>
      <c r="R50" s="20" t="str">
        <f t="shared" si="11"/>
        <v/>
      </c>
      <c r="S50" s="40" t="str">
        <f t="shared" si="12"/>
        <v/>
      </c>
      <c r="U50">
        <f t="shared" si="7"/>
        <v>30200004</v>
      </c>
      <c r="V50" t="s">
        <v>370</v>
      </c>
      <c r="W50" t="s">
        <v>15</v>
      </c>
      <c r="X50">
        <f t="shared" si="8"/>
        <v>4</v>
      </c>
      <c r="Y50">
        <f t="shared" si="9"/>
        <v>30200004</v>
      </c>
      <c r="AC50" t="s">
        <v>57</v>
      </c>
      <c r="AD50">
        <v>4106</v>
      </c>
    </row>
    <row r="51" spans="2:30" x14ac:dyDescent="0.3">
      <c r="B51" s="20" t="str">
        <f t="shared" si="17"/>
        <v/>
      </c>
      <c r="C51" t="str">
        <f t="shared" si="18"/>
        <v/>
      </c>
      <c r="F51" s="20" t="str">
        <f t="shared" si="13"/>
        <v/>
      </c>
      <c r="G51" t="str">
        <f t="shared" si="14"/>
        <v/>
      </c>
      <c r="R51" s="20" t="str">
        <f t="shared" si="11"/>
        <v/>
      </c>
      <c r="S51" s="40" t="str">
        <f t="shared" si="12"/>
        <v/>
      </c>
      <c r="U51">
        <f t="shared" si="7"/>
        <v>30200009</v>
      </c>
      <c r="V51" t="s">
        <v>375</v>
      </c>
      <c r="W51" t="s">
        <v>15</v>
      </c>
      <c r="X51">
        <f t="shared" si="8"/>
        <v>9</v>
      </c>
      <c r="Y51">
        <f t="shared" si="9"/>
        <v>30200009</v>
      </c>
      <c r="AC51" t="s">
        <v>58</v>
      </c>
      <c r="AD51">
        <v>4201</v>
      </c>
    </row>
    <row r="52" spans="2:30" x14ac:dyDescent="0.3">
      <c r="B52" s="20" t="str">
        <f t="shared" si="17"/>
        <v/>
      </c>
      <c r="C52" t="str">
        <f t="shared" si="18"/>
        <v/>
      </c>
      <c r="F52" s="20" t="str">
        <f t="shared" si="13"/>
        <v/>
      </c>
      <c r="G52" t="str">
        <f t="shared" si="14"/>
        <v/>
      </c>
      <c r="R52" s="20" t="str">
        <f t="shared" si="11"/>
        <v/>
      </c>
      <c r="S52" s="40" t="str">
        <f t="shared" si="12"/>
        <v/>
      </c>
      <c r="U52">
        <f t="shared" si="7"/>
        <v>30200010</v>
      </c>
      <c r="V52" t="s">
        <v>376</v>
      </c>
      <c r="W52" t="s">
        <v>15</v>
      </c>
      <c r="X52">
        <f t="shared" si="8"/>
        <v>10</v>
      </c>
      <c r="Y52">
        <f t="shared" si="9"/>
        <v>30200010</v>
      </c>
      <c r="AC52" t="s">
        <v>59</v>
      </c>
      <c r="AD52">
        <v>4202</v>
      </c>
    </row>
    <row r="53" spans="2:30" x14ac:dyDescent="0.3">
      <c r="B53" s="20" t="str">
        <f t="shared" si="17"/>
        <v/>
      </c>
      <c r="C53" t="str">
        <f t="shared" si="18"/>
        <v/>
      </c>
      <c r="F53" s="20" t="str">
        <f t="shared" si="13"/>
        <v/>
      </c>
      <c r="G53" t="str">
        <f t="shared" si="14"/>
        <v/>
      </c>
      <c r="R53" s="20" t="str">
        <f t="shared" si="11"/>
        <v/>
      </c>
      <c r="S53" s="40" t="str">
        <f t="shared" si="12"/>
        <v/>
      </c>
      <c r="U53">
        <f t="shared" si="7"/>
        <v>30200014</v>
      </c>
      <c r="V53" t="s">
        <v>380</v>
      </c>
      <c r="W53" t="s">
        <v>15</v>
      </c>
      <c r="X53">
        <f t="shared" si="8"/>
        <v>14</v>
      </c>
      <c r="Y53">
        <f t="shared" si="9"/>
        <v>30200014</v>
      </c>
      <c r="AC53" t="s">
        <v>60</v>
      </c>
      <c r="AD53">
        <v>4203</v>
      </c>
    </row>
    <row r="54" spans="2:30" x14ac:dyDescent="0.3">
      <c r="B54" s="20" t="str">
        <f t="shared" si="17"/>
        <v/>
      </c>
      <c r="C54" t="str">
        <f t="shared" si="18"/>
        <v/>
      </c>
      <c r="F54" s="20" t="str">
        <f t="shared" si="13"/>
        <v/>
      </c>
      <c r="G54" t="str">
        <f t="shared" si="14"/>
        <v/>
      </c>
      <c r="R54" s="20" t="str">
        <f t="shared" si="11"/>
        <v/>
      </c>
      <c r="S54" s="40" t="str">
        <f t="shared" si="12"/>
        <v/>
      </c>
      <c r="U54">
        <f t="shared" si="7"/>
        <v>30200012</v>
      </c>
      <c r="V54" t="s">
        <v>378</v>
      </c>
      <c r="W54" t="s">
        <v>15</v>
      </c>
      <c r="X54">
        <f t="shared" si="8"/>
        <v>12</v>
      </c>
      <c r="Y54">
        <f t="shared" si="9"/>
        <v>30200012</v>
      </c>
      <c r="AC54" t="s">
        <v>61</v>
      </c>
      <c r="AD54">
        <v>4204</v>
      </c>
    </row>
    <row r="55" spans="2:30" x14ac:dyDescent="0.3">
      <c r="B55" s="20" t="str">
        <f t="shared" si="17"/>
        <v/>
      </c>
      <c r="C55" t="str">
        <f t="shared" si="18"/>
        <v/>
      </c>
      <c r="F55" s="20" t="str">
        <f t="shared" si="13"/>
        <v/>
      </c>
      <c r="G55" t="str">
        <f t="shared" si="14"/>
        <v/>
      </c>
      <c r="R55" s="20" t="str">
        <f t="shared" si="11"/>
        <v/>
      </c>
      <c r="S55" s="40" t="str">
        <f t="shared" si="12"/>
        <v/>
      </c>
      <c r="U55">
        <f t="shared" si="7"/>
        <v>30200007</v>
      </c>
      <c r="V55" t="s">
        <v>373</v>
      </c>
      <c r="W55" t="s">
        <v>15</v>
      </c>
      <c r="X55">
        <f t="shared" si="8"/>
        <v>7</v>
      </c>
      <c r="Y55">
        <f t="shared" si="9"/>
        <v>30200007</v>
      </c>
      <c r="AC55" t="s">
        <v>21</v>
      </c>
      <c r="AD55">
        <v>4301</v>
      </c>
    </row>
    <row r="56" spans="2:30" x14ac:dyDescent="0.3">
      <c r="B56" s="20" t="str">
        <f t="shared" si="17"/>
        <v/>
      </c>
      <c r="C56" t="str">
        <f t="shared" si="18"/>
        <v/>
      </c>
      <c r="F56" s="20" t="str">
        <f t="shared" si="13"/>
        <v/>
      </c>
      <c r="G56" t="str">
        <f t="shared" si="14"/>
        <v/>
      </c>
      <c r="R56" s="20" t="str">
        <f t="shared" si="11"/>
        <v/>
      </c>
      <c r="S56" s="40" t="str">
        <f t="shared" si="12"/>
        <v/>
      </c>
      <c r="U56">
        <f t="shared" si="7"/>
        <v>30200016</v>
      </c>
      <c r="V56" t="s">
        <v>382</v>
      </c>
      <c r="W56" t="s">
        <v>15</v>
      </c>
      <c r="X56">
        <f t="shared" si="8"/>
        <v>16</v>
      </c>
      <c r="Y56">
        <f t="shared" si="9"/>
        <v>30200016</v>
      </c>
      <c r="AC56" t="s">
        <v>62</v>
      </c>
      <c r="AD56">
        <v>4302</v>
      </c>
    </row>
    <row r="57" spans="2:30" x14ac:dyDescent="0.3">
      <c r="B57" s="20" t="str">
        <f t="shared" si="17"/>
        <v/>
      </c>
      <c r="C57" t="str">
        <f t="shared" si="18"/>
        <v/>
      </c>
      <c r="F57" s="20" t="str">
        <f t="shared" si="13"/>
        <v/>
      </c>
      <c r="G57" t="str">
        <f t="shared" si="14"/>
        <v/>
      </c>
      <c r="R57" s="20" t="str">
        <f t="shared" si="11"/>
        <v/>
      </c>
      <c r="S57" s="40" t="str">
        <f t="shared" si="12"/>
        <v/>
      </c>
      <c r="U57">
        <f t="shared" si="7"/>
        <v>30200006</v>
      </c>
      <c r="V57" t="s">
        <v>372</v>
      </c>
      <c r="W57" t="s">
        <v>15</v>
      </c>
      <c r="X57">
        <f t="shared" si="8"/>
        <v>6</v>
      </c>
      <c r="Y57">
        <f t="shared" si="9"/>
        <v>30200006</v>
      </c>
      <c r="AC57" t="s">
        <v>63</v>
      </c>
      <c r="AD57">
        <v>4303</v>
      </c>
    </row>
    <row r="58" spans="2:30" x14ac:dyDescent="0.3">
      <c r="B58" s="20" t="str">
        <f t="shared" si="17"/>
        <v/>
      </c>
      <c r="C58" t="str">
        <f t="shared" si="18"/>
        <v/>
      </c>
      <c r="F58" s="20" t="str">
        <f t="shared" si="13"/>
        <v/>
      </c>
      <c r="G58" t="str">
        <f t="shared" si="14"/>
        <v/>
      </c>
      <c r="R58" s="20" t="str">
        <f t="shared" si="11"/>
        <v/>
      </c>
      <c r="S58" s="40" t="str">
        <f t="shared" si="12"/>
        <v/>
      </c>
      <c r="U58">
        <f t="shared" si="7"/>
        <v>30200001</v>
      </c>
      <c r="V58" t="s">
        <v>367</v>
      </c>
      <c r="W58" t="s">
        <v>15</v>
      </c>
      <c r="X58">
        <f t="shared" si="8"/>
        <v>1</v>
      </c>
      <c r="Y58">
        <f t="shared" si="9"/>
        <v>30200001</v>
      </c>
      <c r="AC58" t="s">
        <v>64</v>
      </c>
      <c r="AD58">
        <v>4304</v>
      </c>
    </row>
    <row r="59" spans="2:30" x14ac:dyDescent="0.3">
      <c r="B59" s="20" t="str">
        <f t="shared" si="17"/>
        <v/>
      </c>
      <c r="C59" t="str">
        <f t="shared" si="18"/>
        <v/>
      </c>
      <c r="F59" s="20" t="str">
        <f t="shared" si="13"/>
        <v/>
      </c>
      <c r="G59" t="str">
        <f t="shared" si="14"/>
        <v/>
      </c>
      <c r="R59" s="20" t="str">
        <f t="shared" si="11"/>
        <v/>
      </c>
      <c r="S59" s="40" t="str">
        <f t="shared" si="12"/>
        <v/>
      </c>
      <c r="U59">
        <f t="shared" si="7"/>
        <v>30200005</v>
      </c>
      <c r="V59" t="s">
        <v>371</v>
      </c>
      <c r="W59" t="s">
        <v>15</v>
      </c>
      <c r="X59">
        <f t="shared" si="8"/>
        <v>5</v>
      </c>
      <c r="Y59">
        <f t="shared" si="9"/>
        <v>30200005</v>
      </c>
      <c r="AC59" t="s">
        <v>65</v>
      </c>
      <c r="AD59">
        <v>4305</v>
      </c>
    </row>
    <row r="60" spans="2:30" x14ac:dyDescent="0.3">
      <c r="B60" s="20" t="str">
        <f t="shared" si="17"/>
        <v/>
      </c>
      <c r="C60" t="str">
        <f t="shared" si="18"/>
        <v/>
      </c>
      <c r="F60" s="20" t="str">
        <f t="shared" si="13"/>
        <v/>
      </c>
      <c r="G60" t="str">
        <f t="shared" si="14"/>
        <v/>
      </c>
      <c r="R60" s="20" t="str">
        <f t="shared" si="11"/>
        <v/>
      </c>
      <c r="S60" s="40" t="str">
        <f t="shared" si="12"/>
        <v/>
      </c>
      <c r="U60">
        <f t="shared" si="7"/>
        <v>30200008</v>
      </c>
      <c r="V60" t="s">
        <v>374</v>
      </c>
      <c r="W60" t="s">
        <v>15</v>
      </c>
      <c r="X60">
        <f t="shared" si="8"/>
        <v>8</v>
      </c>
      <c r="Y60">
        <f t="shared" si="9"/>
        <v>30200008</v>
      </c>
      <c r="AC60" t="s">
        <v>26</v>
      </c>
      <c r="AD60">
        <v>5101</v>
      </c>
    </row>
    <row r="61" spans="2:30" x14ac:dyDescent="0.3">
      <c r="B61" s="20" t="str">
        <f t="shared" si="17"/>
        <v/>
      </c>
      <c r="C61" t="str">
        <f t="shared" si="18"/>
        <v/>
      </c>
      <c r="F61" s="20" t="str">
        <f t="shared" si="13"/>
        <v/>
      </c>
      <c r="G61" t="str">
        <f t="shared" si="14"/>
        <v/>
      </c>
      <c r="R61" s="20" t="str">
        <f t="shared" si="11"/>
        <v/>
      </c>
      <c r="S61" s="40" t="str">
        <f t="shared" si="12"/>
        <v/>
      </c>
      <c r="U61">
        <f t="shared" si="7"/>
        <v>30200013</v>
      </c>
      <c r="V61" t="s">
        <v>379</v>
      </c>
      <c r="W61" t="s">
        <v>15</v>
      </c>
      <c r="X61">
        <f t="shared" si="8"/>
        <v>13</v>
      </c>
      <c r="Y61">
        <f t="shared" si="9"/>
        <v>30200013</v>
      </c>
      <c r="AC61" t="s">
        <v>66</v>
      </c>
      <c r="AD61">
        <v>5102</v>
      </c>
    </row>
    <row r="62" spans="2:30" x14ac:dyDescent="0.3">
      <c r="B62" s="20" t="str">
        <f t="shared" si="17"/>
        <v/>
      </c>
      <c r="C62" t="str">
        <f t="shared" si="18"/>
        <v/>
      </c>
      <c r="F62" s="20" t="str">
        <f t="shared" si="13"/>
        <v/>
      </c>
      <c r="G62" t="str">
        <f t="shared" si="14"/>
        <v/>
      </c>
      <c r="R62" s="20" t="str">
        <f t="shared" si="11"/>
        <v/>
      </c>
      <c r="S62" s="40" t="str">
        <f t="shared" si="12"/>
        <v/>
      </c>
      <c r="U62">
        <f t="shared" si="7"/>
        <v>30306115</v>
      </c>
      <c r="V62" t="s">
        <v>117</v>
      </c>
      <c r="W62" t="s">
        <v>17</v>
      </c>
      <c r="X62">
        <f t="shared" si="8"/>
        <v>6115</v>
      </c>
      <c r="Y62">
        <f t="shared" si="9"/>
        <v>30306115</v>
      </c>
      <c r="AC62" t="s">
        <v>67</v>
      </c>
      <c r="AD62">
        <v>5103</v>
      </c>
    </row>
    <row r="63" spans="2:30" x14ac:dyDescent="0.3">
      <c r="B63" s="20" t="str">
        <f t="shared" si="17"/>
        <v/>
      </c>
      <c r="C63" t="str">
        <f t="shared" si="18"/>
        <v/>
      </c>
      <c r="F63" s="20" t="str">
        <f t="shared" si="13"/>
        <v/>
      </c>
      <c r="G63" t="str">
        <f t="shared" si="14"/>
        <v/>
      </c>
      <c r="R63" s="20" t="str">
        <f t="shared" si="11"/>
        <v/>
      </c>
      <c r="S63" s="40" t="str">
        <f t="shared" si="12"/>
        <v/>
      </c>
      <c r="U63">
        <f t="shared" si="7"/>
        <v>30316301</v>
      </c>
      <c r="V63" t="s">
        <v>213</v>
      </c>
      <c r="W63" t="s">
        <v>17</v>
      </c>
      <c r="X63">
        <f t="shared" si="8"/>
        <v>16301</v>
      </c>
      <c r="Y63">
        <f t="shared" si="9"/>
        <v>30316301</v>
      </c>
      <c r="AC63" t="s">
        <v>68</v>
      </c>
      <c r="AD63">
        <v>5104</v>
      </c>
    </row>
    <row r="64" spans="2:30" x14ac:dyDescent="0.3">
      <c r="B64" s="20" t="str">
        <f t="shared" si="17"/>
        <v/>
      </c>
      <c r="C64" t="str">
        <f t="shared" si="18"/>
        <v/>
      </c>
      <c r="F64" s="20" t="str">
        <f t="shared" si="13"/>
        <v/>
      </c>
      <c r="G64" t="str">
        <f t="shared" si="14"/>
        <v/>
      </c>
      <c r="R64" s="20" t="str">
        <f t="shared" si="11"/>
        <v/>
      </c>
      <c r="S64" s="40" t="str">
        <f t="shared" si="12"/>
        <v/>
      </c>
      <c r="U64">
        <f t="shared" si="7"/>
        <v>30305701</v>
      </c>
      <c r="V64" t="s">
        <v>93</v>
      </c>
      <c r="W64" t="s">
        <v>17</v>
      </c>
      <c r="X64">
        <f t="shared" si="8"/>
        <v>5701</v>
      </c>
      <c r="Y64">
        <f t="shared" si="9"/>
        <v>30305701</v>
      </c>
      <c r="AC64" t="s">
        <v>69</v>
      </c>
      <c r="AD64">
        <v>5105</v>
      </c>
    </row>
    <row r="65" spans="2:30" x14ac:dyDescent="0.3">
      <c r="B65" s="20" t="str">
        <f t="shared" si="17"/>
        <v/>
      </c>
      <c r="C65" t="str">
        <f t="shared" si="18"/>
        <v/>
      </c>
      <c r="F65" s="20" t="str">
        <f t="shared" si="13"/>
        <v/>
      </c>
      <c r="G65" t="str">
        <f t="shared" si="14"/>
        <v/>
      </c>
      <c r="R65" s="20" t="str">
        <f t="shared" si="11"/>
        <v/>
      </c>
      <c r="S65" s="40" t="str">
        <f t="shared" si="12"/>
        <v/>
      </c>
      <c r="U65">
        <f t="shared" si="7"/>
        <v>30306301</v>
      </c>
      <c r="V65" t="s">
        <v>126</v>
      </c>
      <c r="W65" t="s">
        <v>17</v>
      </c>
      <c r="X65">
        <f t="shared" si="8"/>
        <v>6301</v>
      </c>
      <c r="Y65">
        <f t="shared" si="9"/>
        <v>30306301</v>
      </c>
      <c r="AC65" t="s">
        <v>70</v>
      </c>
      <c r="AD65">
        <v>5107</v>
      </c>
    </row>
    <row r="66" spans="2:30" x14ac:dyDescent="0.3">
      <c r="B66" s="20" t="str">
        <f t="shared" si="17"/>
        <v/>
      </c>
      <c r="C66" t="str">
        <f t="shared" si="18"/>
        <v/>
      </c>
      <c r="F66" s="20" t="str">
        <f t="shared" si="13"/>
        <v/>
      </c>
      <c r="G66" t="str">
        <f t="shared" si="14"/>
        <v/>
      </c>
      <c r="R66" s="20" t="str">
        <f t="shared" si="11"/>
        <v/>
      </c>
      <c r="S66" s="40" t="str">
        <f t="shared" si="12"/>
        <v/>
      </c>
      <c r="U66">
        <f t="shared" si="7"/>
        <v>30307406</v>
      </c>
      <c r="V66" t="s">
        <v>162</v>
      </c>
      <c r="W66" t="s">
        <v>17</v>
      </c>
      <c r="X66">
        <f t="shared" si="8"/>
        <v>7406</v>
      </c>
      <c r="Y66">
        <f t="shared" si="9"/>
        <v>30307406</v>
      </c>
      <c r="AC66" t="s">
        <v>71</v>
      </c>
      <c r="AD66">
        <v>5109</v>
      </c>
    </row>
    <row r="67" spans="2:30" x14ac:dyDescent="0.3">
      <c r="B67" s="20" t="str">
        <f t="shared" si="17"/>
        <v/>
      </c>
      <c r="C67" t="str">
        <f t="shared" si="18"/>
        <v/>
      </c>
      <c r="F67" s="20" t="str">
        <f t="shared" si="13"/>
        <v/>
      </c>
      <c r="G67" t="str">
        <f t="shared" si="14"/>
        <v/>
      </c>
      <c r="R67" s="20" t="str">
        <f t="shared" si="11"/>
        <v/>
      </c>
      <c r="S67" s="40" t="str">
        <f t="shared" si="12"/>
        <v/>
      </c>
      <c r="U67">
        <f t="shared" si="7"/>
        <v>30306117</v>
      </c>
      <c r="V67" t="s">
        <v>119</v>
      </c>
      <c r="W67" t="s">
        <v>17</v>
      </c>
      <c r="X67">
        <f t="shared" si="8"/>
        <v>6117</v>
      </c>
      <c r="Y67">
        <f t="shared" si="9"/>
        <v>30306117</v>
      </c>
      <c r="AC67" t="s">
        <v>72</v>
      </c>
      <c r="AD67">
        <v>5201</v>
      </c>
    </row>
    <row r="68" spans="2:30" x14ac:dyDescent="0.3">
      <c r="B68" s="20" t="str">
        <f t="shared" si="17"/>
        <v/>
      </c>
      <c r="C68" t="str">
        <f t="shared" si="18"/>
        <v/>
      </c>
      <c r="F68" s="20" t="str">
        <f t="shared" si="13"/>
        <v/>
      </c>
      <c r="G68" t="str">
        <f t="shared" si="14"/>
        <v/>
      </c>
      <c r="R68" s="20" t="str">
        <f t="shared" si="11"/>
        <v/>
      </c>
      <c r="S68" s="40" t="str">
        <f t="shared" si="12"/>
        <v/>
      </c>
      <c r="U68">
        <f t="shared" si="7"/>
        <v>30306310</v>
      </c>
      <c r="V68" t="s">
        <v>135</v>
      </c>
      <c r="W68" t="s">
        <v>17</v>
      </c>
      <c r="X68">
        <f t="shared" si="8"/>
        <v>6310</v>
      </c>
      <c r="Y68">
        <f t="shared" si="9"/>
        <v>30306310</v>
      </c>
      <c r="AC68" t="s">
        <v>73</v>
      </c>
      <c r="AD68">
        <v>5301</v>
      </c>
    </row>
    <row r="69" spans="2:30" x14ac:dyDescent="0.3">
      <c r="B69" s="20" t="str">
        <f t="shared" si="17"/>
        <v/>
      </c>
      <c r="C69" t="str">
        <f t="shared" si="18"/>
        <v/>
      </c>
      <c r="F69" s="20" t="str">
        <f t="shared" si="13"/>
        <v/>
      </c>
      <c r="G69" t="str">
        <f t="shared" si="14"/>
        <v/>
      </c>
      <c r="R69" s="20" t="str">
        <f t="shared" si="11"/>
        <v/>
      </c>
      <c r="S69" s="40" t="str">
        <f t="shared" si="12"/>
        <v/>
      </c>
      <c r="U69">
        <f t="shared" ref="U69:U132" si="19">+VLOOKUP(W69,$J$4:$K$6,2,0)*100000+X69</f>
        <v>30313101</v>
      </c>
      <c r="V69" t="s">
        <v>300</v>
      </c>
      <c r="W69" t="s">
        <v>17</v>
      </c>
      <c r="X69">
        <f t="shared" ref="X69:X132" si="20">+VLOOKUP(V69,$AC$3:$AD$364,2,0)</f>
        <v>13101</v>
      </c>
      <c r="Y69">
        <f t="shared" ref="Y69:Y132" si="21">+U69</f>
        <v>30313101</v>
      </c>
      <c r="AC69" t="s">
        <v>74</v>
      </c>
      <c r="AD69">
        <v>5302</v>
      </c>
    </row>
    <row r="70" spans="2:30" x14ac:dyDescent="0.3">
      <c r="B70" s="20" t="str">
        <f t="shared" si="17"/>
        <v/>
      </c>
      <c r="C70" t="str">
        <f t="shared" si="18"/>
        <v/>
      </c>
      <c r="F70" s="20" t="str">
        <f t="shared" si="13"/>
        <v/>
      </c>
      <c r="G70" t="str">
        <f t="shared" si="14"/>
        <v/>
      </c>
      <c r="R70" s="20" t="str">
        <f t="shared" si="11"/>
        <v/>
      </c>
      <c r="S70" s="40" t="str">
        <f t="shared" si="12"/>
        <v/>
      </c>
      <c r="U70">
        <f t="shared" si="19"/>
        <v>30307101</v>
      </c>
      <c r="V70" t="s">
        <v>136</v>
      </c>
      <c r="W70" t="s">
        <v>17</v>
      </c>
      <c r="X70">
        <f t="shared" si="20"/>
        <v>7101</v>
      </c>
      <c r="Y70">
        <f t="shared" si="21"/>
        <v>30307101</v>
      </c>
      <c r="AC70" t="s">
        <v>75</v>
      </c>
      <c r="AD70">
        <v>5303</v>
      </c>
    </row>
    <row r="71" spans="2:30" x14ac:dyDescent="0.3">
      <c r="B71" s="20" t="str">
        <f t="shared" si="17"/>
        <v/>
      </c>
      <c r="C71" t="str">
        <f t="shared" si="18"/>
        <v/>
      </c>
      <c r="F71" s="20" t="str">
        <f t="shared" si="13"/>
        <v/>
      </c>
      <c r="G71" t="str">
        <f t="shared" si="14"/>
        <v/>
      </c>
      <c r="R71" s="20" t="str">
        <f t="shared" ref="R71:R134" si="22">+IF(Q71="","",R70+1)</f>
        <v/>
      </c>
      <c r="S71" s="40" t="str">
        <f t="shared" ref="S71:S134" si="23">+IF(Q71="","","M-"&amp;$B$1+R71)</f>
        <v/>
      </c>
      <c r="U71">
        <f t="shared" si="19"/>
        <v>30308110</v>
      </c>
      <c r="V71" t="s">
        <v>174</v>
      </c>
      <c r="W71" t="s">
        <v>17</v>
      </c>
      <c r="X71">
        <f t="shared" si="20"/>
        <v>8110</v>
      </c>
      <c r="Y71">
        <f t="shared" si="21"/>
        <v>30308110</v>
      </c>
      <c r="AC71" t="s">
        <v>76</v>
      </c>
      <c r="AD71">
        <v>5304</v>
      </c>
    </row>
    <row r="72" spans="2:30" x14ac:dyDescent="0.3">
      <c r="B72" s="20" t="str">
        <f t="shared" si="17"/>
        <v/>
      </c>
      <c r="C72" t="str">
        <f t="shared" si="18"/>
        <v/>
      </c>
      <c r="F72" s="20" t="str">
        <f t="shared" ref="F72:F79" si="24">+IF(E72="","",F71+1)</f>
        <v/>
      </c>
      <c r="G72" t="str">
        <f t="shared" ref="G72:G79" si="25">+IF(E72="","","C-"&amp;$B$1+F72)</f>
        <v/>
      </c>
      <c r="R72" s="20" t="str">
        <f t="shared" si="22"/>
        <v/>
      </c>
      <c r="S72" s="40" t="str">
        <f t="shared" si="23"/>
        <v/>
      </c>
      <c r="U72">
        <f t="shared" si="19"/>
        <v>30309101</v>
      </c>
      <c r="V72" t="s">
        <v>219</v>
      </c>
      <c r="W72" t="s">
        <v>17</v>
      </c>
      <c r="X72">
        <f t="shared" si="20"/>
        <v>9101</v>
      </c>
      <c r="Y72">
        <f t="shared" si="21"/>
        <v>30309101</v>
      </c>
      <c r="AC72" t="s">
        <v>77</v>
      </c>
      <c r="AD72">
        <v>5401</v>
      </c>
    </row>
    <row r="73" spans="2:30" x14ac:dyDescent="0.3">
      <c r="B73" s="20" t="str">
        <f t="shared" si="17"/>
        <v/>
      </c>
      <c r="C73" t="str">
        <f t="shared" si="18"/>
        <v/>
      </c>
      <c r="F73" s="20" t="str">
        <f t="shared" si="24"/>
        <v/>
      </c>
      <c r="G73" t="str">
        <f t="shared" si="25"/>
        <v/>
      </c>
      <c r="R73" s="20" t="str">
        <f t="shared" si="22"/>
        <v/>
      </c>
      <c r="S73" s="40" t="str">
        <f t="shared" si="23"/>
        <v/>
      </c>
      <c r="U73">
        <f t="shared" si="19"/>
        <v>30302301</v>
      </c>
      <c r="V73" t="s">
        <v>42</v>
      </c>
      <c r="W73" t="s">
        <v>17</v>
      </c>
      <c r="X73">
        <f t="shared" si="20"/>
        <v>2301</v>
      </c>
      <c r="Y73">
        <f t="shared" si="21"/>
        <v>30302301</v>
      </c>
      <c r="AC73" t="s">
        <v>78</v>
      </c>
      <c r="AD73">
        <v>5402</v>
      </c>
    </row>
    <row r="74" spans="2:30" x14ac:dyDescent="0.3">
      <c r="B74" s="20" t="str">
        <f t="shared" si="17"/>
        <v/>
      </c>
      <c r="C74" t="str">
        <f t="shared" si="18"/>
        <v/>
      </c>
      <c r="F74" s="20" t="str">
        <f t="shared" si="24"/>
        <v/>
      </c>
      <c r="G74" t="str">
        <f t="shared" si="25"/>
        <v/>
      </c>
      <c r="R74" s="20" t="str">
        <f t="shared" si="22"/>
        <v/>
      </c>
      <c r="S74" s="40" t="str">
        <f t="shared" si="23"/>
        <v/>
      </c>
      <c r="U74">
        <f t="shared" si="19"/>
        <v>30314101</v>
      </c>
      <c r="V74" t="s">
        <v>351</v>
      </c>
      <c r="W74" t="s">
        <v>17</v>
      </c>
      <c r="X74">
        <f t="shared" si="20"/>
        <v>14101</v>
      </c>
      <c r="Y74">
        <f t="shared" si="21"/>
        <v>30314101</v>
      </c>
      <c r="AC74" t="s">
        <v>79</v>
      </c>
      <c r="AD74">
        <v>5403</v>
      </c>
    </row>
    <row r="75" spans="2:30" x14ac:dyDescent="0.3">
      <c r="B75" s="20" t="str">
        <f t="shared" si="17"/>
        <v/>
      </c>
      <c r="C75" t="str">
        <f t="shared" si="18"/>
        <v/>
      </c>
      <c r="F75" s="20" t="str">
        <f t="shared" si="24"/>
        <v/>
      </c>
      <c r="G75" t="str">
        <f t="shared" si="25"/>
        <v/>
      </c>
      <c r="R75" s="20" t="str">
        <f t="shared" si="22"/>
        <v/>
      </c>
      <c r="S75" s="40" t="str">
        <f t="shared" si="23"/>
        <v/>
      </c>
      <c r="U75">
        <f t="shared" si="19"/>
        <v>30303301</v>
      </c>
      <c r="V75" t="s">
        <v>49</v>
      </c>
      <c r="W75" t="s">
        <v>17</v>
      </c>
      <c r="X75">
        <f t="shared" si="20"/>
        <v>3301</v>
      </c>
      <c r="Y75">
        <f t="shared" si="21"/>
        <v>30303301</v>
      </c>
      <c r="AC75" t="s">
        <v>80</v>
      </c>
      <c r="AD75">
        <v>5404</v>
      </c>
    </row>
    <row r="76" spans="2:30" x14ac:dyDescent="0.3">
      <c r="B76" s="20" t="str">
        <f t="shared" si="17"/>
        <v/>
      </c>
      <c r="C76" t="str">
        <f t="shared" si="18"/>
        <v/>
      </c>
      <c r="F76" s="20" t="str">
        <f t="shared" si="24"/>
        <v/>
      </c>
      <c r="G76" t="str">
        <f t="shared" si="25"/>
        <v/>
      </c>
      <c r="R76" s="20" t="str">
        <f t="shared" si="22"/>
        <v/>
      </c>
      <c r="S76" s="40" t="str">
        <f t="shared" si="23"/>
        <v/>
      </c>
      <c r="U76">
        <f t="shared" si="19"/>
        <v>30205101</v>
      </c>
      <c r="V76" t="s">
        <v>26</v>
      </c>
      <c r="W76" t="s">
        <v>15</v>
      </c>
      <c r="X76">
        <f t="shared" si="20"/>
        <v>5101</v>
      </c>
      <c r="Y76">
        <f t="shared" si="21"/>
        <v>30205101</v>
      </c>
      <c r="AC76" t="s">
        <v>81</v>
      </c>
      <c r="AD76">
        <v>5405</v>
      </c>
    </row>
    <row r="77" spans="2:30" x14ac:dyDescent="0.3">
      <c r="B77" s="20" t="str">
        <f t="shared" si="17"/>
        <v/>
      </c>
      <c r="C77" t="str">
        <f t="shared" si="18"/>
        <v/>
      </c>
      <c r="F77" s="20" t="str">
        <f t="shared" si="24"/>
        <v/>
      </c>
      <c r="G77" t="str">
        <f t="shared" si="25"/>
        <v/>
      </c>
      <c r="R77" s="20" t="str">
        <f t="shared" si="22"/>
        <v/>
      </c>
      <c r="S77" s="40" t="str">
        <f t="shared" si="23"/>
        <v/>
      </c>
      <c r="U77">
        <f t="shared" si="19"/>
        <v>30309211</v>
      </c>
      <c r="V77" t="s">
        <v>250</v>
      </c>
      <c r="W77" t="s">
        <v>17</v>
      </c>
      <c r="X77">
        <f t="shared" si="20"/>
        <v>9211</v>
      </c>
      <c r="Y77">
        <f t="shared" si="21"/>
        <v>30309211</v>
      </c>
      <c r="AC77" t="s">
        <v>82</v>
      </c>
      <c r="AD77">
        <v>5501</v>
      </c>
    </row>
    <row r="78" spans="2:30" x14ac:dyDescent="0.3">
      <c r="B78" s="20" t="str">
        <f t="shared" ref="B78:B141" si="26">+IF(A78="","",B77+1)</f>
        <v/>
      </c>
      <c r="C78" t="str">
        <f t="shared" ref="C78:C141" si="27">+IF(A78="","","T-"&amp;$B$1+B78)</f>
        <v/>
      </c>
      <c r="F78" s="20" t="str">
        <f t="shared" si="24"/>
        <v/>
      </c>
      <c r="G78" t="str">
        <f t="shared" si="25"/>
        <v/>
      </c>
      <c r="R78" s="20" t="str">
        <f t="shared" si="22"/>
        <v/>
      </c>
      <c r="S78" s="40" t="str">
        <f t="shared" si="23"/>
        <v/>
      </c>
      <c r="U78">
        <f t="shared" si="19"/>
        <v>30304106</v>
      </c>
      <c r="V78" t="s">
        <v>57</v>
      </c>
      <c r="W78" t="s">
        <v>17</v>
      </c>
      <c r="X78">
        <f t="shared" si="20"/>
        <v>4106</v>
      </c>
      <c r="Y78">
        <f t="shared" si="21"/>
        <v>30304106</v>
      </c>
      <c r="AC78" t="s">
        <v>83</v>
      </c>
      <c r="AD78">
        <v>5502</v>
      </c>
    </row>
    <row r="79" spans="2:30" x14ac:dyDescent="0.3">
      <c r="B79" s="20" t="str">
        <f t="shared" si="26"/>
        <v/>
      </c>
      <c r="C79" t="str">
        <f t="shared" si="27"/>
        <v/>
      </c>
      <c r="F79" s="20" t="str">
        <f t="shared" si="24"/>
        <v/>
      </c>
      <c r="G79" t="str">
        <f t="shared" si="25"/>
        <v/>
      </c>
      <c r="R79" s="20" t="str">
        <f t="shared" si="22"/>
        <v/>
      </c>
      <c r="S79" s="40" t="str">
        <f t="shared" si="23"/>
        <v/>
      </c>
      <c r="U79">
        <f t="shared" si="19"/>
        <v>30305804</v>
      </c>
      <c r="V79" t="s">
        <v>102</v>
      </c>
      <c r="W79" t="s">
        <v>17</v>
      </c>
      <c r="X79">
        <f t="shared" si="20"/>
        <v>5804</v>
      </c>
      <c r="Y79">
        <f t="shared" si="21"/>
        <v>30305804</v>
      </c>
      <c r="AC79" t="s">
        <v>84</v>
      </c>
      <c r="AD79">
        <v>5503</v>
      </c>
    </row>
    <row r="80" spans="2:30" x14ac:dyDescent="0.3">
      <c r="B80" s="20" t="str">
        <f t="shared" si="26"/>
        <v/>
      </c>
      <c r="C80" t="str">
        <f t="shared" si="27"/>
        <v/>
      </c>
      <c r="R80" s="20" t="str">
        <f t="shared" si="22"/>
        <v/>
      </c>
      <c r="S80" s="40" t="str">
        <f t="shared" si="23"/>
        <v/>
      </c>
      <c r="U80">
        <f t="shared" si="19"/>
        <v>30309120</v>
      </c>
      <c r="V80" t="s">
        <v>238</v>
      </c>
      <c r="W80" t="s">
        <v>17</v>
      </c>
      <c r="X80">
        <f t="shared" si="20"/>
        <v>9120</v>
      </c>
      <c r="Y80">
        <f t="shared" si="21"/>
        <v>30309120</v>
      </c>
      <c r="AC80" t="s">
        <v>85</v>
      </c>
      <c r="AD80">
        <v>5504</v>
      </c>
    </row>
    <row r="81" spans="2:30" x14ac:dyDescent="0.3">
      <c r="B81" s="20" t="str">
        <f t="shared" si="26"/>
        <v/>
      </c>
      <c r="C81" t="str">
        <f t="shared" si="27"/>
        <v/>
      </c>
      <c r="R81" s="20" t="str">
        <f t="shared" si="22"/>
        <v/>
      </c>
      <c r="S81" s="40" t="str">
        <f t="shared" si="23"/>
        <v/>
      </c>
      <c r="U81">
        <f t="shared" si="19"/>
        <v>30305109</v>
      </c>
      <c r="V81" t="s">
        <v>6030</v>
      </c>
      <c r="W81" t="s">
        <v>17</v>
      </c>
      <c r="X81">
        <f t="shared" si="20"/>
        <v>5109</v>
      </c>
      <c r="Y81">
        <f t="shared" si="21"/>
        <v>30305109</v>
      </c>
      <c r="AC81" t="s">
        <v>86</v>
      </c>
      <c r="AD81">
        <v>5506</v>
      </c>
    </row>
    <row r="82" spans="2:30" x14ac:dyDescent="0.3">
      <c r="B82" s="20" t="str">
        <f t="shared" si="26"/>
        <v/>
      </c>
      <c r="C82" t="str">
        <f t="shared" si="27"/>
        <v/>
      </c>
      <c r="R82" s="20" t="str">
        <f t="shared" si="22"/>
        <v/>
      </c>
      <c r="S82" s="40" t="str">
        <f t="shared" si="23"/>
        <v/>
      </c>
      <c r="U82">
        <f t="shared" si="19"/>
        <v>30316109</v>
      </c>
      <c r="V82" t="s">
        <v>218</v>
      </c>
      <c r="W82" t="s">
        <v>17</v>
      </c>
      <c r="X82">
        <f t="shared" si="20"/>
        <v>16109</v>
      </c>
      <c r="Y82">
        <f t="shared" si="21"/>
        <v>30316109</v>
      </c>
      <c r="AC82" t="s">
        <v>87</v>
      </c>
      <c r="AD82">
        <v>5601</v>
      </c>
    </row>
    <row r="83" spans="2:30" x14ac:dyDescent="0.3">
      <c r="B83" s="20" t="str">
        <f t="shared" si="26"/>
        <v/>
      </c>
      <c r="C83" t="str">
        <f t="shared" si="27"/>
        <v/>
      </c>
      <c r="R83" s="20" t="str">
        <f t="shared" si="22"/>
        <v/>
      </c>
      <c r="S83" s="40" t="str">
        <f t="shared" si="23"/>
        <v/>
      </c>
      <c r="U83" t="e">
        <f t="shared" si="19"/>
        <v>#N/A</v>
      </c>
      <c r="V83" t="s">
        <v>6010</v>
      </c>
      <c r="W83" t="s">
        <v>17</v>
      </c>
      <c r="X83" t="e">
        <f t="shared" si="20"/>
        <v>#N/A</v>
      </c>
      <c r="Y83" t="e">
        <f t="shared" si="21"/>
        <v>#N/A</v>
      </c>
      <c r="AC83" t="s">
        <v>88</v>
      </c>
      <c r="AD83">
        <v>5602</v>
      </c>
    </row>
    <row r="84" spans="2:30" x14ac:dyDescent="0.3">
      <c r="B84" s="20" t="str">
        <f t="shared" si="26"/>
        <v/>
      </c>
      <c r="C84" t="str">
        <f t="shared" si="27"/>
        <v/>
      </c>
      <c r="R84" s="20" t="str">
        <f t="shared" si="22"/>
        <v/>
      </c>
      <c r="S84" s="40" t="str">
        <f t="shared" si="23"/>
        <v/>
      </c>
      <c r="U84" t="e">
        <f t="shared" si="19"/>
        <v>#N/A</v>
      </c>
      <c r="V84" t="s">
        <v>6024</v>
      </c>
      <c r="W84" t="s">
        <v>17</v>
      </c>
      <c r="X84" t="e">
        <f t="shared" si="20"/>
        <v>#N/A</v>
      </c>
      <c r="Y84" t="e">
        <f t="shared" si="21"/>
        <v>#N/A</v>
      </c>
      <c r="AC84" t="s">
        <v>89</v>
      </c>
      <c r="AD84">
        <v>5603</v>
      </c>
    </row>
    <row r="85" spans="2:30" x14ac:dyDescent="0.3">
      <c r="B85" s="20" t="str">
        <f t="shared" si="26"/>
        <v/>
      </c>
      <c r="C85" t="str">
        <f t="shared" si="27"/>
        <v/>
      </c>
      <c r="R85" s="20" t="str">
        <f t="shared" si="22"/>
        <v/>
      </c>
      <c r="S85" s="40" t="str">
        <f t="shared" si="23"/>
        <v/>
      </c>
      <c r="U85" t="e">
        <f t="shared" si="19"/>
        <v>#N/A</v>
      </c>
      <c r="V85" t="s">
        <v>6027</v>
      </c>
      <c r="W85" t="s">
        <v>17</v>
      </c>
      <c r="X85" t="e">
        <f t="shared" si="20"/>
        <v>#N/A</v>
      </c>
      <c r="Y85" t="e">
        <f t="shared" si="21"/>
        <v>#N/A</v>
      </c>
      <c r="AC85" t="s">
        <v>90</v>
      </c>
      <c r="AD85">
        <v>5604</v>
      </c>
    </row>
    <row r="86" spans="2:30" x14ac:dyDescent="0.3">
      <c r="B86" s="20" t="str">
        <f t="shared" si="26"/>
        <v/>
      </c>
      <c r="C86" t="str">
        <f t="shared" si="27"/>
        <v/>
      </c>
      <c r="R86" s="20" t="str">
        <f t="shared" si="22"/>
        <v/>
      </c>
      <c r="S86" s="40" t="str">
        <f t="shared" si="23"/>
        <v/>
      </c>
      <c r="U86" t="e">
        <f t="shared" si="19"/>
        <v>#N/A</v>
      </c>
      <c r="V86" t="s">
        <v>6039</v>
      </c>
      <c r="W86" t="s">
        <v>17</v>
      </c>
      <c r="X86" t="e">
        <f t="shared" si="20"/>
        <v>#N/A</v>
      </c>
      <c r="Y86" t="e">
        <f t="shared" si="21"/>
        <v>#N/A</v>
      </c>
      <c r="AC86" t="s">
        <v>91</v>
      </c>
      <c r="AD86">
        <v>5605</v>
      </c>
    </row>
    <row r="87" spans="2:30" x14ac:dyDescent="0.3">
      <c r="B87" s="20" t="str">
        <f t="shared" si="26"/>
        <v/>
      </c>
      <c r="C87" t="str">
        <f t="shared" si="27"/>
        <v/>
      </c>
      <c r="R87" s="20" t="str">
        <f t="shared" si="22"/>
        <v/>
      </c>
      <c r="S87" s="40" t="str">
        <f t="shared" si="23"/>
        <v/>
      </c>
      <c r="U87" t="e">
        <f t="shared" si="19"/>
        <v>#N/A</v>
      </c>
      <c r="V87" t="s">
        <v>6041</v>
      </c>
      <c r="W87" t="s">
        <v>17</v>
      </c>
      <c r="X87" t="e">
        <f t="shared" si="20"/>
        <v>#N/A</v>
      </c>
      <c r="Y87" t="e">
        <f t="shared" si="21"/>
        <v>#N/A</v>
      </c>
      <c r="AC87" t="s">
        <v>92</v>
      </c>
      <c r="AD87">
        <v>5606</v>
      </c>
    </row>
    <row r="88" spans="2:30" x14ac:dyDescent="0.3">
      <c r="B88" s="20" t="str">
        <f t="shared" si="26"/>
        <v/>
      </c>
      <c r="C88" t="str">
        <f t="shared" si="27"/>
        <v/>
      </c>
      <c r="R88" s="20" t="str">
        <f t="shared" si="22"/>
        <v/>
      </c>
      <c r="S88" s="40" t="str">
        <f t="shared" si="23"/>
        <v/>
      </c>
      <c r="U88" t="e">
        <f t="shared" si="19"/>
        <v>#N/A</v>
      </c>
      <c r="V88" t="s">
        <v>6051</v>
      </c>
      <c r="W88" t="s">
        <v>17</v>
      </c>
      <c r="X88" t="e">
        <f t="shared" si="20"/>
        <v>#N/A</v>
      </c>
      <c r="Y88" t="e">
        <f t="shared" si="21"/>
        <v>#N/A</v>
      </c>
      <c r="AC88" t="s">
        <v>93</v>
      </c>
      <c r="AD88">
        <v>5701</v>
      </c>
    </row>
    <row r="89" spans="2:30" x14ac:dyDescent="0.3">
      <c r="B89" s="20" t="str">
        <f t="shared" si="26"/>
        <v/>
      </c>
      <c r="C89" t="str">
        <f t="shared" si="27"/>
        <v/>
      </c>
      <c r="R89" s="20" t="str">
        <f t="shared" si="22"/>
        <v/>
      </c>
      <c r="S89" s="40" t="str">
        <f t="shared" si="23"/>
        <v/>
      </c>
      <c r="U89" t="e">
        <f t="shared" si="19"/>
        <v>#N/A</v>
      </c>
      <c r="V89" t="s">
        <v>6056</v>
      </c>
      <c r="W89" t="s">
        <v>17</v>
      </c>
      <c r="X89" t="e">
        <f t="shared" si="20"/>
        <v>#N/A</v>
      </c>
      <c r="Y89" t="e">
        <f t="shared" si="21"/>
        <v>#N/A</v>
      </c>
      <c r="AC89" t="s">
        <v>94</v>
      </c>
      <c r="AD89">
        <v>5702</v>
      </c>
    </row>
    <row r="90" spans="2:30" x14ac:dyDescent="0.3">
      <c r="B90" s="20" t="str">
        <f t="shared" si="26"/>
        <v/>
      </c>
      <c r="C90" t="str">
        <f t="shared" si="27"/>
        <v/>
      </c>
      <c r="R90" s="20" t="str">
        <f t="shared" si="22"/>
        <v/>
      </c>
      <c r="S90" s="40" t="str">
        <f t="shared" si="23"/>
        <v/>
      </c>
      <c r="U90" t="e">
        <f t="shared" si="19"/>
        <v>#N/A</v>
      </c>
      <c r="V90" t="s">
        <v>6062</v>
      </c>
      <c r="W90" t="s">
        <v>17</v>
      </c>
      <c r="X90" t="e">
        <f t="shared" si="20"/>
        <v>#N/A</v>
      </c>
      <c r="Y90" t="e">
        <f t="shared" si="21"/>
        <v>#N/A</v>
      </c>
      <c r="AC90" t="s">
        <v>95</v>
      </c>
      <c r="AD90">
        <v>5703</v>
      </c>
    </row>
    <row r="91" spans="2:30" x14ac:dyDescent="0.3">
      <c r="B91" s="20" t="str">
        <f t="shared" si="26"/>
        <v/>
      </c>
      <c r="C91" t="str">
        <f t="shared" si="27"/>
        <v/>
      </c>
      <c r="R91" s="20" t="str">
        <f t="shared" si="22"/>
        <v/>
      </c>
      <c r="S91" s="40" t="str">
        <f t="shared" si="23"/>
        <v/>
      </c>
      <c r="U91" t="e">
        <f t="shared" si="19"/>
        <v>#N/A</v>
      </c>
      <c r="V91" t="s">
        <v>6072</v>
      </c>
      <c r="W91" t="s">
        <v>17</v>
      </c>
      <c r="X91" t="e">
        <f t="shared" si="20"/>
        <v>#N/A</v>
      </c>
      <c r="Y91" t="e">
        <f t="shared" si="21"/>
        <v>#N/A</v>
      </c>
      <c r="AC91" t="s">
        <v>96</v>
      </c>
      <c r="AD91">
        <v>5704</v>
      </c>
    </row>
    <row r="92" spans="2:30" x14ac:dyDescent="0.3">
      <c r="B92" s="20" t="str">
        <f t="shared" si="26"/>
        <v/>
      </c>
      <c r="C92" t="str">
        <f t="shared" si="27"/>
        <v/>
      </c>
      <c r="R92" s="20" t="str">
        <f t="shared" si="22"/>
        <v/>
      </c>
      <c r="S92" s="40" t="str">
        <f t="shared" si="23"/>
        <v/>
      </c>
      <c r="U92" t="e">
        <f t="shared" si="19"/>
        <v>#N/A</v>
      </c>
      <c r="V92" t="s">
        <v>6074</v>
      </c>
      <c r="W92" t="s">
        <v>17</v>
      </c>
      <c r="X92" t="e">
        <f t="shared" si="20"/>
        <v>#N/A</v>
      </c>
      <c r="Y92" t="e">
        <f t="shared" si="21"/>
        <v>#N/A</v>
      </c>
      <c r="AC92" t="s">
        <v>97</v>
      </c>
      <c r="AD92">
        <v>5705</v>
      </c>
    </row>
    <row r="93" spans="2:30" x14ac:dyDescent="0.3">
      <c r="B93" s="20" t="str">
        <f t="shared" si="26"/>
        <v/>
      </c>
      <c r="C93" t="str">
        <f t="shared" si="27"/>
        <v/>
      </c>
      <c r="R93" s="20" t="str">
        <f t="shared" si="22"/>
        <v/>
      </c>
      <c r="S93" s="40" t="str">
        <f t="shared" si="23"/>
        <v/>
      </c>
      <c r="U93" t="e">
        <f t="shared" si="19"/>
        <v>#N/A</v>
      </c>
      <c r="V93" t="s">
        <v>6082</v>
      </c>
      <c r="W93" t="s">
        <v>17</v>
      </c>
      <c r="X93" t="e">
        <f t="shared" si="20"/>
        <v>#N/A</v>
      </c>
      <c r="Y93" t="e">
        <f t="shared" si="21"/>
        <v>#N/A</v>
      </c>
      <c r="AC93" t="s">
        <v>98</v>
      </c>
      <c r="AD93">
        <v>5706</v>
      </c>
    </row>
    <row r="94" spans="2:30" x14ac:dyDescent="0.3">
      <c r="B94" s="20" t="str">
        <f t="shared" si="26"/>
        <v/>
      </c>
      <c r="C94" t="str">
        <f t="shared" si="27"/>
        <v/>
      </c>
      <c r="R94" s="20" t="str">
        <f t="shared" si="22"/>
        <v/>
      </c>
      <c r="S94" s="40" t="str">
        <f t="shared" si="23"/>
        <v/>
      </c>
      <c r="U94" t="e">
        <f t="shared" si="19"/>
        <v>#N/A</v>
      </c>
      <c r="V94" t="s">
        <v>7596</v>
      </c>
      <c r="W94" t="s">
        <v>15</v>
      </c>
      <c r="X94" t="e">
        <f t="shared" si="20"/>
        <v>#N/A</v>
      </c>
      <c r="Y94" t="e">
        <f t="shared" si="21"/>
        <v>#N/A</v>
      </c>
      <c r="AC94" t="s">
        <v>99</v>
      </c>
      <c r="AD94">
        <v>5801</v>
      </c>
    </row>
    <row r="95" spans="2:30" x14ac:dyDescent="0.3">
      <c r="B95" s="20" t="str">
        <f t="shared" si="26"/>
        <v/>
      </c>
      <c r="C95" t="str">
        <f t="shared" si="27"/>
        <v/>
      </c>
      <c r="R95" s="20" t="str">
        <f t="shared" si="22"/>
        <v/>
      </c>
      <c r="S95" s="40" t="str">
        <f t="shared" si="23"/>
        <v/>
      </c>
      <c r="U95" t="e">
        <f t="shared" si="19"/>
        <v>#N/A</v>
      </c>
      <c r="V95" t="s">
        <v>7599</v>
      </c>
      <c r="W95" t="s">
        <v>15</v>
      </c>
      <c r="X95" t="e">
        <f t="shared" si="20"/>
        <v>#N/A</v>
      </c>
      <c r="Y95" t="e">
        <f t="shared" si="21"/>
        <v>#N/A</v>
      </c>
      <c r="AC95" t="s">
        <v>100</v>
      </c>
      <c r="AD95">
        <v>5802</v>
      </c>
    </row>
    <row r="96" spans="2:30" x14ac:dyDescent="0.3">
      <c r="B96" s="20" t="str">
        <f t="shared" si="26"/>
        <v/>
      </c>
      <c r="C96" t="str">
        <f t="shared" si="27"/>
        <v/>
      </c>
      <c r="R96" s="20" t="str">
        <f t="shared" si="22"/>
        <v/>
      </c>
      <c r="S96" s="40" t="str">
        <f t="shared" si="23"/>
        <v/>
      </c>
      <c r="U96" t="e">
        <f t="shared" si="19"/>
        <v>#N/A</v>
      </c>
      <c r="V96" t="s">
        <v>7603</v>
      </c>
      <c r="W96" t="s">
        <v>15</v>
      </c>
      <c r="X96" t="e">
        <f t="shared" si="20"/>
        <v>#N/A</v>
      </c>
      <c r="Y96" t="e">
        <f t="shared" si="21"/>
        <v>#N/A</v>
      </c>
      <c r="AC96" t="s">
        <v>101</v>
      </c>
      <c r="AD96">
        <v>5803</v>
      </c>
    </row>
    <row r="97" spans="2:30" x14ac:dyDescent="0.3">
      <c r="B97" s="20" t="str">
        <f t="shared" si="26"/>
        <v/>
      </c>
      <c r="C97" t="str">
        <f t="shared" si="27"/>
        <v/>
      </c>
      <c r="R97" s="20" t="str">
        <f t="shared" si="22"/>
        <v/>
      </c>
      <c r="S97" s="40" t="str">
        <f t="shared" si="23"/>
        <v/>
      </c>
      <c r="U97" t="e">
        <f t="shared" si="19"/>
        <v>#N/A</v>
      </c>
      <c r="V97" t="s">
        <v>7606</v>
      </c>
      <c r="W97" t="s">
        <v>15</v>
      </c>
      <c r="X97" t="e">
        <f t="shared" si="20"/>
        <v>#N/A</v>
      </c>
      <c r="Y97" t="e">
        <f t="shared" si="21"/>
        <v>#N/A</v>
      </c>
      <c r="AC97" t="s">
        <v>102</v>
      </c>
      <c r="AD97">
        <v>5804</v>
      </c>
    </row>
    <row r="98" spans="2:30" x14ac:dyDescent="0.3">
      <c r="B98" s="20" t="str">
        <f t="shared" si="26"/>
        <v/>
      </c>
      <c r="C98" t="str">
        <f t="shared" si="27"/>
        <v/>
      </c>
      <c r="R98" s="20" t="str">
        <f t="shared" si="22"/>
        <v/>
      </c>
      <c r="S98" s="40" t="str">
        <f t="shared" si="23"/>
        <v/>
      </c>
      <c r="U98" t="e">
        <f t="shared" si="19"/>
        <v>#N/A</v>
      </c>
      <c r="V98" t="s">
        <v>7608</v>
      </c>
      <c r="W98" t="s">
        <v>15</v>
      </c>
      <c r="X98" t="e">
        <f t="shared" si="20"/>
        <v>#N/A</v>
      </c>
      <c r="Y98" t="e">
        <f t="shared" si="21"/>
        <v>#N/A</v>
      </c>
      <c r="AC98" t="s">
        <v>103</v>
      </c>
      <c r="AD98">
        <v>6101</v>
      </c>
    </row>
    <row r="99" spans="2:30" x14ac:dyDescent="0.3">
      <c r="B99" s="20" t="str">
        <f t="shared" si="26"/>
        <v/>
      </c>
      <c r="C99" t="str">
        <f t="shared" si="27"/>
        <v/>
      </c>
      <c r="R99" s="20" t="str">
        <f t="shared" si="22"/>
        <v/>
      </c>
      <c r="S99" s="40" t="str">
        <f t="shared" si="23"/>
        <v/>
      </c>
      <c r="U99" t="e">
        <f t="shared" si="19"/>
        <v>#N/A</v>
      </c>
      <c r="V99" t="s">
        <v>7611</v>
      </c>
      <c r="W99" t="s">
        <v>15</v>
      </c>
      <c r="X99" t="e">
        <f t="shared" si="20"/>
        <v>#N/A</v>
      </c>
      <c r="Y99" t="e">
        <f t="shared" si="21"/>
        <v>#N/A</v>
      </c>
      <c r="AC99" t="s">
        <v>104</v>
      </c>
      <c r="AD99">
        <v>6102</v>
      </c>
    </row>
    <row r="100" spans="2:30" x14ac:dyDescent="0.3">
      <c r="B100" s="20" t="str">
        <f t="shared" si="26"/>
        <v/>
      </c>
      <c r="C100" t="str">
        <f t="shared" si="27"/>
        <v/>
      </c>
      <c r="R100" s="20" t="str">
        <f t="shared" si="22"/>
        <v/>
      </c>
      <c r="S100" s="40" t="str">
        <f t="shared" si="23"/>
        <v/>
      </c>
      <c r="U100" t="e">
        <f t="shared" si="19"/>
        <v>#N/A</v>
      </c>
      <c r="V100" t="s">
        <v>7613</v>
      </c>
      <c r="W100" t="s">
        <v>15</v>
      </c>
      <c r="X100" t="e">
        <f t="shared" si="20"/>
        <v>#N/A</v>
      </c>
      <c r="Y100" t="e">
        <f t="shared" si="21"/>
        <v>#N/A</v>
      </c>
      <c r="AC100" t="s">
        <v>105</v>
      </c>
      <c r="AD100">
        <v>6103</v>
      </c>
    </row>
    <row r="101" spans="2:30" x14ac:dyDescent="0.3">
      <c r="B101" s="20" t="str">
        <f t="shared" si="26"/>
        <v/>
      </c>
      <c r="C101" t="str">
        <f t="shared" si="27"/>
        <v/>
      </c>
      <c r="R101" s="20" t="str">
        <f t="shared" si="22"/>
        <v/>
      </c>
      <c r="S101" s="40" t="str">
        <f t="shared" si="23"/>
        <v/>
      </c>
      <c r="U101" t="e">
        <f t="shared" si="19"/>
        <v>#N/A</v>
      </c>
      <c r="V101" t="s">
        <v>7615</v>
      </c>
      <c r="W101" t="s">
        <v>15</v>
      </c>
      <c r="X101" t="e">
        <f t="shared" si="20"/>
        <v>#N/A</v>
      </c>
      <c r="Y101" t="e">
        <f t="shared" si="21"/>
        <v>#N/A</v>
      </c>
      <c r="AC101" t="s">
        <v>106</v>
      </c>
      <c r="AD101">
        <v>6104</v>
      </c>
    </row>
    <row r="102" spans="2:30" x14ac:dyDescent="0.3">
      <c r="B102" s="20" t="str">
        <f t="shared" si="26"/>
        <v/>
      </c>
      <c r="C102" t="str">
        <f t="shared" si="27"/>
        <v/>
      </c>
      <c r="R102" s="20" t="str">
        <f t="shared" si="22"/>
        <v/>
      </c>
      <c r="S102" s="40" t="str">
        <f t="shared" si="23"/>
        <v/>
      </c>
      <c r="U102" t="e">
        <f t="shared" si="19"/>
        <v>#N/A</v>
      </c>
      <c r="V102" t="s">
        <v>7617</v>
      </c>
      <c r="W102" t="s">
        <v>15</v>
      </c>
      <c r="X102" t="e">
        <f t="shared" si="20"/>
        <v>#N/A</v>
      </c>
      <c r="Y102" t="e">
        <f t="shared" si="21"/>
        <v>#N/A</v>
      </c>
      <c r="AC102" t="s">
        <v>107</v>
      </c>
      <c r="AD102">
        <v>6105</v>
      </c>
    </row>
    <row r="103" spans="2:30" x14ac:dyDescent="0.3">
      <c r="B103" s="20" t="str">
        <f t="shared" si="26"/>
        <v/>
      </c>
      <c r="C103" t="str">
        <f t="shared" si="27"/>
        <v/>
      </c>
      <c r="R103" s="20" t="str">
        <f t="shared" si="22"/>
        <v/>
      </c>
      <c r="S103" s="40" t="str">
        <f t="shared" si="23"/>
        <v/>
      </c>
      <c r="U103" t="e">
        <f t="shared" si="19"/>
        <v>#N/A</v>
      </c>
      <c r="V103" t="s">
        <v>7619</v>
      </c>
      <c r="W103" t="s">
        <v>15</v>
      </c>
      <c r="X103" t="e">
        <f t="shared" si="20"/>
        <v>#N/A</v>
      </c>
      <c r="Y103" t="e">
        <f t="shared" si="21"/>
        <v>#N/A</v>
      </c>
      <c r="AC103" t="s">
        <v>108</v>
      </c>
      <c r="AD103">
        <v>6106</v>
      </c>
    </row>
    <row r="104" spans="2:30" x14ac:dyDescent="0.3">
      <c r="B104" s="20" t="str">
        <f t="shared" si="26"/>
        <v/>
      </c>
      <c r="C104" t="str">
        <f t="shared" si="27"/>
        <v/>
      </c>
      <c r="R104" s="20" t="str">
        <f t="shared" si="22"/>
        <v/>
      </c>
      <c r="S104" s="40" t="str">
        <f t="shared" si="23"/>
        <v/>
      </c>
      <c r="U104" t="e">
        <f t="shared" si="19"/>
        <v>#N/A</v>
      </c>
      <c r="V104" t="s">
        <v>7621</v>
      </c>
      <c r="W104" t="s">
        <v>15</v>
      </c>
      <c r="X104" t="e">
        <f t="shared" si="20"/>
        <v>#N/A</v>
      </c>
      <c r="Y104" t="e">
        <f t="shared" si="21"/>
        <v>#N/A</v>
      </c>
      <c r="AC104" t="s">
        <v>109</v>
      </c>
      <c r="AD104">
        <v>6107</v>
      </c>
    </row>
    <row r="105" spans="2:30" x14ac:dyDescent="0.3">
      <c r="B105" s="20" t="str">
        <f t="shared" si="26"/>
        <v/>
      </c>
      <c r="C105" t="str">
        <f t="shared" si="27"/>
        <v/>
      </c>
      <c r="R105" s="20" t="str">
        <f t="shared" si="22"/>
        <v/>
      </c>
      <c r="S105" s="40" t="str">
        <f t="shared" si="23"/>
        <v/>
      </c>
      <c r="U105" t="e">
        <f t="shared" si="19"/>
        <v>#N/A</v>
      </c>
      <c r="X105" t="e">
        <f t="shared" si="20"/>
        <v>#N/A</v>
      </c>
      <c r="Y105" t="e">
        <f t="shared" si="21"/>
        <v>#N/A</v>
      </c>
      <c r="AC105" t="s">
        <v>110</v>
      </c>
      <c r="AD105">
        <v>6108</v>
      </c>
    </row>
    <row r="106" spans="2:30" x14ac:dyDescent="0.3">
      <c r="B106" s="20" t="str">
        <f t="shared" si="26"/>
        <v/>
      </c>
      <c r="C106" t="str">
        <f t="shared" si="27"/>
        <v/>
      </c>
      <c r="R106" s="20" t="str">
        <f t="shared" si="22"/>
        <v/>
      </c>
      <c r="S106" s="40" t="str">
        <f t="shared" si="23"/>
        <v/>
      </c>
      <c r="U106" t="e">
        <f t="shared" si="19"/>
        <v>#N/A</v>
      </c>
      <c r="X106" t="e">
        <f t="shared" si="20"/>
        <v>#N/A</v>
      </c>
      <c r="Y106" t="e">
        <f t="shared" si="21"/>
        <v>#N/A</v>
      </c>
      <c r="AC106" t="s">
        <v>111</v>
      </c>
      <c r="AD106">
        <v>6109</v>
      </c>
    </row>
    <row r="107" spans="2:30" x14ac:dyDescent="0.3">
      <c r="B107" s="20" t="str">
        <f t="shared" si="26"/>
        <v/>
      </c>
      <c r="C107" t="str">
        <f t="shared" si="27"/>
        <v/>
      </c>
      <c r="R107" s="20" t="str">
        <f t="shared" si="22"/>
        <v/>
      </c>
      <c r="S107" s="40" t="str">
        <f t="shared" si="23"/>
        <v/>
      </c>
      <c r="U107" t="e">
        <f t="shared" si="19"/>
        <v>#N/A</v>
      </c>
      <c r="X107" t="e">
        <f t="shared" si="20"/>
        <v>#N/A</v>
      </c>
      <c r="Y107" t="e">
        <f t="shared" si="21"/>
        <v>#N/A</v>
      </c>
      <c r="AC107" t="s">
        <v>112</v>
      </c>
      <c r="AD107">
        <v>6110</v>
      </c>
    </row>
    <row r="108" spans="2:30" x14ac:dyDescent="0.3">
      <c r="B108" s="20" t="str">
        <f t="shared" si="26"/>
        <v/>
      </c>
      <c r="C108" t="str">
        <f t="shared" si="27"/>
        <v/>
      </c>
      <c r="R108" s="20" t="str">
        <f t="shared" si="22"/>
        <v/>
      </c>
      <c r="S108" s="40" t="str">
        <f t="shared" si="23"/>
        <v/>
      </c>
      <c r="U108" t="e">
        <f t="shared" si="19"/>
        <v>#N/A</v>
      </c>
      <c r="X108" t="e">
        <f t="shared" si="20"/>
        <v>#N/A</v>
      </c>
      <c r="Y108" t="e">
        <f t="shared" si="21"/>
        <v>#N/A</v>
      </c>
      <c r="AC108" t="s">
        <v>113</v>
      </c>
      <c r="AD108">
        <v>6111</v>
      </c>
    </row>
    <row r="109" spans="2:30" x14ac:dyDescent="0.3">
      <c r="B109" s="20" t="str">
        <f t="shared" si="26"/>
        <v/>
      </c>
      <c r="C109" t="str">
        <f t="shared" si="27"/>
        <v/>
      </c>
      <c r="R109" s="20" t="str">
        <f t="shared" si="22"/>
        <v/>
      </c>
      <c r="S109" s="40" t="str">
        <f t="shared" si="23"/>
        <v/>
      </c>
      <c r="U109" t="e">
        <f t="shared" si="19"/>
        <v>#N/A</v>
      </c>
      <c r="X109" t="e">
        <f t="shared" si="20"/>
        <v>#N/A</v>
      </c>
      <c r="Y109" t="e">
        <f t="shared" si="21"/>
        <v>#N/A</v>
      </c>
      <c r="AC109" t="s">
        <v>114</v>
      </c>
      <c r="AD109">
        <v>6112</v>
      </c>
    </row>
    <row r="110" spans="2:30" x14ac:dyDescent="0.3">
      <c r="B110" s="20" t="str">
        <f t="shared" si="26"/>
        <v/>
      </c>
      <c r="C110" t="str">
        <f t="shared" si="27"/>
        <v/>
      </c>
      <c r="R110" s="20" t="str">
        <f t="shared" si="22"/>
        <v/>
      </c>
      <c r="S110" s="40" t="str">
        <f t="shared" si="23"/>
        <v/>
      </c>
      <c r="U110" t="e">
        <f t="shared" si="19"/>
        <v>#N/A</v>
      </c>
      <c r="X110" t="e">
        <f t="shared" si="20"/>
        <v>#N/A</v>
      </c>
      <c r="Y110" t="e">
        <f t="shared" si="21"/>
        <v>#N/A</v>
      </c>
      <c r="AC110" t="s">
        <v>115</v>
      </c>
      <c r="AD110">
        <v>6113</v>
      </c>
    </row>
    <row r="111" spans="2:30" x14ac:dyDescent="0.3">
      <c r="B111" s="20" t="str">
        <f t="shared" si="26"/>
        <v/>
      </c>
      <c r="C111" t="str">
        <f t="shared" si="27"/>
        <v/>
      </c>
      <c r="R111" s="20" t="str">
        <f t="shared" si="22"/>
        <v/>
      </c>
      <c r="S111" s="40" t="str">
        <f t="shared" si="23"/>
        <v/>
      </c>
      <c r="U111" t="e">
        <f t="shared" si="19"/>
        <v>#N/A</v>
      </c>
      <c r="X111" t="e">
        <f t="shared" si="20"/>
        <v>#N/A</v>
      </c>
      <c r="Y111" t="e">
        <f t="shared" si="21"/>
        <v>#N/A</v>
      </c>
      <c r="AC111" t="s">
        <v>116</v>
      </c>
      <c r="AD111">
        <v>6114</v>
      </c>
    </row>
    <row r="112" spans="2:30" x14ac:dyDescent="0.3">
      <c r="B112" s="20" t="str">
        <f t="shared" si="26"/>
        <v/>
      </c>
      <c r="C112" t="str">
        <f t="shared" si="27"/>
        <v/>
      </c>
      <c r="R112" s="20" t="str">
        <f t="shared" si="22"/>
        <v/>
      </c>
      <c r="S112" s="40" t="str">
        <f t="shared" si="23"/>
        <v/>
      </c>
      <c r="U112" t="e">
        <f t="shared" si="19"/>
        <v>#N/A</v>
      </c>
      <c r="X112" t="e">
        <f t="shared" si="20"/>
        <v>#N/A</v>
      </c>
      <c r="Y112" t="e">
        <f t="shared" si="21"/>
        <v>#N/A</v>
      </c>
      <c r="AC112" t="s">
        <v>117</v>
      </c>
      <c r="AD112">
        <v>6115</v>
      </c>
    </row>
    <row r="113" spans="2:30" x14ac:dyDescent="0.3">
      <c r="B113" s="20" t="str">
        <f t="shared" si="26"/>
        <v/>
      </c>
      <c r="C113" t="str">
        <f t="shared" si="27"/>
        <v/>
      </c>
      <c r="R113" s="20" t="str">
        <f t="shared" si="22"/>
        <v/>
      </c>
      <c r="S113" s="40" t="str">
        <f t="shared" si="23"/>
        <v/>
      </c>
      <c r="U113" t="e">
        <f t="shared" si="19"/>
        <v>#N/A</v>
      </c>
      <c r="X113" t="e">
        <f t="shared" si="20"/>
        <v>#N/A</v>
      </c>
      <c r="Y113" t="e">
        <f t="shared" si="21"/>
        <v>#N/A</v>
      </c>
      <c r="AC113" t="s">
        <v>118</v>
      </c>
      <c r="AD113">
        <v>6116</v>
      </c>
    </row>
    <row r="114" spans="2:30" x14ac:dyDescent="0.3">
      <c r="B114" s="20" t="str">
        <f t="shared" si="26"/>
        <v/>
      </c>
      <c r="C114" t="str">
        <f t="shared" si="27"/>
        <v/>
      </c>
      <c r="R114" s="20" t="str">
        <f t="shared" si="22"/>
        <v/>
      </c>
      <c r="S114" s="40" t="str">
        <f t="shared" si="23"/>
        <v/>
      </c>
      <c r="U114" t="e">
        <f t="shared" si="19"/>
        <v>#N/A</v>
      </c>
      <c r="X114" t="e">
        <f t="shared" si="20"/>
        <v>#N/A</v>
      </c>
      <c r="Y114" t="e">
        <f t="shared" si="21"/>
        <v>#N/A</v>
      </c>
      <c r="AC114" t="s">
        <v>119</v>
      </c>
      <c r="AD114">
        <v>6117</v>
      </c>
    </row>
    <row r="115" spans="2:30" x14ac:dyDescent="0.3">
      <c r="B115" s="20" t="str">
        <f t="shared" si="26"/>
        <v/>
      </c>
      <c r="C115" t="str">
        <f t="shared" si="27"/>
        <v/>
      </c>
      <c r="R115" s="20" t="str">
        <f t="shared" si="22"/>
        <v/>
      </c>
      <c r="S115" s="40" t="str">
        <f t="shared" si="23"/>
        <v/>
      </c>
      <c r="U115" t="e">
        <f t="shared" si="19"/>
        <v>#N/A</v>
      </c>
      <c r="X115" t="e">
        <f t="shared" si="20"/>
        <v>#N/A</v>
      </c>
      <c r="Y115" t="e">
        <f t="shared" si="21"/>
        <v>#N/A</v>
      </c>
      <c r="AC115" t="s">
        <v>120</v>
      </c>
      <c r="AD115">
        <v>6201</v>
      </c>
    </row>
    <row r="116" spans="2:30" x14ac:dyDescent="0.3">
      <c r="B116" s="20" t="str">
        <f t="shared" si="26"/>
        <v/>
      </c>
      <c r="C116" t="str">
        <f t="shared" si="27"/>
        <v/>
      </c>
      <c r="R116" s="20" t="str">
        <f t="shared" si="22"/>
        <v/>
      </c>
      <c r="S116" s="40" t="str">
        <f t="shared" si="23"/>
        <v/>
      </c>
      <c r="U116" t="e">
        <f t="shared" si="19"/>
        <v>#N/A</v>
      </c>
      <c r="X116" t="e">
        <f t="shared" si="20"/>
        <v>#N/A</v>
      </c>
      <c r="Y116" t="e">
        <f t="shared" si="21"/>
        <v>#N/A</v>
      </c>
      <c r="AC116" t="s">
        <v>121</v>
      </c>
      <c r="AD116">
        <v>6202</v>
      </c>
    </row>
    <row r="117" spans="2:30" x14ac:dyDescent="0.3">
      <c r="B117" s="20" t="str">
        <f t="shared" si="26"/>
        <v/>
      </c>
      <c r="C117" t="str">
        <f t="shared" si="27"/>
        <v/>
      </c>
      <c r="R117" s="20" t="str">
        <f t="shared" si="22"/>
        <v/>
      </c>
      <c r="S117" s="40" t="str">
        <f t="shared" si="23"/>
        <v/>
      </c>
      <c r="U117" t="e">
        <f t="shared" si="19"/>
        <v>#N/A</v>
      </c>
      <c r="X117" t="e">
        <f t="shared" si="20"/>
        <v>#N/A</v>
      </c>
      <c r="Y117" t="e">
        <f t="shared" si="21"/>
        <v>#N/A</v>
      </c>
      <c r="AC117" t="s">
        <v>122</v>
      </c>
      <c r="AD117">
        <v>6203</v>
      </c>
    </row>
    <row r="118" spans="2:30" x14ac:dyDescent="0.3">
      <c r="B118" s="20" t="str">
        <f t="shared" si="26"/>
        <v/>
      </c>
      <c r="C118" t="str">
        <f t="shared" si="27"/>
        <v/>
      </c>
      <c r="R118" s="20" t="str">
        <f t="shared" si="22"/>
        <v/>
      </c>
      <c r="S118" s="40" t="str">
        <f t="shared" si="23"/>
        <v/>
      </c>
      <c r="U118" t="e">
        <f t="shared" si="19"/>
        <v>#N/A</v>
      </c>
      <c r="X118" t="e">
        <f t="shared" si="20"/>
        <v>#N/A</v>
      </c>
      <c r="Y118" t="e">
        <f t="shared" si="21"/>
        <v>#N/A</v>
      </c>
      <c r="AC118" t="s">
        <v>123</v>
      </c>
      <c r="AD118">
        <v>6204</v>
      </c>
    </row>
    <row r="119" spans="2:30" x14ac:dyDescent="0.3">
      <c r="B119" s="20" t="str">
        <f t="shared" si="26"/>
        <v/>
      </c>
      <c r="C119" t="str">
        <f t="shared" si="27"/>
        <v/>
      </c>
      <c r="R119" s="20" t="str">
        <f t="shared" si="22"/>
        <v/>
      </c>
      <c r="S119" s="40" t="str">
        <f t="shared" si="23"/>
        <v/>
      </c>
      <c r="U119" t="e">
        <f t="shared" si="19"/>
        <v>#N/A</v>
      </c>
      <c r="X119" t="e">
        <f t="shared" si="20"/>
        <v>#N/A</v>
      </c>
      <c r="Y119" t="e">
        <f t="shared" si="21"/>
        <v>#N/A</v>
      </c>
      <c r="AC119" t="s">
        <v>124</v>
      </c>
      <c r="AD119">
        <v>6205</v>
      </c>
    </row>
    <row r="120" spans="2:30" x14ac:dyDescent="0.3">
      <c r="B120" s="20" t="str">
        <f t="shared" si="26"/>
        <v/>
      </c>
      <c r="C120" t="str">
        <f t="shared" si="27"/>
        <v/>
      </c>
      <c r="R120" s="20" t="str">
        <f t="shared" si="22"/>
        <v/>
      </c>
      <c r="S120" s="40" t="str">
        <f t="shared" si="23"/>
        <v/>
      </c>
      <c r="U120" t="e">
        <f t="shared" si="19"/>
        <v>#N/A</v>
      </c>
      <c r="X120" t="e">
        <f t="shared" si="20"/>
        <v>#N/A</v>
      </c>
      <c r="Y120" t="e">
        <f t="shared" si="21"/>
        <v>#N/A</v>
      </c>
      <c r="AC120" t="s">
        <v>125</v>
      </c>
      <c r="AD120">
        <v>6206</v>
      </c>
    </row>
    <row r="121" spans="2:30" x14ac:dyDescent="0.3">
      <c r="B121" s="20" t="str">
        <f t="shared" si="26"/>
        <v/>
      </c>
      <c r="C121" t="str">
        <f t="shared" si="27"/>
        <v/>
      </c>
      <c r="R121" s="20" t="str">
        <f t="shared" si="22"/>
        <v/>
      </c>
      <c r="S121" s="40" t="str">
        <f t="shared" si="23"/>
        <v/>
      </c>
      <c r="U121" t="e">
        <f t="shared" si="19"/>
        <v>#N/A</v>
      </c>
      <c r="X121" t="e">
        <f t="shared" si="20"/>
        <v>#N/A</v>
      </c>
      <c r="Y121" t="e">
        <f t="shared" si="21"/>
        <v>#N/A</v>
      </c>
      <c r="AC121" t="s">
        <v>126</v>
      </c>
      <c r="AD121">
        <v>6301</v>
      </c>
    </row>
    <row r="122" spans="2:30" x14ac:dyDescent="0.3">
      <c r="B122" s="20" t="str">
        <f t="shared" si="26"/>
        <v/>
      </c>
      <c r="C122" t="str">
        <f t="shared" si="27"/>
        <v/>
      </c>
      <c r="R122" s="20" t="str">
        <f t="shared" si="22"/>
        <v/>
      </c>
      <c r="S122" s="40" t="str">
        <f t="shared" si="23"/>
        <v/>
      </c>
      <c r="U122" t="e">
        <f t="shared" si="19"/>
        <v>#N/A</v>
      </c>
      <c r="X122" t="e">
        <f t="shared" si="20"/>
        <v>#N/A</v>
      </c>
      <c r="Y122" t="e">
        <f t="shared" si="21"/>
        <v>#N/A</v>
      </c>
      <c r="AC122" t="s">
        <v>127</v>
      </c>
      <c r="AD122">
        <v>6302</v>
      </c>
    </row>
    <row r="123" spans="2:30" x14ac:dyDescent="0.3">
      <c r="B123" s="20" t="str">
        <f t="shared" si="26"/>
        <v/>
      </c>
      <c r="C123" t="str">
        <f t="shared" si="27"/>
        <v/>
      </c>
      <c r="R123" s="20" t="str">
        <f t="shared" si="22"/>
        <v/>
      </c>
      <c r="S123" s="40" t="str">
        <f t="shared" si="23"/>
        <v/>
      </c>
      <c r="U123" t="e">
        <f t="shared" si="19"/>
        <v>#N/A</v>
      </c>
      <c r="X123" t="e">
        <f t="shared" si="20"/>
        <v>#N/A</v>
      </c>
      <c r="Y123" t="e">
        <f t="shared" si="21"/>
        <v>#N/A</v>
      </c>
      <c r="AC123" t="s">
        <v>128</v>
      </c>
      <c r="AD123">
        <v>6303</v>
      </c>
    </row>
    <row r="124" spans="2:30" x14ac:dyDescent="0.3">
      <c r="B124" s="20" t="str">
        <f t="shared" si="26"/>
        <v/>
      </c>
      <c r="C124" t="str">
        <f t="shared" si="27"/>
        <v/>
      </c>
      <c r="R124" s="20" t="str">
        <f t="shared" si="22"/>
        <v/>
      </c>
      <c r="S124" s="40" t="str">
        <f t="shared" si="23"/>
        <v/>
      </c>
      <c r="U124" t="e">
        <f t="shared" si="19"/>
        <v>#N/A</v>
      </c>
      <c r="X124" t="e">
        <f t="shared" si="20"/>
        <v>#N/A</v>
      </c>
      <c r="Y124" t="e">
        <f t="shared" si="21"/>
        <v>#N/A</v>
      </c>
      <c r="AC124" t="s">
        <v>129</v>
      </c>
      <c r="AD124">
        <v>6304</v>
      </c>
    </row>
    <row r="125" spans="2:30" x14ac:dyDescent="0.3">
      <c r="B125" s="20" t="str">
        <f t="shared" si="26"/>
        <v/>
      </c>
      <c r="C125" t="str">
        <f t="shared" si="27"/>
        <v/>
      </c>
      <c r="R125" s="20" t="str">
        <f t="shared" si="22"/>
        <v/>
      </c>
      <c r="S125" s="40" t="str">
        <f t="shared" si="23"/>
        <v/>
      </c>
      <c r="U125" t="e">
        <f t="shared" si="19"/>
        <v>#N/A</v>
      </c>
      <c r="X125" t="e">
        <f t="shared" si="20"/>
        <v>#N/A</v>
      </c>
      <c r="Y125" t="e">
        <f t="shared" si="21"/>
        <v>#N/A</v>
      </c>
      <c r="AC125" t="s">
        <v>130</v>
      </c>
      <c r="AD125">
        <v>6305</v>
      </c>
    </row>
    <row r="126" spans="2:30" x14ac:dyDescent="0.3">
      <c r="B126" s="20" t="str">
        <f t="shared" si="26"/>
        <v/>
      </c>
      <c r="C126" t="str">
        <f t="shared" si="27"/>
        <v/>
      </c>
      <c r="R126" s="20" t="str">
        <f t="shared" si="22"/>
        <v/>
      </c>
      <c r="S126" s="40" t="str">
        <f t="shared" si="23"/>
        <v/>
      </c>
      <c r="U126" t="e">
        <f t="shared" si="19"/>
        <v>#N/A</v>
      </c>
      <c r="X126" t="e">
        <f t="shared" si="20"/>
        <v>#N/A</v>
      </c>
      <c r="Y126" t="e">
        <f t="shared" si="21"/>
        <v>#N/A</v>
      </c>
      <c r="AC126" t="s">
        <v>131</v>
      </c>
      <c r="AD126">
        <v>6306</v>
      </c>
    </row>
    <row r="127" spans="2:30" x14ac:dyDescent="0.3">
      <c r="B127" s="20" t="str">
        <f t="shared" si="26"/>
        <v/>
      </c>
      <c r="C127" t="str">
        <f t="shared" si="27"/>
        <v/>
      </c>
      <c r="R127" s="20" t="str">
        <f t="shared" si="22"/>
        <v/>
      </c>
      <c r="S127" s="40" t="str">
        <f t="shared" si="23"/>
        <v/>
      </c>
      <c r="U127" t="e">
        <f t="shared" si="19"/>
        <v>#N/A</v>
      </c>
      <c r="X127" t="e">
        <f t="shared" si="20"/>
        <v>#N/A</v>
      </c>
      <c r="Y127" t="e">
        <f t="shared" si="21"/>
        <v>#N/A</v>
      </c>
      <c r="AC127" t="s">
        <v>132</v>
      </c>
      <c r="AD127">
        <v>6307</v>
      </c>
    </row>
    <row r="128" spans="2:30" x14ac:dyDescent="0.3">
      <c r="B128" s="20" t="str">
        <f t="shared" si="26"/>
        <v/>
      </c>
      <c r="C128" t="str">
        <f t="shared" si="27"/>
        <v/>
      </c>
      <c r="R128" s="20" t="str">
        <f t="shared" si="22"/>
        <v/>
      </c>
      <c r="S128" s="40" t="str">
        <f t="shared" si="23"/>
        <v/>
      </c>
      <c r="U128" t="e">
        <f t="shared" si="19"/>
        <v>#N/A</v>
      </c>
      <c r="X128" t="e">
        <f t="shared" si="20"/>
        <v>#N/A</v>
      </c>
      <c r="Y128" t="e">
        <f t="shared" si="21"/>
        <v>#N/A</v>
      </c>
      <c r="AC128" t="s">
        <v>133</v>
      </c>
      <c r="AD128">
        <v>6308</v>
      </c>
    </row>
    <row r="129" spans="2:30" x14ac:dyDescent="0.3">
      <c r="B129" s="20" t="str">
        <f t="shared" si="26"/>
        <v/>
      </c>
      <c r="C129" t="str">
        <f t="shared" si="27"/>
        <v/>
      </c>
      <c r="R129" s="20" t="str">
        <f t="shared" si="22"/>
        <v/>
      </c>
      <c r="S129" s="40" t="str">
        <f t="shared" si="23"/>
        <v/>
      </c>
      <c r="U129" t="e">
        <f t="shared" si="19"/>
        <v>#N/A</v>
      </c>
      <c r="X129" t="e">
        <f t="shared" si="20"/>
        <v>#N/A</v>
      </c>
      <c r="Y129" t="e">
        <f t="shared" si="21"/>
        <v>#N/A</v>
      </c>
      <c r="AC129" t="s">
        <v>134</v>
      </c>
      <c r="AD129">
        <v>6309</v>
      </c>
    </row>
    <row r="130" spans="2:30" x14ac:dyDescent="0.3">
      <c r="B130" s="20" t="str">
        <f t="shared" si="26"/>
        <v/>
      </c>
      <c r="C130" t="str">
        <f t="shared" si="27"/>
        <v/>
      </c>
      <c r="R130" s="20" t="str">
        <f t="shared" si="22"/>
        <v/>
      </c>
      <c r="S130" s="40" t="str">
        <f t="shared" si="23"/>
        <v/>
      </c>
      <c r="U130" t="e">
        <f t="shared" si="19"/>
        <v>#N/A</v>
      </c>
      <c r="X130" t="e">
        <f t="shared" si="20"/>
        <v>#N/A</v>
      </c>
      <c r="Y130" t="e">
        <f t="shared" si="21"/>
        <v>#N/A</v>
      </c>
      <c r="AC130" t="s">
        <v>135</v>
      </c>
      <c r="AD130">
        <v>6310</v>
      </c>
    </row>
    <row r="131" spans="2:30" x14ac:dyDescent="0.3">
      <c r="B131" s="20" t="str">
        <f t="shared" si="26"/>
        <v/>
      </c>
      <c r="C131" t="str">
        <f t="shared" si="27"/>
        <v/>
      </c>
      <c r="R131" s="20" t="str">
        <f t="shared" si="22"/>
        <v/>
      </c>
      <c r="S131" s="40" t="str">
        <f t="shared" si="23"/>
        <v/>
      </c>
      <c r="U131" t="e">
        <f t="shared" si="19"/>
        <v>#N/A</v>
      </c>
      <c r="X131" t="e">
        <f t="shared" si="20"/>
        <v>#N/A</v>
      </c>
      <c r="Y131" t="e">
        <f t="shared" si="21"/>
        <v>#N/A</v>
      </c>
      <c r="AC131" t="s">
        <v>136</v>
      </c>
      <c r="AD131">
        <v>7101</v>
      </c>
    </row>
    <row r="132" spans="2:30" x14ac:dyDescent="0.3">
      <c r="B132" s="20" t="str">
        <f t="shared" si="26"/>
        <v/>
      </c>
      <c r="C132" t="str">
        <f t="shared" si="27"/>
        <v/>
      </c>
      <c r="R132" s="20" t="str">
        <f t="shared" si="22"/>
        <v/>
      </c>
      <c r="S132" s="40" t="str">
        <f t="shared" si="23"/>
        <v/>
      </c>
      <c r="U132" t="e">
        <f t="shared" si="19"/>
        <v>#N/A</v>
      </c>
      <c r="X132" t="e">
        <f t="shared" si="20"/>
        <v>#N/A</v>
      </c>
      <c r="Y132" t="e">
        <f t="shared" si="21"/>
        <v>#N/A</v>
      </c>
      <c r="AC132" t="s">
        <v>137</v>
      </c>
      <c r="AD132">
        <v>7102</v>
      </c>
    </row>
    <row r="133" spans="2:30" x14ac:dyDescent="0.3">
      <c r="B133" s="20" t="str">
        <f t="shared" si="26"/>
        <v/>
      </c>
      <c r="C133" t="str">
        <f t="shared" si="27"/>
        <v/>
      </c>
      <c r="R133" s="20" t="str">
        <f t="shared" si="22"/>
        <v/>
      </c>
      <c r="S133" s="40" t="str">
        <f t="shared" si="23"/>
        <v/>
      </c>
      <c r="U133" t="e">
        <f t="shared" ref="U133:U196" si="28">+VLOOKUP(W133,$J$4:$K$6,2,0)*100000+X133</f>
        <v>#N/A</v>
      </c>
      <c r="X133" t="e">
        <f t="shared" ref="X133:X196" si="29">+VLOOKUP(V133,$AC$3:$AD$364,2,0)</f>
        <v>#N/A</v>
      </c>
      <c r="Y133" t="e">
        <f t="shared" ref="Y133:Y196" si="30">+U133</f>
        <v>#N/A</v>
      </c>
      <c r="AC133" t="s">
        <v>138</v>
      </c>
      <c r="AD133">
        <v>7103</v>
      </c>
    </row>
    <row r="134" spans="2:30" x14ac:dyDescent="0.3">
      <c r="B134" s="20" t="str">
        <f t="shared" si="26"/>
        <v/>
      </c>
      <c r="C134" t="str">
        <f t="shared" si="27"/>
        <v/>
      </c>
      <c r="R134" s="20" t="str">
        <f t="shared" si="22"/>
        <v/>
      </c>
      <c r="S134" s="40" t="str">
        <f t="shared" si="23"/>
        <v/>
      </c>
      <c r="U134" t="e">
        <f t="shared" si="28"/>
        <v>#N/A</v>
      </c>
      <c r="X134" t="e">
        <f t="shared" si="29"/>
        <v>#N/A</v>
      </c>
      <c r="Y134" t="e">
        <f t="shared" si="30"/>
        <v>#N/A</v>
      </c>
      <c r="AC134" t="s">
        <v>139</v>
      </c>
      <c r="AD134">
        <v>7104</v>
      </c>
    </row>
    <row r="135" spans="2:30" x14ac:dyDescent="0.3">
      <c r="B135" s="20" t="str">
        <f t="shared" si="26"/>
        <v/>
      </c>
      <c r="C135" t="str">
        <f t="shared" si="27"/>
        <v/>
      </c>
      <c r="R135" s="20" t="str">
        <f t="shared" ref="R135:R198" si="31">+IF(Q135="","",R134+1)</f>
        <v/>
      </c>
      <c r="S135" s="40" t="str">
        <f t="shared" ref="S135:S198" si="32">+IF(Q135="","","M-"&amp;$B$1+R135)</f>
        <v/>
      </c>
      <c r="U135" t="e">
        <f t="shared" si="28"/>
        <v>#N/A</v>
      </c>
      <c r="X135" t="e">
        <f t="shared" si="29"/>
        <v>#N/A</v>
      </c>
      <c r="Y135" t="e">
        <f t="shared" si="30"/>
        <v>#N/A</v>
      </c>
      <c r="AC135" t="s">
        <v>27</v>
      </c>
      <c r="AD135">
        <v>7105</v>
      </c>
    </row>
    <row r="136" spans="2:30" x14ac:dyDescent="0.3">
      <c r="B136" s="20" t="str">
        <f t="shared" si="26"/>
        <v/>
      </c>
      <c r="C136" t="str">
        <f t="shared" si="27"/>
        <v/>
      </c>
      <c r="R136" s="20" t="str">
        <f t="shared" si="31"/>
        <v/>
      </c>
      <c r="S136" s="40" t="str">
        <f t="shared" si="32"/>
        <v/>
      </c>
      <c r="U136" t="e">
        <f t="shared" si="28"/>
        <v>#N/A</v>
      </c>
      <c r="X136" t="e">
        <f t="shared" si="29"/>
        <v>#N/A</v>
      </c>
      <c r="Y136" t="e">
        <f t="shared" si="30"/>
        <v>#N/A</v>
      </c>
      <c r="AC136" t="s">
        <v>140</v>
      </c>
      <c r="AD136">
        <v>7106</v>
      </c>
    </row>
    <row r="137" spans="2:30" x14ac:dyDescent="0.3">
      <c r="B137" s="20" t="str">
        <f t="shared" si="26"/>
        <v/>
      </c>
      <c r="C137" t="str">
        <f t="shared" si="27"/>
        <v/>
      </c>
      <c r="R137" s="20" t="str">
        <f t="shared" si="31"/>
        <v/>
      </c>
      <c r="S137" s="40" t="str">
        <f t="shared" si="32"/>
        <v/>
      </c>
      <c r="U137" t="e">
        <f t="shared" si="28"/>
        <v>#N/A</v>
      </c>
      <c r="X137" t="e">
        <f t="shared" si="29"/>
        <v>#N/A</v>
      </c>
      <c r="Y137" t="e">
        <f t="shared" si="30"/>
        <v>#N/A</v>
      </c>
      <c r="AC137" t="s">
        <v>141</v>
      </c>
      <c r="AD137">
        <v>7107</v>
      </c>
    </row>
    <row r="138" spans="2:30" x14ac:dyDescent="0.3">
      <c r="B138" s="20" t="str">
        <f t="shared" si="26"/>
        <v/>
      </c>
      <c r="C138" t="str">
        <f t="shared" si="27"/>
        <v/>
      </c>
      <c r="R138" s="20" t="str">
        <f t="shared" si="31"/>
        <v/>
      </c>
      <c r="S138" s="40" t="str">
        <f t="shared" si="32"/>
        <v/>
      </c>
      <c r="U138" t="e">
        <f t="shared" si="28"/>
        <v>#N/A</v>
      </c>
      <c r="X138" t="e">
        <f t="shared" si="29"/>
        <v>#N/A</v>
      </c>
      <c r="Y138" t="e">
        <f t="shared" si="30"/>
        <v>#N/A</v>
      </c>
      <c r="AC138" t="s">
        <v>142</v>
      </c>
      <c r="AD138">
        <v>7108</v>
      </c>
    </row>
    <row r="139" spans="2:30" x14ac:dyDescent="0.3">
      <c r="B139" s="20" t="str">
        <f t="shared" si="26"/>
        <v/>
      </c>
      <c r="C139" t="str">
        <f t="shared" si="27"/>
        <v/>
      </c>
      <c r="R139" s="20" t="str">
        <f t="shared" si="31"/>
        <v/>
      </c>
      <c r="S139" s="40" t="str">
        <f t="shared" si="32"/>
        <v/>
      </c>
      <c r="U139" t="e">
        <f t="shared" si="28"/>
        <v>#N/A</v>
      </c>
      <c r="X139" t="e">
        <f t="shared" si="29"/>
        <v>#N/A</v>
      </c>
      <c r="Y139" t="e">
        <f t="shared" si="30"/>
        <v>#N/A</v>
      </c>
      <c r="AC139" t="s">
        <v>143</v>
      </c>
      <c r="AD139">
        <v>7109</v>
      </c>
    </row>
    <row r="140" spans="2:30" x14ac:dyDescent="0.3">
      <c r="B140" s="20" t="str">
        <f t="shared" si="26"/>
        <v/>
      </c>
      <c r="C140" t="str">
        <f t="shared" si="27"/>
        <v/>
      </c>
      <c r="R140" s="20" t="str">
        <f t="shared" si="31"/>
        <v/>
      </c>
      <c r="S140" s="40" t="str">
        <f t="shared" si="32"/>
        <v/>
      </c>
      <c r="U140" t="e">
        <f t="shared" si="28"/>
        <v>#N/A</v>
      </c>
      <c r="X140" t="e">
        <f t="shared" si="29"/>
        <v>#N/A</v>
      </c>
      <c r="Y140" t="e">
        <f t="shared" si="30"/>
        <v>#N/A</v>
      </c>
      <c r="AC140" t="s">
        <v>144</v>
      </c>
      <c r="AD140">
        <v>7110</v>
      </c>
    </row>
    <row r="141" spans="2:30" x14ac:dyDescent="0.3">
      <c r="B141" s="20" t="str">
        <f t="shared" si="26"/>
        <v/>
      </c>
      <c r="C141" t="str">
        <f t="shared" si="27"/>
        <v/>
      </c>
      <c r="R141" s="20" t="str">
        <f t="shared" si="31"/>
        <v/>
      </c>
      <c r="S141" s="40" t="str">
        <f t="shared" si="32"/>
        <v/>
      </c>
      <c r="U141" t="e">
        <f t="shared" si="28"/>
        <v>#N/A</v>
      </c>
      <c r="X141" t="e">
        <f t="shared" si="29"/>
        <v>#N/A</v>
      </c>
      <c r="Y141" t="e">
        <f t="shared" si="30"/>
        <v>#N/A</v>
      </c>
      <c r="AC141" t="s">
        <v>145</v>
      </c>
      <c r="AD141">
        <v>7201</v>
      </c>
    </row>
    <row r="142" spans="2:30" x14ac:dyDescent="0.3">
      <c r="B142" s="20" t="str">
        <f t="shared" ref="B142:B173" si="33">+IF(A142="","",B141+1)</f>
        <v/>
      </c>
      <c r="C142" t="str">
        <f t="shared" ref="C142:C173" si="34">+IF(A142="","","T-"&amp;$B$1+B142)</f>
        <v/>
      </c>
      <c r="R142" s="20" t="str">
        <f t="shared" si="31"/>
        <v/>
      </c>
      <c r="S142" s="40" t="str">
        <f t="shared" si="32"/>
        <v/>
      </c>
      <c r="U142" t="e">
        <f t="shared" si="28"/>
        <v>#N/A</v>
      </c>
      <c r="X142" t="e">
        <f t="shared" si="29"/>
        <v>#N/A</v>
      </c>
      <c r="Y142" t="e">
        <f t="shared" si="30"/>
        <v>#N/A</v>
      </c>
      <c r="AC142" t="s">
        <v>146</v>
      </c>
      <c r="AD142">
        <v>7202</v>
      </c>
    </row>
    <row r="143" spans="2:30" x14ac:dyDescent="0.3">
      <c r="B143" s="20" t="str">
        <f t="shared" si="33"/>
        <v/>
      </c>
      <c r="C143" t="str">
        <f t="shared" si="34"/>
        <v/>
      </c>
      <c r="R143" s="20" t="str">
        <f t="shared" si="31"/>
        <v/>
      </c>
      <c r="S143" s="40" t="str">
        <f t="shared" si="32"/>
        <v/>
      </c>
      <c r="U143" t="e">
        <f t="shared" si="28"/>
        <v>#N/A</v>
      </c>
      <c r="X143" t="e">
        <f t="shared" si="29"/>
        <v>#N/A</v>
      </c>
      <c r="Y143" t="e">
        <f t="shared" si="30"/>
        <v>#N/A</v>
      </c>
      <c r="AC143" t="s">
        <v>147</v>
      </c>
      <c r="AD143">
        <v>7203</v>
      </c>
    </row>
    <row r="144" spans="2:30" x14ac:dyDescent="0.3">
      <c r="B144" s="20" t="str">
        <f t="shared" si="33"/>
        <v/>
      </c>
      <c r="C144" t="str">
        <f t="shared" si="34"/>
        <v/>
      </c>
      <c r="R144" s="20" t="str">
        <f t="shared" si="31"/>
        <v/>
      </c>
      <c r="S144" s="40" t="str">
        <f t="shared" si="32"/>
        <v/>
      </c>
      <c r="U144" t="e">
        <f t="shared" si="28"/>
        <v>#N/A</v>
      </c>
      <c r="X144" t="e">
        <f t="shared" si="29"/>
        <v>#N/A</v>
      </c>
      <c r="Y144" t="e">
        <f t="shared" si="30"/>
        <v>#N/A</v>
      </c>
      <c r="AC144" t="s">
        <v>148</v>
      </c>
      <c r="AD144">
        <v>7301</v>
      </c>
    </row>
    <row r="145" spans="2:30" x14ac:dyDescent="0.3">
      <c r="B145" s="20" t="str">
        <f t="shared" si="33"/>
        <v/>
      </c>
      <c r="C145" t="str">
        <f t="shared" si="34"/>
        <v/>
      </c>
      <c r="R145" s="20" t="str">
        <f t="shared" si="31"/>
        <v/>
      </c>
      <c r="S145" s="40" t="str">
        <f t="shared" si="32"/>
        <v/>
      </c>
      <c r="U145" t="e">
        <f t="shared" si="28"/>
        <v>#N/A</v>
      </c>
      <c r="X145" t="e">
        <f t="shared" si="29"/>
        <v>#N/A</v>
      </c>
      <c r="Y145" t="e">
        <f t="shared" si="30"/>
        <v>#N/A</v>
      </c>
      <c r="AC145" t="s">
        <v>149</v>
      </c>
      <c r="AD145">
        <v>7302</v>
      </c>
    </row>
    <row r="146" spans="2:30" x14ac:dyDescent="0.3">
      <c r="B146" s="20" t="str">
        <f t="shared" si="33"/>
        <v/>
      </c>
      <c r="C146" t="str">
        <f t="shared" si="34"/>
        <v/>
      </c>
      <c r="R146" s="20" t="str">
        <f t="shared" si="31"/>
        <v/>
      </c>
      <c r="S146" s="40" t="str">
        <f t="shared" si="32"/>
        <v/>
      </c>
      <c r="U146" t="e">
        <f t="shared" si="28"/>
        <v>#N/A</v>
      </c>
      <c r="X146" t="e">
        <f t="shared" si="29"/>
        <v>#N/A</v>
      </c>
      <c r="Y146" t="e">
        <f t="shared" si="30"/>
        <v>#N/A</v>
      </c>
      <c r="AC146" t="s">
        <v>150</v>
      </c>
      <c r="AD146">
        <v>7303</v>
      </c>
    </row>
    <row r="147" spans="2:30" x14ac:dyDescent="0.3">
      <c r="B147" s="20" t="str">
        <f t="shared" si="33"/>
        <v/>
      </c>
      <c r="C147" t="str">
        <f t="shared" si="34"/>
        <v/>
      </c>
      <c r="R147" s="20" t="str">
        <f t="shared" si="31"/>
        <v/>
      </c>
      <c r="S147" s="40" t="str">
        <f t="shared" si="32"/>
        <v/>
      </c>
      <c r="U147" t="e">
        <f t="shared" si="28"/>
        <v>#N/A</v>
      </c>
      <c r="X147" t="e">
        <f t="shared" si="29"/>
        <v>#N/A</v>
      </c>
      <c r="Y147" t="e">
        <f t="shared" si="30"/>
        <v>#N/A</v>
      </c>
      <c r="AC147" t="s">
        <v>151</v>
      </c>
      <c r="AD147">
        <v>7304</v>
      </c>
    </row>
    <row r="148" spans="2:30" x14ac:dyDescent="0.3">
      <c r="B148" s="20" t="str">
        <f t="shared" si="33"/>
        <v/>
      </c>
      <c r="C148" t="str">
        <f t="shared" si="34"/>
        <v/>
      </c>
      <c r="R148" s="20" t="str">
        <f t="shared" si="31"/>
        <v/>
      </c>
      <c r="S148" s="40" t="str">
        <f t="shared" si="32"/>
        <v/>
      </c>
      <c r="U148" t="e">
        <f t="shared" si="28"/>
        <v>#N/A</v>
      </c>
      <c r="X148" t="e">
        <f t="shared" si="29"/>
        <v>#N/A</v>
      </c>
      <c r="Y148" t="e">
        <f t="shared" si="30"/>
        <v>#N/A</v>
      </c>
      <c r="AC148" t="s">
        <v>152</v>
      </c>
      <c r="AD148">
        <v>7305</v>
      </c>
    </row>
    <row r="149" spans="2:30" x14ac:dyDescent="0.3">
      <c r="B149" s="20" t="str">
        <f t="shared" si="33"/>
        <v/>
      </c>
      <c r="C149" t="str">
        <f t="shared" si="34"/>
        <v/>
      </c>
      <c r="R149" s="20" t="str">
        <f t="shared" si="31"/>
        <v/>
      </c>
      <c r="S149" s="40" t="str">
        <f t="shared" si="32"/>
        <v/>
      </c>
      <c r="U149" t="e">
        <f t="shared" si="28"/>
        <v>#N/A</v>
      </c>
      <c r="X149" t="e">
        <f t="shared" si="29"/>
        <v>#N/A</v>
      </c>
      <c r="Y149" t="e">
        <f t="shared" si="30"/>
        <v>#N/A</v>
      </c>
      <c r="AC149" t="s">
        <v>153</v>
      </c>
      <c r="AD149">
        <v>7306</v>
      </c>
    </row>
    <row r="150" spans="2:30" x14ac:dyDescent="0.3">
      <c r="B150" s="20" t="str">
        <f t="shared" si="33"/>
        <v/>
      </c>
      <c r="C150" t="str">
        <f t="shared" si="34"/>
        <v/>
      </c>
      <c r="R150" s="20" t="str">
        <f t="shared" si="31"/>
        <v/>
      </c>
      <c r="S150" s="40" t="str">
        <f t="shared" si="32"/>
        <v/>
      </c>
      <c r="U150" t="e">
        <f t="shared" si="28"/>
        <v>#N/A</v>
      </c>
      <c r="X150" t="e">
        <f t="shared" si="29"/>
        <v>#N/A</v>
      </c>
      <c r="Y150" t="e">
        <f t="shared" si="30"/>
        <v>#N/A</v>
      </c>
      <c r="AC150" t="s">
        <v>154</v>
      </c>
      <c r="AD150">
        <v>7307</v>
      </c>
    </row>
    <row r="151" spans="2:30" x14ac:dyDescent="0.3">
      <c r="B151" s="20" t="str">
        <f t="shared" si="33"/>
        <v/>
      </c>
      <c r="C151" t="str">
        <f t="shared" si="34"/>
        <v/>
      </c>
      <c r="R151" s="20" t="str">
        <f t="shared" si="31"/>
        <v/>
      </c>
      <c r="S151" s="40" t="str">
        <f t="shared" si="32"/>
        <v/>
      </c>
      <c r="U151" t="e">
        <f t="shared" si="28"/>
        <v>#N/A</v>
      </c>
      <c r="X151" t="e">
        <f t="shared" si="29"/>
        <v>#N/A</v>
      </c>
      <c r="Y151" t="e">
        <f t="shared" si="30"/>
        <v>#N/A</v>
      </c>
      <c r="AC151" t="s">
        <v>155</v>
      </c>
      <c r="AD151">
        <v>7308</v>
      </c>
    </row>
    <row r="152" spans="2:30" x14ac:dyDescent="0.3">
      <c r="B152" s="20" t="str">
        <f t="shared" si="33"/>
        <v/>
      </c>
      <c r="C152" t="str">
        <f t="shared" si="34"/>
        <v/>
      </c>
      <c r="R152" s="20" t="str">
        <f t="shared" si="31"/>
        <v/>
      </c>
      <c r="S152" s="40" t="str">
        <f t="shared" si="32"/>
        <v/>
      </c>
      <c r="U152" t="e">
        <f t="shared" si="28"/>
        <v>#N/A</v>
      </c>
      <c r="X152" t="e">
        <f t="shared" si="29"/>
        <v>#N/A</v>
      </c>
      <c r="Y152" t="e">
        <f t="shared" si="30"/>
        <v>#N/A</v>
      </c>
      <c r="AC152" t="s">
        <v>156</v>
      </c>
      <c r="AD152">
        <v>7309</v>
      </c>
    </row>
    <row r="153" spans="2:30" x14ac:dyDescent="0.3">
      <c r="B153" s="20" t="str">
        <f t="shared" si="33"/>
        <v/>
      </c>
      <c r="C153" t="str">
        <f t="shared" si="34"/>
        <v/>
      </c>
      <c r="R153" s="20" t="str">
        <f t="shared" si="31"/>
        <v/>
      </c>
      <c r="S153" s="40" t="str">
        <f t="shared" si="32"/>
        <v/>
      </c>
      <c r="U153" t="e">
        <f t="shared" si="28"/>
        <v>#N/A</v>
      </c>
      <c r="X153" t="e">
        <f t="shared" si="29"/>
        <v>#N/A</v>
      </c>
      <c r="Y153" t="e">
        <f t="shared" si="30"/>
        <v>#N/A</v>
      </c>
      <c r="AC153" t="s">
        <v>157</v>
      </c>
      <c r="AD153">
        <v>7401</v>
      </c>
    </row>
    <row r="154" spans="2:30" x14ac:dyDescent="0.3">
      <c r="B154" s="20" t="str">
        <f t="shared" si="33"/>
        <v/>
      </c>
      <c r="C154" t="str">
        <f t="shared" si="34"/>
        <v/>
      </c>
      <c r="R154" s="20" t="str">
        <f t="shared" si="31"/>
        <v/>
      </c>
      <c r="S154" s="40" t="str">
        <f t="shared" si="32"/>
        <v/>
      </c>
      <c r="U154" t="e">
        <f t="shared" si="28"/>
        <v>#N/A</v>
      </c>
      <c r="X154" t="e">
        <f t="shared" si="29"/>
        <v>#N/A</v>
      </c>
      <c r="Y154" t="e">
        <f t="shared" si="30"/>
        <v>#N/A</v>
      </c>
      <c r="AC154" t="s">
        <v>158</v>
      </c>
      <c r="AD154">
        <v>7402</v>
      </c>
    </row>
    <row r="155" spans="2:30" x14ac:dyDescent="0.3">
      <c r="B155" s="20" t="str">
        <f t="shared" si="33"/>
        <v/>
      </c>
      <c r="C155" t="str">
        <f t="shared" si="34"/>
        <v/>
      </c>
      <c r="R155" s="20" t="str">
        <f t="shared" si="31"/>
        <v/>
      </c>
      <c r="S155" s="40" t="str">
        <f t="shared" si="32"/>
        <v/>
      </c>
      <c r="U155" t="e">
        <f t="shared" si="28"/>
        <v>#N/A</v>
      </c>
      <c r="X155" t="e">
        <f t="shared" si="29"/>
        <v>#N/A</v>
      </c>
      <c r="Y155" t="e">
        <f t="shared" si="30"/>
        <v>#N/A</v>
      </c>
      <c r="AC155" t="s">
        <v>159</v>
      </c>
      <c r="AD155">
        <v>7403</v>
      </c>
    </row>
    <row r="156" spans="2:30" x14ac:dyDescent="0.3">
      <c r="B156" s="20" t="str">
        <f t="shared" si="33"/>
        <v/>
      </c>
      <c r="C156" t="str">
        <f t="shared" si="34"/>
        <v/>
      </c>
      <c r="R156" s="20" t="str">
        <f t="shared" si="31"/>
        <v/>
      </c>
      <c r="S156" s="40" t="str">
        <f t="shared" si="32"/>
        <v/>
      </c>
      <c r="U156" t="e">
        <f t="shared" si="28"/>
        <v>#N/A</v>
      </c>
      <c r="X156" t="e">
        <f t="shared" si="29"/>
        <v>#N/A</v>
      </c>
      <c r="Y156" t="e">
        <f t="shared" si="30"/>
        <v>#N/A</v>
      </c>
      <c r="AC156" t="s">
        <v>160</v>
      </c>
      <c r="AD156">
        <v>7404</v>
      </c>
    </row>
    <row r="157" spans="2:30" x14ac:dyDescent="0.3">
      <c r="B157" s="20" t="str">
        <f t="shared" si="33"/>
        <v/>
      </c>
      <c r="C157" t="str">
        <f t="shared" si="34"/>
        <v/>
      </c>
      <c r="R157" s="20" t="str">
        <f t="shared" si="31"/>
        <v/>
      </c>
      <c r="S157" s="40" t="str">
        <f t="shared" si="32"/>
        <v/>
      </c>
      <c r="U157" t="e">
        <f t="shared" si="28"/>
        <v>#N/A</v>
      </c>
      <c r="X157" t="e">
        <f t="shared" si="29"/>
        <v>#N/A</v>
      </c>
      <c r="Y157" t="e">
        <f t="shared" si="30"/>
        <v>#N/A</v>
      </c>
      <c r="AC157" t="s">
        <v>161</v>
      </c>
      <c r="AD157">
        <v>7405</v>
      </c>
    </row>
    <row r="158" spans="2:30" x14ac:dyDescent="0.3">
      <c r="B158" s="20" t="str">
        <f t="shared" si="33"/>
        <v/>
      </c>
      <c r="C158" t="str">
        <f t="shared" si="34"/>
        <v/>
      </c>
      <c r="R158" s="20" t="str">
        <f t="shared" si="31"/>
        <v/>
      </c>
      <c r="S158" s="40" t="str">
        <f t="shared" si="32"/>
        <v/>
      </c>
      <c r="U158" t="e">
        <f t="shared" si="28"/>
        <v>#N/A</v>
      </c>
      <c r="X158" t="e">
        <f t="shared" si="29"/>
        <v>#N/A</v>
      </c>
      <c r="Y158" t="e">
        <f t="shared" si="30"/>
        <v>#N/A</v>
      </c>
      <c r="AC158" t="s">
        <v>162</v>
      </c>
      <c r="AD158">
        <v>7406</v>
      </c>
    </row>
    <row r="159" spans="2:30" x14ac:dyDescent="0.3">
      <c r="B159" s="20" t="str">
        <f t="shared" si="33"/>
        <v/>
      </c>
      <c r="C159" t="str">
        <f t="shared" si="34"/>
        <v/>
      </c>
      <c r="R159" s="20" t="str">
        <f t="shared" si="31"/>
        <v/>
      </c>
      <c r="S159" s="40" t="str">
        <f t="shared" si="32"/>
        <v/>
      </c>
      <c r="U159" t="e">
        <f t="shared" si="28"/>
        <v>#N/A</v>
      </c>
      <c r="X159" t="e">
        <f t="shared" si="29"/>
        <v>#N/A</v>
      </c>
      <c r="Y159" t="e">
        <f t="shared" si="30"/>
        <v>#N/A</v>
      </c>
      <c r="AC159" t="s">
        <v>163</v>
      </c>
      <c r="AD159">
        <v>7407</v>
      </c>
    </row>
    <row r="160" spans="2:30" x14ac:dyDescent="0.3">
      <c r="B160" s="20" t="str">
        <f t="shared" si="33"/>
        <v/>
      </c>
      <c r="C160" t="str">
        <f t="shared" si="34"/>
        <v/>
      </c>
      <c r="R160" s="20" t="str">
        <f t="shared" si="31"/>
        <v/>
      </c>
      <c r="S160" s="40" t="str">
        <f t="shared" si="32"/>
        <v/>
      </c>
      <c r="U160" t="e">
        <f t="shared" si="28"/>
        <v>#N/A</v>
      </c>
      <c r="X160" t="e">
        <f t="shared" si="29"/>
        <v>#N/A</v>
      </c>
      <c r="Y160" t="e">
        <f t="shared" si="30"/>
        <v>#N/A</v>
      </c>
      <c r="AC160" t="s">
        <v>164</v>
      </c>
      <c r="AD160">
        <v>7408</v>
      </c>
    </row>
    <row r="161" spans="2:30" x14ac:dyDescent="0.3">
      <c r="B161" s="20" t="str">
        <f t="shared" si="33"/>
        <v/>
      </c>
      <c r="C161" t="str">
        <f t="shared" si="34"/>
        <v/>
      </c>
      <c r="R161" s="20" t="str">
        <f t="shared" si="31"/>
        <v/>
      </c>
      <c r="S161" s="40" t="str">
        <f t="shared" si="32"/>
        <v/>
      </c>
      <c r="U161" t="e">
        <f t="shared" si="28"/>
        <v>#N/A</v>
      </c>
      <c r="X161" t="e">
        <f t="shared" si="29"/>
        <v>#N/A</v>
      </c>
      <c r="Y161" t="e">
        <f t="shared" si="30"/>
        <v>#N/A</v>
      </c>
      <c r="AC161" t="s">
        <v>165</v>
      </c>
      <c r="AD161">
        <v>8101</v>
      </c>
    </row>
    <row r="162" spans="2:30" x14ac:dyDescent="0.3">
      <c r="B162" s="20" t="str">
        <f t="shared" si="33"/>
        <v/>
      </c>
      <c r="C162" t="str">
        <f t="shared" si="34"/>
        <v/>
      </c>
      <c r="R162" s="20" t="str">
        <f t="shared" si="31"/>
        <v/>
      </c>
      <c r="S162" s="40" t="str">
        <f t="shared" si="32"/>
        <v/>
      </c>
      <c r="U162" t="e">
        <f t="shared" si="28"/>
        <v>#N/A</v>
      </c>
      <c r="X162" t="e">
        <f t="shared" si="29"/>
        <v>#N/A</v>
      </c>
      <c r="Y162" t="e">
        <f t="shared" si="30"/>
        <v>#N/A</v>
      </c>
      <c r="AC162" t="s">
        <v>166</v>
      </c>
      <c r="AD162">
        <v>8102</v>
      </c>
    </row>
    <row r="163" spans="2:30" x14ac:dyDescent="0.3">
      <c r="B163" s="20" t="str">
        <f t="shared" si="33"/>
        <v/>
      </c>
      <c r="C163" t="str">
        <f t="shared" si="34"/>
        <v/>
      </c>
      <c r="R163" s="20" t="str">
        <f t="shared" si="31"/>
        <v/>
      </c>
      <c r="S163" s="40" t="str">
        <f t="shared" si="32"/>
        <v/>
      </c>
      <c r="U163" t="e">
        <f t="shared" si="28"/>
        <v>#N/A</v>
      </c>
      <c r="X163" t="e">
        <f t="shared" si="29"/>
        <v>#N/A</v>
      </c>
      <c r="Y163" t="e">
        <f t="shared" si="30"/>
        <v>#N/A</v>
      </c>
      <c r="AC163" t="s">
        <v>167</v>
      </c>
      <c r="AD163">
        <v>8103</v>
      </c>
    </row>
    <row r="164" spans="2:30" x14ac:dyDescent="0.3">
      <c r="B164" s="20" t="str">
        <f t="shared" si="33"/>
        <v/>
      </c>
      <c r="C164" t="str">
        <f t="shared" si="34"/>
        <v/>
      </c>
      <c r="R164" s="20" t="str">
        <f t="shared" si="31"/>
        <v/>
      </c>
      <c r="S164" s="40" t="str">
        <f t="shared" si="32"/>
        <v/>
      </c>
      <c r="U164" t="e">
        <f t="shared" si="28"/>
        <v>#N/A</v>
      </c>
      <c r="X164" t="e">
        <f t="shared" si="29"/>
        <v>#N/A</v>
      </c>
      <c r="Y164" t="e">
        <f t="shared" si="30"/>
        <v>#N/A</v>
      </c>
      <c r="AC164" t="s">
        <v>168</v>
      </c>
      <c r="AD164">
        <v>8104</v>
      </c>
    </row>
    <row r="165" spans="2:30" x14ac:dyDescent="0.3">
      <c r="B165" s="20" t="str">
        <f t="shared" si="33"/>
        <v/>
      </c>
      <c r="C165" t="str">
        <f t="shared" si="34"/>
        <v/>
      </c>
      <c r="R165" s="20" t="str">
        <f t="shared" si="31"/>
        <v/>
      </c>
      <c r="S165" s="40" t="str">
        <f t="shared" si="32"/>
        <v/>
      </c>
      <c r="U165" t="e">
        <f t="shared" si="28"/>
        <v>#N/A</v>
      </c>
      <c r="X165" t="e">
        <f t="shared" si="29"/>
        <v>#N/A</v>
      </c>
      <c r="Y165" t="e">
        <f t="shared" si="30"/>
        <v>#N/A</v>
      </c>
      <c r="AC165" t="s">
        <v>169</v>
      </c>
      <c r="AD165">
        <v>8105</v>
      </c>
    </row>
    <row r="166" spans="2:30" x14ac:dyDescent="0.3">
      <c r="B166" s="20" t="str">
        <f t="shared" si="33"/>
        <v/>
      </c>
      <c r="C166" t="str">
        <f t="shared" si="34"/>
        <v/>
      </c>
      <c r="R166" s="20" t="str">
        <f t="shared" si="31"/>
        <v/>
      </c>
      <c r="S166" s="40" t="str">
        <f t="shared" si="32"/>
        <v/>
      </c>
      <c r="U166" t="e">
        <f t="shared" si="28"/>
        <v>#N/A</v>
      </c>
      <c r="X166" t="e">
        <f t="shared" si="29"/>
        <v>#N/A</v>
      </c>
      <c r="Y166" t="e">
        <f t="shared" si="30"/>
        <v>#N/A</v>
      </c>
      <c r="AC166" t="s">
        <v>170</v>
      </c>
      <c r="AD166">
        <v>8106</v>
      </c>
    </row>
    <row r="167" spans="2:30" x14ac:dyDescent="0.3">
      <c r="B167" s="20" t="str">
        <f t="shared" si="33"/>
        <v/>
      </c>
      <c r="C167" t="str">
        <f t="shared" si="34"/>
        <v/>
      </c>
      <c r="R167" s="20" t="str">
        <f t="shared" si="31"/>
        <v/>
      </c>
      <c r="S167" s="40" t="str">
        <f t="shared" si="32"/>
        <v/>
      </c>
      <c r="U167" t="e">
        <f t="shared" si="28"/>
        <v>#N/A</v>
      </c>
      <c r="X167" t="e">
        <f t="shared" si="29"/>
        <v>#N/A</v>
      </c>
      <c r="Y167" t="e">
        <f t="shared" si="30"/>
        <v>#N/A</v>
      </c>
      <c r="AC167" t="s">
        <v>171</v>
      </c>
      <c r="AD167">
        <v>8107</v>
      </c>
    </row>
    <row r="168" spans="2:30" x14ac:dyDescent="0.3">
      <c r="B168" s="20" t="str">
        <f t="shared" si="33"/>
        <v/>
      </c>
      <c r="C168" t="str">
        <f t="shared" si="34"/>
        <v/>
      </c>
      <c r="R168" s="20" t="str">
        <f t="shared" si="31"/>
        <v/>
      </c>
      <c r="S168" s="40" t="str">
        <f t="shared" si="32"/>
        <v/>
      </c>
      <c r="U168" t="e">
        <f t="shared" si="28"/>
        <v>#N/A</v>
      </c>
      <c r="X168" t="e">
        <f t="shared" si="29"/>
        <v>#N/A</v>
      </c>
      <c r="Y168" t="e">
        <f t="shared" si="30"/>
        <v>#N/A</v>
      </c>
      <c r="AC168" t="s">
        <v>172</v>
      </c>
      <c r="AD168">
        <v>8108</v>
      </c>
    </row>
    <row r="169" spans="2:30" x14ac:dyDescent="0.3">
      <c r="B169" s="20" t="str">
        <f t="shared" si="33"/>
        <v/>
      </c>
      <c r="C169" t="str">
        <f t="shared" si="34"/>
        <v/>
      </c>
      <c r="R169" s="20" t="str">
        <f t="shared" si="31"/>
        <v/>
      </c>
      <c r="S169" s="40" t="str">
        <f t="shared" si="32"/>
        <v/>
      </c>
      <c r="U169" t="e">
        <f t="shared" si="28"/>
        <v>#N/A</v>
      </c>
      <c r="X169" t="e">
        <f t="shared" si="29"/>
        <v>#N/A</v>
      </c>
      <c r="Y169" t="e">
        <f t="shared" si="30"/>
        <v>#N/A</v>
      </c>
      <c r="AC169" t="s">
        <v>173</v>
      </c>
      <c r="AD169">
        <v>8109</v>
      </c>
    </row>
    <row r="170" spans="2:30" x14ac:dyDescent="0.3">
      <c r="B170" s="20" t="str">
        <f t="shared" si="33"/>
        <v/>
      </c>
      <c r="C170" t="str">
        <f t="shared" si="34"/>
        <v/>
      </c>
      <c r="R170" s="20" t="str">
        <f t="shared" si="31"/>
        <v/>
      </c>
      <c r="S170" s="40" t="str">
        <f t="shared" si="32"/>
        <v/>
      </c>
      <c r="U170" t="e">
        <f t="shared" si="28"/>
        <v>#N/A</v>
      </c>
      <c r="X170" t="e">
        <f t="shared" si="29"/>
        <v>#N/A</v>
      </c>
      <c r="Y170" t="e">
        <f t="shared" si="30"/>
        <v>#N/A</v>
      </c>
      <c r="AC170" t="s">
        <v>174</v>
      </c>
      <c r="AD170">
        <v>8110</v>
      </c>
    </row>
    <row r="171" spans="2:30" x14ac:dyDescent="0.3">
      <c r="B171" s="20" t="str">
        <f t="shared" si="33"/>
        <v/>
      </c>
      <c r="C171" t="str">
        <f t="shared" si="34"/>
        <v/>
      </c>
      <c r="R171" s="20" t="str">
        <f t="shared" si="31"/>
        <v/>
      </c>
      <c r="S171" s="40" t="str">
        <f t="shared" si="32"/>
        <v/>
      </c>
      <c r="U171" t="e">
        <f t="shared" si="28"/>
        <v>#N/A</v>
      </c>
      <c r="X171" t="e">
        <f t="shared" si="29"/>
        <v>#N/A</v>
      </c>
      <c r="Y171" t="e">
        <f t="shared" si="30"/>
        <v>#N/A</v>
      </c>
      <c r="AC171" t="s">
        <v>175</v>
      </c>
      <c r="AD171">
        <v>8111</v>
      </c>
    </row>
    <row r="172" spans="2:30" x14ac:dyDescent="0.3">
      <c r="B172" s="20" t="str">
        <f t="shared" si="33"/>
        <v/>
      </c>
      <c r="C172" t="str">
        <f t="shared" si="34"/>
        <v/>
      </c>
      <c r="R172" s="20" t="str">
        <f t="shared" si="31"/>
        <v/>
      </c>
      <c r="S172" s="40" t="str">
        <f t="shared" si="32"/>
        <v/>
      </c>
      <c r="U172" t="e">
        <f t="shared" si="28"/>
        <v>#N/A</v>
      </c>
      <c r="X172" t="e">
        <f t="shared" si="29"/>
        <v>#N/A</v>
      </c>
      <c r="Y172" t="e">
        <f t="shared" si="30"/>
        <v>#N/A</v>
      </c>
      <c r="AC172" t="s">
        <v>176</v>
      </c>
      <c r="AD172">
        <v>8112</v>
      </c>
    </row>
    <row r="173" spans="2:30" x14ac:dyDescent="0.3">
      <c r="B173" s="20" t="str">
        <f t="shared" si="33"/>
        <v/>
      </c>
      <c r="C173" t="str">
        <f t="shared" si="34"/>
        <v/>
      </c>
      <c r="R173" s="20" t="str">
        <f t="shared" si="31"/>
        <v/>
      </c>
      <c r="S173" s="40" t="str">
        <f t="shared" si="32"/>
        <v/>
      </c>
      <c r="U173" t="e">
        <f t="shared" si="28"/>
        <v>#N/A</v>
      </c>
      <c r="X173" t="e">
        <f t="shared" si="29"/>
        <v>#N/A</v>
      </c>
      <c r="Y173" t="e">
        <f t="shared" si="30"/>
        <v>#N/A</v>
      </c>
      <c r="AC173" t="s">
        <v>177</v>
      </c>
      <c r="AD173">
        <v>8201</v>
      </c>
    </row>
    <row r="174" spans="2:30" x14ac:dyDescent="0.3">
      <c r="R174" s="20" t="str">
        <f t="shared" si="31"/>
        <v/>
      </c>
      <c r="S174" s="40" t="str">
        <f t="shared" si="32"/>
        <v/>
      </c>
      <c r="U174" t="e">
        <f t="shared" si="28"/>
        <v>#N/A</v>
      </c>
      <c r="X174" t="e">
        <f t="shared" si="29"/>
        <v>#N/A</v>
      </c>
      <c r="Y174" t="e">
        <f t="shared" si="30"/>
        <v>#N/A</v>
      </c>
      <c r="AC174" t="s">
        <v>178</v>
      </c>
      <c r="AD174">
        <v>8202</v>
      </c>
    </row>
    <row r="175" spans="2:30" x14ac:dyDescent="0.3">
      <c r="R175" s="20" t="str">
        <f t="shared" si="31"/>
        <v/>
      </c>
      <c r="S175" s="40" t="str">
        <f t="shared" si="32"/>
        <v/>
      </c>
      <c r="U175" t="e">
        <f t="shared" si="28"/>
        <v>#N/A</v>
      </c>
      <c r="X175" t="e">
        <f t="shared" si="29"/>
        <v>#N/A</v>
      </c>
      <c r="Y175" t="e">
        <f t="shared" si="30"/>
        <v>#N/A</v>
      </c>
      <c r="AC175" t="s">
        <v>179</v>
      </c>
      <c r="AD175">
        <v>8203</v>
      </c>
    </row>
    <row r="176" spans="2:30" x14ac:dyDescent="0.3">
      <c r="R176" s="20" t="str">
        <f t="shared" si="31"/>
        <v/>
      </c>
      <c r="S176" s="40" t="str">
        <f t="shared" si="32"/>
        <v/>
      </c>
      <c r="U176" t="e">
        <f t="shared" si="28"/>
        <v>#N/A</v>
      </c>
      <c r="X176" t="e">
        <f t="shared" si="29"/>
        <v>#N/A</v>
      </c>
      <c r="Y176" t="e">
        <f t="shared" si="30"/>
        <v>#N/A</v>
      </c>
      <c r="AC176" t="s">
        <v>180</v>
      </c>
      <c r="AD176">
        <v>8204</v>
      </c>
    </row>
    <row r="177" spans="18:30" x14ac:dyDescent="0.3">
      <c r="R177" s="20" t="str">
        <f t="shared" si="31"/>
        <v/>
      </c>
      <c r="S177" s="40" t="str">
        <f t="shared" si="32"/>
        <v/>
      </c>
      <c r="U177" t="e">
        <f t="shared" si="28"/>
        <v>#N/A</v>
      </c>
      <c r="X177" t="e">
        <f t="shared" si="29"/>
        <v>#N/A</v>
      </c>
      <c r="Y177" t="e">
        <f t="shared" si="30"/>
        <v>#N/A</v>
      </c>
      <c r="AC177" t="s">
        <v>181</v>
      </c>
      <c r="AD177">
        <v>8205</v>
      </c>
    </row>
    <row r="178" spans="18:30" x14ac:dyDescent="0.3">
      <c r="R178" s="20" t="str">
        <f t="shared" si="31"/>
        <v/>
      </c>
      <c r="S178" s="40" t="str">
        <f t="shared" si="32"/>
        <v/>
      </c>
      <c r="U178" t="e">
        <f t="shared" si="28"/>
        <v>#N/A</v>
      </c>
      <c r="X178" t="e">
        <f t="shared" si="29"/>
        <v>#N/A</v>
      </c>
      <c r="Y178" t="e">
        <f t="shared" si="30"/>
        <v>#N/A</v>
      </c>
      <c r="AC178" t="s">
        <v>182</v>
      </c>
      <c r="AD178">
        <v>8206</v>
      </c>
    </row>
    <row r="179" spans="18:30" x14ac:dyDescent="0.3">
      <c r="R179" s="20" t="str">
        <f t="shared" si="31"/>
        <v/>
      </c>
      <c r="S179" s="40" t="str">
        <f t="shared" si="32"/>
        <v/>
      </c>
      <c r="U179" t="e">
        <f t="shared" si="28"/>
        <v>#N/A</v>
      </c>
      <c r="X179" t="e">
        <f t="shared" si="29"/>
        <v>#N/A</v>
      </c>
      <c r="Y179" t="e">
        <f t="shared" si="30"/>
        <v>#N/A</v>
      </c>
      <c r="AC179" t="s">
        <v>183</v>
      </c>
      <c r="AD179">
        <v>8207</v>
      </c>
    </row>
    <row r="180" spans="18:30" x14ac:dyDescent="0.3">
      <c r="R180" s="20" t="str">
        <f t="shared" si="31"/>
        <v/>
      </c>
      <c r="S180" s="40" t="str">
        <f t="shared" si="32"/>
        <v/>
      </c>
      <c r="U180" t="e">
        <f t="shared" si="28"/>
        <v>#N/A</v>
      </c>
      <c r="X180" t="e">
        <f t="shared" si="29"/>
        <v>#N/A</v>
      </c>
      <c r="Y180" t="e">
        <f t="shared" si="30"/>
        <v>#N/A</v>
      </c>
      <c r="AC180" t="s">
        <v>184</v>
      </c>
      <c r="AD180">
        <v>8301</v>
      </c>
    </row>
    <row r="181" spans="18:30" x14ac:dyDescent="0.3">
      <c r="R181" s="20" t="str">
        <f t="shared" si="31"/>
        <v/>
      </c>
      <c r="S181" s="40" t="str">
        <f t="shared" si="32"/>
        <v/>
      </c>
      <c r="U181" t="e">
        <f t="shared" si="28"/>
        <v>#N/A</v>
      </c>
      <c r="X181" t="e">
        <f t="shared" si="29"/>
        <v>#N/A</v>
      </c>
      <c r="Y181" t="e">
        <f t="shared" si="30"/>
        <v>#N/A</v>
      </c>
      <c r="AC181" t="s">
        <v>185</v>
      </c>
      <c r="AD181">
        <v>8302</v>
      </c>
    </row>
    <row r="182" spans="18:30" x14ac:dyDescent="0.3">
      <c r="R182" s="20" t="str">
        <f t="shared" si="31"/>
        <v/>
      </c>
      <c r="S182" s="40" t="str">
        <f t="shared" si="32"/>
        <v/>
      </c>
      <c r="U182" t="e">
        <f t="shared" si="28"/>
        <v>#N/A</v>
      </c>
      <c r="X182" t="e">
        <f t="shared" si="29"/>
        <v>#N/A</v>
      </c>
      <c r="Y182" t="e">
        <f t="shared" si="30"/>
        <v>#N/A</v>
      </c>
      <c r="AC182" t="s">
        <v>186</v>
      </c>
      <c r="AD182">
        <v>8303</v>
      </c>
    </row>
    <row r="183" spans="18:30" x14ac:dyDescent="0.3">
      <c r="R183" s="20" t="str">
        <f t="shared" si="31"/>
        <v/>
      </c>
      <c r="S183" s="40" t="str">
        <f t="shared" si="32"/>
        <v/>
      </c>
      <c r="U183" t="e">
        <f t="shared" si="28"/>
        <v>#N/A</v>
      </c>
      <c r="X183" t="e">
        <f t="shared" si="29"/>
        <v>#N/A</v>
      </c>
      <c r="Y183" t="e">
        <f t="shared" si="30"/>
        <v>#N/A</v>
      </c>
      <c r="AC183" t="s">
        <v>187</v>
      </c>
      <c r="AD183">
        <v>8304</v>
      </c>
    </row>
    <row r="184" spans="18:30" x14ac:dyDescent="0.3">
      <c r="R184" s="20" t="str">
        <f t="shared" si="31"/>
        <v/>
      </c>
      <c r="S184" s="40" t="str">
        <f t="shared" si="32"/>
        <v/>
      </c>
      <c r="U184" t="e">
        <f t="shared" si="28"/>
        <v>#N/A</v>
      </c>
      <c r="X184" t="e">
        <f t="shared" si="29"/>
        <v>#N/A</v>
      </c>
      <c r="Y184" t="e">
        <f t="shared" si="30"/>
        <v>#N/A</v>
      </c>
      <c r="AC184" t="s">
        <v>188</v>
      </c>
      <c r="AD184">
        <v>8305</v>
      </c>
    </row>
    <row r="185" spans="18:30" x14ac:dyDescent="0.3">
      <c r="R185" s="20" t="str">
        <f t="shared" si="31"/>
        <v/>
      </c>
      <c r="S185" s="40" t="str">
        <f t="shared" si="32"/>
        <v/>
      </c>
      <c r="U185" t="e">
        <f t="shared" si="28"/>
        <v>#N/A</v>
      </c>
      <c r="X185" t="e">
        <f t="shared" si="29"/>
        <v>#N/A</v>
      </c>
      <c r="Y185" t="e">
        <f t="shared" si="30"/>
        <v>#N/A</v>
      </c>
      <c r="AC185" t="s">
        <v>189</v>
      </c>
      <c r="AD185">
        <v>8306</v>
      </c>
    </row>
    <row r="186" spans="18:30" x14ac:dyDescent="0.3">
      <c r="R186" s="20" t="str">
        <f t="shared" si="31"/>
        <v/>
      </c>
      <c r="S186" s="40" t="str">
        <f t="shared" si="32"/>
        <v/>
      </c>
      <c r="U186" t="e">
        <f t="shared" si="28"/>
        <v>#N/A</v>
      </c>
      <c r="X186" t="e">
        <f t="shared" si="29"/>
        <v>#N/A</v>
      </c>
      <c r="Y186" t="e">
        <f t="shared" si="30"/>
        <v>#N/A</v>
      </c>
      <c r="AC186" t="s">
        <v>190</v>
      </c>
      <c r="AD186">
        <v>8307</v>
      </c>
    </row>
    <row r="187" spans="18:30" x14ac:dyDescent="0.3">
      <c r="R187" s="20" t="str">
        <f t="shared" si="31"/>
        <v/>
      </c>
      <c r="S187" s="40" t="str">
        <f t="shared" si="32"/>
        <v/>
      </c>
      <c r="U187" t="e">
        <f t="shared" si="28"/>
        <v>#N/A</v>
      </c>
      <c r="X187" t="e">
        <f t="shared" si="29"/>
        <v>#N/A</v>
      </c>
      <c r="Y187" t="e">
        <f t="shared" si="30"/>
        <v>#N/A</v>
      </c>
      <c r="AC187" t="s">
        <v>191</v>
      </c>
      <c r="AD187">
        <v>8308</v>
      </c>
    </row>
    <row r="188" spans="18:30" x14ac:dyDescent="0.3">
      <c r="R188" s="20" t="str">
        <f t="shared" si="31"/>
        <v/>
      </c>
      <c r="S188" s="40" t="str">
        <f t="shared" si="32"/>
        <v/>
      </c>
      <c r="U188" t="e">
        <f t="shared" si="28"/>
        <v>#N/A</v>
      </c>
      <c r="X188" t="e">
        <f t="shared" si="29"/>
        <v>#N/A</v>
      </c>
      <c r="Y188" t="e">
        <f t="shared" si="30"/>
        <v>#N/A</v>
      </c>
      <c r="AC188" t="s">
        <v>192</v>
      </c>
      <c r="AD188">
        <v>8309</v>
      </c>
    </row>
    <row r="189" spans="18:30" x14ac:dyDescent="0.3">
      <c r="R189" s="20" t="str">
        <f t="shared" si="31"/>
        <v/>
      </c>
      <c r="S189" s="40" t="str">
        <f t="shared" si="32"/>
        <v/>
      </c>
      <c r="U189" t="e">
        <f t="shared" si="28"/>
        <v>#N/A</v>
      </c>
      <c r="X189" t="e">
        <f t="shared" si="29"/>
        <v>#N/A</v>
      </c>
      <c r="Y189" t="e">
        <f t="shared" si="30"/>
        <v>#N/A</v>
      </c>
      <c r="AC189" t="s">
        <v>193</v>
      </c>
      <c r="AD189">
        <v>8310</v>
      </c>
    </row>
    <row r="190" spans="18:30" x14ac:dyDescent="0.3">
      <c r="R190" s="20" t="str">
        <f t="shared" si="31"/>
        <v/>
      </c>
      <c r="S190" s="40" t="str">
        <f t="shared" si="32"/>
        <v/>
      </c>
      <c r="U190" t="e">
        <f t="shared" si="28"/>
        <v>#N/A</v>
      </c>
      <c r="X190" t="e">
        <f t="shared" si="29"/>
        <v>#N/A</v>
      </c>
      <c r="Y190" t="e">
        <f t="shared" si="30"/>
        <v>#N/A</v>
      </c>
      <c r="AC190" t="s">
        <v>194</v>
      </c>
      <c r="AD190">
        <v>8311</v>
      </c>
    </row>
    <row r="191" spans="18:30" x14ac:dyDescent="0.3">
      <c r="R191" s="20" t="str">
        <f t="shared" si="31"/>
        <v/>
      </c>
      <c r="S191" s="40" t="str">
        <f t="shared" si="32"/>
        <v/>
      </c>
      <c r="U191" t="e">
        <f t="shared" si="28"/>
        <v>#N/A</v>
      </c>
      <c r="X191" t="e">
        <f t="shared" si="29"/>
        <v>#N/A</v>
      </c>
      <c r="Y191" t="e">
        <f t="shared" si="30"/>
        <v>#N/A</v>
      </c>
      <c r="AC191" t="s">
        <v>195</v>
      </c>
      <c r="AD191">
        <v>8312</v>
      </c>
    </row>
    <row r="192" spans="18:30" x14ac:dyDescent="0.3">
      <c r="R192" s="20" t="str">
        <f t="shared" si="31"/>
        <v/>
      </c>
      <c r="S192" s="40" t="str">
        <f t="shared" si="32"/>
        <v/>
      </c>
      <c r="U192" t="e">
        <f t="shared" si="28"/>
        <v>#N/A</v>
      </c>
      <c r="X192" t="e">
        <f t="shared" si="29"/>
        <v>#N/A</v>
      </c>
      <c r="Y192" t="e">
        <f t="shared" si="30"/>
        <v>#N/A</v>
      </c>
      <c r="AC192" t="s">
        <v>196</v>
      </c>
      <c r="AD192">
        <v>8313</v>
      </c>
    </row>
    <row r="193" spans="18:30" x14ac:dyDescent="0.3">
      <c r="R193" s="20" t="str">
        <f t="shared" si="31"/>
        <v/>
      </c>
      <c r="S193" s="40" t="str">
        <f t="shared" si="32"/>
        <v/>
      </c>
      <c r="U193" t="e">
        <f t="shared" si="28"/>
        <v>#N/A</v>
      </c>
      <c r="X193" t="e">
        <f t="shared" si="29"/>
        <v>#N/A</v>
      </c>
      <c r="Y193" t="e">
        <f t="shared" si="30"/>
        <v>#N/A</v>
      </c>
      <c r="AC193" t="s">
        <v>197</v>
      </c>
      <c r="AD193">
        <v>8314</v>
      </c>
    </row>
    <row r="194" spans="18:30" x14ac:dyDescent="0.3">
      <c r="R194" s="20" t="str">
        <f t="shared" si="31"/>
        <v/>
      </c>
      <c r="S194" s="40" t="str">
        <f t="shared" si="32"/>
        <v/>
      </c>
      <c r="U194" t="e">
        <f t="shared" si="28"/>
        <v>#N/A</v>
      </c>
      <c r="X194" t="e">
        <f t="shared" si="29"/>
        <v>#N/A</v>
      </c>
      <c r="Y194" t="e">
        <f t="shared" si="30"/>
        <v>#N/A</v>
      </c>
      <c r="AC194" t="s">
        <v>198</v>
      </c>
      <c r="AD194">
        <v>16101</v>
      </c>
    </row>
    <row r="195" spans="18:30" x14ac:dyDescent="0.3">
      <c r="R195" s="20" t="str">
        <f t="shared" si="31"/>
        <v/>
      </c>
      <c r="S195" s="40" t="str">
        <f t="shared" si="32"/>
        <v/>
      </c>
      <c r="U195" t="e">
        <f t="shared" si="28"/>
        <v>#N/A</v>
      </c>
      <c r="X195" t="e">
        <f t="shared" si="29"/>
        <v>#N/A</v>
      </c>
      <c r="Y195" t="e">
        <f t="shared" si="30"/>
        <v>#N/A</v>
      </c>
      <c r="AC195" t="s">
        <v>199</v>
      </c>
      <c r="AD195">
        <v>16102</v>
      </c>
    </row>
    <row r="196" spans="18:30" x14ac:dyDescent="0.3">
      <c r="R196" s="20" t="str">
        <f t="shared" si="31"/>
        <v/>
      </c>
      <c r="S196" s="40" t="str">
        <f t="shared" si="32"/>
        <v/>
      </c>
      <c r="U196" t="e">
        <f t="shared" si="28"/>
        <v>#N/A</v>
      </c>
      <c r="X196" t="e">
        <f t="shared" si="29"/>
        <v>#N/A</v>
      </c>
      <c r="Y196" t="e">
        <f t="shared" si="30"/>
        <v>#N/A</v>
      </c>
      <c r="AC196" t="s">
        <v>200</v>
      </c>
      <c r="AD196">
        <v>16202</v>
      </c>
    </row>
    <row r="197" spans="18:30" x14ac:dyDescent="0.3">
      <c r="R197" s="20" t="str">
        <f t="shared" si="31"/>
        <v/>
      </c>
      <c r="S197" s="40" t="str">
        <f t="shared" si="32"/>
        <v/>
      </c>
      <c r="U197" t="e">
        <f t="shared" ref="U197:U260" si="35">+VLOOKUP(W197,$J$4:$K$6,2,0)*100000+X197</f>
        <v>#N/A</v>
      </c>
      <c r="X197" t="e">
        <f t="shared" ref="X197:X260" si="36">+VLOOKUP(V197,$AC$3:$AD$364,2,0)</f>
        <v>#N/A</v>
      </c>
      <c r="Y197" t="e">
        <f t="shared" ref="Y197:Y260" si="37">+U197</f>
        <v>#N/A</v>
      </c>
      <c r="AC197" t="s">
        <v>201</v>
      </c>
      <c r="AD197">
        <v>16203</v>
      </c>
    </row>
    <row r="198" spans="18:30" x14ac:dyDescent="0.3">
      <c r="R198" s="20" t="str">
        <f t="shared" si="31"/>
        <v/>
      </c>
      <c r="S198" s="40" t="str">
        <f t="shared" si="32"/>
        <v/>
      </c>
      <c r="U198" t="e">
        <f t="shared" si="35"/>
        <v>#N/A</v>
      </c>
      <c r="X198" t="e">
        <f t="shared" si="36"/>
        <v>#N/A</v>
      </c>
      <c r="Y198" t="e">
        <f t="shared" si="37"/>
        <v>#N/A</v>
      </c>
      <c r="AC198" t="s">
        <v>202</v>
      </c>
      <c r="AD198">
        <v>16302</v>
      </c>
    </row>
    <row r="199" spans="18:30" x14ac:dyDescent="0.3">
      <c r="R199" s="20" t="str">
        <f t="shared" ref="R199:R262" si="38">+IF(Q199="","",R198+1)</f>
        <v/>
      </c>
      <c r="S199" s="40" t="str">
        <f t="shared" ref="S199:S262" si="39">+IF(Q199="","","M-"&amp;$B$1+R199)</f>
        <v/>
      </c>
      <c r="U199" t="e">
        <f t="shared" si="35"/>
        <v>#N/A</v>
      </c>
      <c r="X199" t="e">
        <f t="shared" si="36"/>
        <v>#N/A</v>
      </c>
      <c r="Y199" t="e">
        <f t="shared" si="37"/>
        <v>#N/A</v>
      </c>
      <c r="AC199" t="s">
        <v>203</v>
      </c>
      <c r="AD199">
        <v>16103</v>
      </c>
    </row>
    <row r="200" spans="18:30" x14ac:dyDescent="0.3">
      <c r="R200" s="20" t="str">
        <f t="shared" si="38"/>
        <v/>
      </c>
      <c r="S200" s="40" t="str">
        <f t="shared" si="39"/>
        <v/>
      </c>
      <c r="U200" t="e">
        <f t="shared" si="35"/>
        <v>#N/A</v>
      </c>
      <c r="X200" t="e">
        <f t="shared" si="36"/>
        <v>#N/A</v>
      </c>
      <c r="Y200" t="e">
        <f t="shared" si="37"/>
        <v>#N/A</v>
      </c>
      <c r="AC200" t="s">
        <v>204</v>
      </c>
      <c r="AD200">
        <v>16104</v>
      </c>
    </row>
    <row r="201" spans="18:30" x14ac:dyDescent="0.3">
      <c r="R201" s="20" t="str">
        <f t="shared" si="38"/>
        <v/>
      </c>
      <c r="S201" s="40" t="str">
        <f t="shared" si="39"/>
        <v/>
      </c>
      <c r="U201" t="e">
        <f t="shared" si="35"/>
        <v>#N/A</v>
      </c>
      <c r="X201" t="e">
        <f t="shared" si="36"/>
        <v>#N/A</v>
      </c>
      <c r="Y201" t="e">
        <f t="shared" si="37"/>
        <v>#N/A</v>
      </c>
      <c r="AC201" t="s">
        <v>205</v>
      </c>
      <c r="AD201">
        <v>16204</v>
      </c>
    </row>
    <row r="202" spans="18:30" x14ac:dyDescent="0.3">
      <c r="R202" s="20" t="str">
        <f t="shared" si="38"/>
        <v/>
      </c>
      <c r="S202" s="40" t="str">
        <f t="shared" si="39"/>
        <v/>
      </c>
      <c r="U202" t="e">
        <f t="shared" si="35"/>
        <v>#N/A</v>
      </c>
      <c r="X202" t="e">
        <f t="shared" si="36"/>
        <v>#N/A</v>
      </c>
      <c r="Y202" t="e">
        <f t="shared" si="37"/>
        <v>#N/A</v>
      </c>
      <c r="AC202" t="s">
        <v>206</v>
      </c>
      <c r="AD202">
        <v>16303</v>
      </c>
    </row>
    <row r="203" spans="18:30" x14ac:dyDescent="0.3">
      <c r="R203" s="20" t="str">
        <f t="shared" si="38"/>
        <v/>
      </c>
      <c r="S203" s="40" t="str">
        <f t="shared" si="39"/>
        <v/>
      </c>
      <c r="U203" t="e">
        <f t="shared" si="35"/>
        <v>#N/A</v>
      </c>
      <c r="X203" t="e">
        <f t="shared" si="36"/>
        <v>#N/A</v>
      </c>
      <c r="Y203" t="e">
        <f t="shared" si="37"/>
        <v>#N/A</v>
      </c>
      <c r="AC203" t="s">
        <v>207</v>
      </c>
      <c r="AD203">
        <v>16105</v>
      </c>
    </row>
    <row r="204" spans="18:30" x14ac:dyDescent="0.3">
      <c r="R204" s="20" t="str">
        <f t="shared" si="38"/>
        <v/>
      </c>
      <c r="S204" s="40" t="str">
        <f t="shared" si="39"/>
        <v/>
      </c>
      <c r="U204" t="e">
        <f t="shared" si="35"/>
        <v>#N/A</v>
      </c>
      <c r="X204" t="e">
        <f t="shared" si="36"/>
        <v>#N/A</v>
      </c>
      <c r="Y204" t="e">
        <f t="shared" si="37"/>
        <v>#N/A</v>
      </c>
      <c r="AC204" t="s">
        <v>208</v>
      </c>
      <c r="AD204">
        <v>16106</v>
      </c>
    </row>
    <row r="205" spans="18:30" x14ac:dyDescent="0.3">
      <c r="R205" s="20" t="str">
        <f t="shared" si="38"/>
        <v/>
      </c>
      <c r="S205" s="40" t="str">
        <f t="shared" si="39"/>
        <v/>
      </c>
      <c r="U205" t="e">
        <f t="shared" si="35"/>
        <v>#N/A</v>
      </c>
      <c r="X205" t="e">
        <f t="shared" si="36"/>
        <v>#N/A</v>
      </c>
      <c r="Y205" t="e">
        <f t="shared" si="37"/>
        <v>#N/A</v>
      </c>
      <c r="AC205" t="s">
        <v>209</v>
      </c>
      <c r="AD205">
        <v>16205</v>
      </c>
    </row>
    <row r="206" spans="18:30" x14ac:dyDescent="0.3">
      <c r="R206" s="20" t="str">
        <f t="shared" si="38"/>
        <v/>
      </c>
      <c r="S206" s="40" t="str">
        <f t="shared" si="39"/>
        <v/>
      </c>
      <c r="U206" t="e">
        <f t="shared" si="35"/>
        <v>#N/A</v>
      </c>
      <c r="X206" t="e">
        <f t="shared" si="36"/>
        <v>#N/A</v>
      </c>
      <c r="Y206" t="e">
        <f t="shared" si="37"/>
        <v>#N/A</v>
      </c>
      <c r="AC206" t="s">
        <v>210</v>
      </c>
      <c r="AD206">
        <v>16107</v>
      </c>
    </row>
    <row r="207" spans="18:30" x14ac:dyDescent="0.3">
      <c r="R207" s="20" t="str">
        <f t="shared" si="38"/>
        <v/>
      </c>
      <c r="S207" s="40" t="str">
        <f t="shared" si="39"/>
        <v/>
      </c>
      <c r="U207" t="e">
        <f t="shared" si="35"/>
        <v>#N/A</v>
      </c>
      <c r="X207" t="e">
        <f t="shared" si="36"/>
        <v>#N/A</v>
      </c>
      <c r="Y207" t="e">
        <f t="shared" si="37"/>
        <v>#N/A</v>
      </c>
      <c r="AC207" t="s">
        <v>211</v>
      </c>
      <c r="AD207">
        <v>16201</v>
      </c>
    </row>
    <row r="208" spans="18:30" x14ac:dyDescent="0.3">
      <c r="R208" s="20" t="str">
        <f t="shared" si="38"/>
        <v/>
      </c>
      <c r="S208" s="40" t="str">
        <f t="shared" si="39"/>
        <v/>
      </c>
      <c r="U208" t="e">
        <f t="shared" si="35"/>
        <v>#N/A</v>
      </c>
      <c r="X208" t="e">
        <f t="shared" si="36"/>
        <v>#N/A</v>
      </c>
      <c r="Y208" t="e">
        <f t="shared" si="37"/>
        <v>#N/A</v>
      </c>
      <c r="AC208" t="s">
        <v>212</v>
      </c>
      <c r="AD208">
        <v>16206</v>
      </c>
    </row>
    <row r="209" spans="18:30" x14ac:dyDescent="0.3">
      <c r="R209" s="20" t="str">
        <f t="shared" si="38"/>
        <v/>
      </c>
      <c r="S209" s="40" t="str">
        <f t="shared" si="39"/>
        <v/>
      </c>
      <c r="U209" t="e">
        <f t="shared" si="35"/>
        <v>#N/A</v>
      </c>
      <c r="X209" t="e">
        <f t="shared" si="36"/>
        <v>#N/A</v>
      </c>
      <c r="Y209" t="e">
        <f t="shared" si="37"/>
        <v>#N/A</v>
      </c>
      <c r="AC209" t="s">
        <v>213</v>
      </c>
      <c r="AD209">
        <v>16301</v>
      </c>
    </row>
    <row r="210" spans="18:30" x14ac:dyDescent="0.3">
      <c r="R210" s="20" t="str">
        <f t="shared" si="38"/>
        <v/>
      </c>
      <c r="S210" s="40" t="str">
        <f t="shared" si="39"/>
        <v/>
      </c>
      <c r="U210" t="e">
        <f t="shared" si="35"/>
        <v>#N/A</v>
      </c>
      <c r="X210" t="e">
        <f t="shared" si="36"/>
        <v>#N/A</v>
      </c>
      <c r="Y210" t="e">
        <f t="shared" si="37"/>
        <v>#N/A</v>
      </c>
      <c r="AC210" t="s">
        <v>214</v>
      </c>
      <c r="AD210">
        <v>16304</v>
      </c>
    </row>
    <row r="211" spans="18:30" x14ac:dyDescent="0.3">
      <c r="R211" s="20" t="str">
        <f t="shared" si="38"/>
        <v/>
      </c>
      <c r="S211" s="40" t="str">
        <f t="shared" si="39"/>
        <v/>
      </c>
      <c r="U211" t="e">
        <f t="shared" si="35"/>
        <v>#N/A</v>
      </c>
      <c r="X211" t="e">
        <f t="shared" si="36"/>
        <v>#N/A</v>
      </c>
      <c r="Y211" t="e">
        <f t="shared" si="37"/>
        <v>#N/A</v>
      </c>
      <c r="AC211" t="s">
        <v>215</v>
      </c>
      <c r="AD211">
        <v>16108</v>
      </c>
    </row>
    <row r="212" spans="18:30" x14ac:dyDescent="0.3">
      <c r="R212" s="20" t="str">
        <f t="shared" si="38"/>
        <v/>
      </c>
      <c r="S212" s="40" t="str">
        <f t="shared" si="39"/>
        <v/>
      </c>
      <c r="U212" t="e">
        <f t="shared" si="35"/>
        <v>#N/A</v>
      </c>
      <c r="X212" t="e">
        <f t="shared" si="36"/>
        <v>#N/A</v>
      </c>
      <c r="Y212" t="e">
        <f t="shared" si="37"/>
        <v>#N/A</v>
      </c>
      <c r="AC212" t="s">
        <v>216</v>
      </c>
      <c r="AD212">
        <v>16305</v>
      </c>
    </row>
    <row r="213" spans="18:30" x14ac:dyDescent="0.3">
      <c r="R213" s="20" t="str">
        <f t="shared" si="38"/>
        <v/>
      </c>
      <c r="S213" s="40" t="str">
        <f t="shared" si="39"/>
        <v/>
      </c>
      <c r="U213" t="e">
        <f t="shared" si="35"/>
        <v>#N/A</v>
      </c>
      <c r="X213" t="e">
        <f t="shared" si="36"/>
        <v>#N/A</v>
      </c>
      <c r="Y213" t="e">
        <f t="shared" si="37"/>
        <v>#N/A</v>
      </c>
      <c r="AC213" t="s">
        <v>217</v>
      </c>
      <c r="AD213">
        <v>16207</v>
      </c>
    </row>
    <row r="214" spans="18:30" x14ac:dyDescent="0.3">
      <c r="R214" s="20" t="str">
        <f t="shared" si="38"/>
        <v/>
      </c>
      <c r="S214" s="40" t="str">
        <f t="shared" si="39"/>
        <v/>
      </c>
      <c r="U214" t="e">
        <f t="shared" si="35"/>
        <v>#N/A</v>
      </c>
      <c r="X214" t="e">
        <f t="shared" si="36"/>
        <v>#N/A</v>
      </c>
      <c r="Y214" t="e">
        <f t="shared" si="37"/>
        <v>#N/A</v>
      </c>
      <c r="AC214" t="s">
        <v>218</v>
      </c>
      <c r="AD214">
        <v>16109</v>
      </c>
    </row>
    <row r="215" spans="18:30" x14ac:dyDescent="0.3">
      <c r="R215" s="20" t="str">
        <f t="shared" si="38"/>
        <v/>
      </c>
      <c r="S215" s="40" t="str">
        <f t="shared" si="39"/>
        <v/>
      </c>
      <c r="U215" t="e">
        <f t="shared" si="35"/>
        <v>#N/A</v>
      </c>
      <c r="X215" t="e">
        <f t="shared" si="36"/>
        <v>#N/A</v>
      </c>
      <c r="Y215" t="e">
        <f t="shared" si="37"/>
        <v>#N/A</v>
      </c>
      <c r="AC215" t="s">
        <v>219</v>
      </c>
      <c r="AD215">
        <v>9101</v>
      </c>
    </row>
    <row r="216" spans="18:30" x14ac:dyDescent="0.3">
      <c r="R216" s="20" t="str">
        <f t="shared" si="38"/>
        <v/>
      </c>
      <c r="S216" s="40" t="str">
        <f t="shared" si="39"/>
        <v/>
      </c>
      <c r="U216" t="e">
        <f t="shared" si="35"/>
        <v>#N/A</v>
      </c>
      <c r="X216" t="e">
        <f t="shared" si="36"/>
        <v>#N/A</v>
      </c>
      <c r="Y216" t="e">
        <f t="shared" si="37"/>
        <v>#N/A</v>
      </c>
      <c r="AC216" t="s">
        <v>220</v>
      </c>
      <c r="AD216">
        <v>9102</v>
      </c>
    </row>
    <row r="217" spans="18:30" x14ac:dyDescent="0.3">
      <c r="R217" s="20" t="str">
        <f t="shared" si="38"/>
        <v/>
      </c>
      <c r="S217" s="40" t="str">
        <f t="shared" si="39"/>
        <v/>
      </c>
      <c r="U217" t="e">
        <f t="shared" si="35"/>
        <v>#N/A</v>
      </c>
      <c r="X217" t="e">
        <f t="shared" si="36"/>
        <v>#N/A</v>
      </c>
      <c r="Y217" t="e">
        <f t="shared" si="37"/>
        <v>#N/A</v>
      </c>
      <c r="AC217" t="s">
        <v>221</v>
      </c>
      <c r="AD217">
        <v>9103</v>
      </c>
    </row>
    <row r="218" spans="18:30" x14ac:dyDescent="0.3">
      <c r="R218" s="20" t="str">
        <f t="shared" si="38"/>
        <v/>
      </c>
      <c r="S218" s="40" t="str">
        <f t="shared" si="39"/>
        <v/>
      </c>
      <c r="U218" t="e">
        <f t="shared" si="35"/>
        <v>#N/A</v>
      </c>
      <c r="X218" t="e">
        <f t="shared" si="36"/>
        <v>#N/A</v>
      </c>
      <c r="Y218" t="e">
        <f t="shared" si="37"/>
        <v>#N/A</v>
      </c>
      <c r="AC218" t="s">
        <v>222</v>
      </c>
      <c r="AD218">
        <v>9104</v>
      </c>
    </row>
    <row r="219" spans="18:30" x14ac:dyDescent="0.3">
      <c r="R219" s="20" t="str">
        <f t="shared" si="38"/>
        <v/>
      </c>
      <c r="S219" s="40" t="str">
        <f t="shared" si="39"/>
        <v/>
      </c>
      <c r="U219" t="e">
        <f t="shared" si="35"/>
        <v>#N/A</v>
      </c>
      <c r="X219" t="e">
        <f t="shared" si="36"/>
        <v>#N/A</v>
      </c>
      <c r="Y219" t="e">
        <f t="shared" si="37"/>
        <v>#N/A</v>
      </c>
      <c r="AC219" t="s">
        <v>223</v>
      </c>
      <c r="AD219">
        <v>9105</v>
      </c>
    </row>
    <row r="220" spans="18:30" x14ac:dyDescent="0.3">
      <c r="R220" s="20" t="str">
        <f t="shared" si="38"/>
        <v/>
      </c>
      <c r="S220" s="40" t="str">
        <f t="shared" si="39"/>
        <v/>
      </c>
      <c r="U220" t="e">
        <f t="shared" si="35"/>
        <v>#N/A</v>
      </c>
      <c r="X220" t="e">
        <f t="shared" si="36"/>
        <v>#N/A</v>
      </c>
      <c r="Y220" t="e">
        <f t="shared" si="37"/>
        <v>#N/A</v>
      </c>
      <c r="AC220" t="s">
        <v>224</v>
      </c>
      <c r="AD220">
        <v>9106</v>
      </c>
    </row>
    <row r="221" spans="18:30" x14ac:dyDescent="0.3">
      <c r="R221" s="20" t="str">
        <f t="shared" si="38"/>
        <v/>
      </c>
      <c r="S221" s="40" t="str">
        <f t="shared" si="39"/>
        <v/>
      </c>
      <c r="U221" t="e">
        <f t="shared" si="35"/>
        <v>#N/A</v>
      </c>
      <c r="X221" t="e">
        <f t="shared" si="36"/>
        <v>#N/A</v>
      </c>
      <c r="Y221" t="e">
        <f t="shared" si="37"/>
        <v>#N/A</v>
      </c>
      <c r="AC221" t="s">
        <v>225</v>
      </c>
      <c r="AD221">
        <v>9107</v>
      </c>
    </row>
    <row r="222" spans="18:30" x14ac:dyDescent="0.3">
      <c r="R222" s="20" t="str">
        <f t="shared" si="38"/>
        <v/>
      </c>
      <c r="S222" s="40" t="str">
        <f t="shared" si="39"/>
        <v/>
      </c>
      <c r="U222" t="e">
        <f t="shared" si="35"/>
        <v>#N/A</v>
      </c>
      <c r="X222" t="e">
        <f t="shared" si="36"/>
        <v>#N/A</v>
      </c>
      <c r="Y222" t="e">
        <f t="shared" si="37"/>
        <v>#N/A</v>
      </c>
      <c r="AC222" t="s">
        <v>226</v>
      </c>
      <c r="AD222">
        <v>9108</v>
      </c>
    </row>
    <row r="223" spans="18:30" x14ac:dyDescent="0.3">
      <c r="R223" s="20" t="str">
        <f t="shared" si="38"/>
        <v/>
      </c>
      <c r="S223" s="40" t="str">
        <f t="shared" si="39"/>
        <v/>
      </c>
      <c r="U223" t="e">
        <f t="shared" si="35"/>
        <v>#N/A</v>
      </c>
      <c r="X223" t="e">
        <f t="shared" si="36"/>
        <v>#N/A</v>
      </c>
      <c r="Y223" t="e">
        <f t="shared" si="37"/>
        <v>#N/A</v>
      </c>
      <c r="AC223" t="s">
        <v>227</v>
      </c>
      <c r="AD223">
        <v>9109</v>
      </c>
    </row>
    <row r="224" spans="18:30" x14ac:dyDescent="0.3">
      <c r="R224" s="20" t="str">
        <f t="shared" si="38"/>
        <v/>
      </c>
      <c r="S224" s="40" t="str">
        <f t="shared" si="39"/>
        <v/>
      </c>
      <c r="U224" t="e">
        <f t="shared" si="35"/>
        <v>#N/A</v>
      </c>
      <c r="X224" t="e">
        <f t="shared" si="36"/>
        <v>#N/A</v>
      </c>
      <c r="Y224" t="e">
        <f t="shared" si="37"/>
        <v>#N/A</v>
      </c>
      <c r="AC224" t="s">
        <v>228</v>
      </c>
      <c r="AD224">
        <v>9110</v>
      </c>
    </row>
    <row r="225" spans="18:30" x14ac:dyDescent="0.3">
      <c r="R225" s="20" t="str">
        <f t="shared" si="38"/>
        <v/>
      </c>
      <c r="S225" s="40" t="str">
        <f t="shared" si="39"/>
        <v/>
      </c>
      <c r="U225" t="e">
        <f t="shared" si="35"/>
        <v>#N/A</v>
      </c>
      <c r="X225" t="e">
        <f t="shared" si="36"/>
        <v>#N/A</v>
      </c>
      <c r="Y225" t="e">
        <f t="shared" si="37"/>
        <v>#N/A</v>
      </c>
      <c r="AC225" t="s">
        <v>229</v>
      </c>
      <c r="AD225">
        <v>9111</v>
      </c>
    </row>
    <row r="226" spans="18:30" x14ac:dyDescent="0.3">
      <c r="R226" s="20" t="str">
        <f t="shared" si="38"/>
        <v/>
      </c>
      <c r="S226" s="40" t="str">
        <f t="shared" si="39"/>
        <v/>
      </c>
      <c r="U226" t="e">
        <f t="shared" si="35"/>
        <v>#N/A</v>
      </c>
      <c r="X226" t="e">
        <f t="shared" si="36"/>
        <v>#N/A</v>
      </c>
      <c r="Y226" t="e">
        <f t="shared" si="37"/>
        <v>#N/A</v>
      </c>
      <c r="AC226" t="s">
        <v>230</v>
      </c>
      <c r="AD226">
        <v>9112</v>
      </c>
    </row>
    <row r="227" spans="18:30" x14ac:dyDescent="0.3">
      <c r="R227" s="20" t="str">
        <f t="shared" si="38"/>
        <v/>
      </c>
      <c r="S227" s="40" t="str">
        <f t="shared" si="39"/>
        <v/>
      </c>
      <c r="U227" t="e">
        <f t="shared" si="35"/>
        <v>#N/A</v>
      </c>
      <c r="X227" t="e">
        <f t="shared" si="36"/>
        <v>#N/A</v>
      </c>
      <c r="Y227" t="e">
        <f t="shared" si="37"/>
        <v>#N/A</v>
      </c>
      <c r="AC227" t="s">
        <v>231</v>
      </c>
      <c r="AD227">
        <v>9113</v>
      </c>
    </row>
    <row r="228" spans="18:30" x14ac:dyDescent="0.3">
      <c r="R228" s="20" t="str">
        <f t="shared" si="38"/>
        <v/>
      </c>
      <c r="S228" s="40" t="str">
        <f t="shared" si="39"/>
        <v/>
      </c>
      <c r="U228" t="e">
        <f t="shared" si="35"/>
        <v>#N/A</v>
      </c>
      <c r="X228" t="e">
        <f t="shared" si="36"/>
        <v>#N/A</v>
      </c>
      <c r="Y228" t="e">
        <f t="shared" si="37"/>
        <v>#N/A</v>
      </c>
      <c r="AC228" t="s">
        <v>232</v>
      </c>
      <c r="AD228">
        <v>9114</v>
      </c>
    </row>
    <row r="229" spans="18:30" x14ac:dyDescent="0.3">
      <c r="R229" s="20" t="str">
        <f t="shared" si="38"/>
        <v/>
      </c>
      <c r="S229" s="40" t="str">
        <f t="shared" si="39"/>
        <v/>
      </c>
      <c r="U229" t="e">
        <f t="shared" si="35"/>
        <v>#N/A</v>
      </c>
      <c r="X229" t="e">
        <f t="shared" si="36"/>
        <v>#N/A</v>
      </c>
      <c r="Y229" t="e">
        <f t="shared" si="37"/>
        <v>#N/A</v>
      </c>
      <c r="AC229" t="s">
        <v>233</v>
      </c>
      <c r="AD229">
        <v>9115</v>
      </c>
    </row>
    <row r="230" spans="18:30" x14ac:dyDescent="0.3">
      <c r="R230" s="20" t="str">
        <f t="shared" si="38"/>
        <v/>
      </c>
      <c r="S230" s="40" t="str">
        <f t="shared" si="39"/>
        <v/>
      </c>
      <c r="U230" t="e">
        <f t="shared" si="35"/>
        <v>#N/A</v>
      </c>
      <c r="X230" t="e">
        <f t="shared" si="36"/>
        <v>#N/A</v>
      </c>
      <c r="Y230" t="e">
        <f t="shared" si="37"/>
        <v>#N/A</v>
      </c>
      <c r="AC230" t="s">
        <v>234</v>
      </c>
      <c r="AD230">
        <v>9116</v>
      </c>
    </row>
    <row r="231" spans="18:30" x14ac:dyDescent="0.3">
      <c r="R231" s="20" t="str">
        <f t="shared" si="38"/>
        <v/>
      </c>
      <c r="S231" s="40" t="str">
        <f t="shared" si="39"/>
        <v/>
      </c>
      <c r="U231" t="e">
        <f t="shared" si="35"/>
        <v>#N/A</v>
      </c>
      <c r="X231" t="e">
        <f t="shared" si="36"/>
        <v>#N/A</v>
      </c>
      <c r="Y231" t="e">
        <f t="shared" si="37"/>
        <v>#N/A</v>
      </c>
      <c r="AC231" t="s">
        <v>235</v>
      </c>
      <c r="AD231">
        <v>9117</v>
      </c>
    </row>
    <row r="232" spans="18:30" x14ac:dyDescent="0.3">
      <c r="R232" s="20" t="str">
        <f t="shared" si="38"/>
        <v/>
      </c>
      <c r="S232" s="40" t="str">
        <f t="shared" si="39"/>
        <v/>
      </c>
      <c r="U232" t="e">
        <f t="shared" si="35"/>
        <v>#N/A</v>
      </c>
      <c r="X232" t="e">
        <f t="shared" si="36"/>
        <v>#N/A</v>
      </c>
      <c r="Y232" t="e">
        <f t="shared" si="37"/>
        <v>#N/A</v>
      </c>
      <c r="AC232" t="s">
        <v>236</v>
      </c>
      <c r="AD232">
        <v>9118</v>
      </c>
    </row>
    <row r="233" spans="18:30" x14ac:dyDescent="0.3">
      <c r="R233" s="20" t="str">
        <f t="shared" si="38"/>
        <v/>
      </c>
      <c r="S233" s="40" t="str">
        <f t="shared" si="39"/>
        <v/>
      </c>
      <c r="U233" t="e">
        <f t="shared" si="35"/>
        <v>#N/A</v>
      </c>
      <c r="X233" t="e">
        <f t="shared" si="36"/>
        <v>#N/A</v>
      </c>
      <c r="Y233" t="e">
        <f t="shared" si="37"/>
        <v>#N/A</v>
      </c>
      <c r="AC233" t="s">
        <v>237</v>
      </c>
      <c r="AD233">
        <v>9119</v>
      </c>
    </row>
    <row r="234" spans="18:30" x14ac:dyDescent="0.3">
      <c r="R234" s="20" t="str">
        <f t="shared" si="38"/>
        <v/>
      </c>
      <c r="S234" s="40" t="str">
        <f t="shared" si="39"/>
        <v/>
      </c>
      <c r="U234" t="e">
        <f t="shared" si="35"/>
        <v>#N/A</v>
      </c>
      <c r="X234" t="e">
        <f t="shared" si="36"/>
        <v>#N/A</v>
      </c>
      <c r="Y234" t="e">
        <f t="shared" si="37"/>
        <v>#N/A</v>
      </c>
      <c r="AC234" t="s">
        <v>238</v>
      </c>
      <c r="AD234">
        <v>9120</v>
      </c>
    </row>
    <row r="235" spans="18:30" x14ac:dyDescent="0.3">
      <c r="R235" s="20" t="str">
        <f t="shared" si="38"/>
        <v/>
      </c>
      <c r="S235" s="40" t="str">
        <f t="shared" si="39"/>
        <v/>
      </c>
      <c r="U235" t="e">
        <f t="shared" si="35"/>
        <v>#N/A</v>
      </c>
      <c r="X235" t="e">
        <f t="shared" si="36"/>
        <v>#N/A</v>
      </c>
      <c r="Y235" t="e">
        <f t="shared" si="37"/>
        <v>#N/A</v>
      </c>
      <c r="AC235" t="s">
        <v>239</v>
      </c>
      <c r="AD235">
        <v>9121</v>
      </c>
    </row>
    <row r="236" spans="18:30" x14ac:dyDescent="0.3">
      <c r="R236" s="20" t="str">
        <f t="shared" si="38"/>
        <v/>
      </c>
      <c r="S236" s="40" t="str">
        <f t="shared" si="39"/>
        <v/>
      </c>
      <c r="U236" t="e">
        <f t="shared" si="35"/>
        <v>#N/A</v>
      </c>
      <c r="X236" t="e">
        <f t="shared" si="36"/>
        <v>#N/A</v>
      </c>
      <c r="Y236" t="e">
        <f t="shared" si="37"/>
        <v>#N/A</v>
      </c>
      <c r="AC236" t="s">
        <v>240</v>
      </c>
      <c r="AD236">
        <v>9201</v>
      </c>
    </row>
    <row r="237" spans="18:30" x14ac:dyDescent="0.3">
      <c r="R237" s="20" t="str">
        <f t="shared" si="38"/>
        <v/>
      </c>
      <c r="S237" s="40" t="str">
        <f t="shared" si="39"/>
        <v/>
      </c>
      <c r="U237" t="e">
        <f t="shared" si="35"/>
        <v>#N/A</v>
      </c>
      <c r="X237" t="e">
        <f t="shared" si="36"/>
        <v>#N/A</v>
      </c>
      <c r="Y237" t="e">
        <f t="shared" si="37"/>
        <v>#N/A</v>
      </c>
      <c r="AC237" t="s">
        <v>241</v>
      </c>
      <c r="AD237">
        <v>9202</v>
      </c>
    </row>
    <row r="238" spans="18:30" x14ac:dyDescent="0.3">
      <c r="R238" s="20" t="str">
        <f t="shared" si="38"/>
        <v/>
      </c>
      <c r="S238" s="40" t="str">
        <f t="shared" si="39"/>
        <v/>
      </c>
      <c r="U238" t="e">
        <f t="shared" si="35"/>
        <v>#N/A</v>
      </c>
      <c r="X238" t="e">
        <f t="shared" si="36"/>
        <v>#N/A</v>
      </c>
      <c r="Y238" t="e">
        <f t="shared" si="37"/>
        <v>#N/A</v>
      </c>
      <c r="AC238" t="s">
        <v>242</v>
      </c>
      <c r="AD238">
        <v>9203</v>
      </c>
    </row>
    <row r="239" spans="18:30" x14ac:dyDescent="0.3">
      <c r="R239" s="20" t="str">
        <f t="shared" si="38"/>
        <v/>
      </c>
      <c r="S239" s="40" t="str">
        <f t="shared" si="39"/>
        <v/>
      </c>
      <c r="U239" t="e">
        <f t="shared" si="35"/>
        <v>#N/A</v>
      </c>
      <c r="X239" t="e">
        <f t="shared" si="36"/>
        <v>#N/A</v>
      </c>
      <c r="Y239" t="e">
        <f t="shared" si="37"/>
        <v>#N/A</v>
      </c>
      <c r="AC239" t="s">
        <v>243</v>
      </c>
      <c r="AD239">
        <v>9204</v>
      </c>
    </row>
    <row r="240" spans="18:30" x14ac:dyDescent="0.3">
      <c r="R240" s="20" t="str">
        <f t="shared" si="38"/>
        <v/>
      </c>
      <c r="S240" s="40" t="str">
        <f t="shared" si="39"/>
        <v/>
      </c>
      <c r="U240" t="e">
        <f t="shared" si="35"/>
        <v>#N/A</v>
      </c>
      <c r="X240" t="e">
        <f t="shared" si="36"/>
        <v>#N/A</v>
      </c>
      <c r="Y240" t="e">
        <f t="shared" si="37"/>
        <v>#N/A</v>
      </c>
      <c r="AC240" t="s">
        <v>244</v>
      </c>
      <c r="AD240">
        <v>9205</v>
      </c>
    </row>
    <row r="241" spans="18:30" x14ac:dyDescent="0.3">
      <c r="R241" s="20" t="str">
        <f t="shared" si="38"/>
        <v/>
      </c>
      <c r="S241" s="40" t="str">
        <f t="shared" si="39"/>
        <v/>
      </c>
      <c r="U241" t="e">
        <f t="shared" si="35"/>
        <v>#N/A</v>
      </c>
      <c r="X241" t="e">
        <f t="shared" si="36"/>
        <v>#N/A</v>
      </c>
      <c r="Y241" t="e">
        <f t="shared" si="37"/>
        <v>#N/A</v>
      </c>
      <c r="AC241" t="s">
        <v>245</v>
      </c>
      <c r="AD241">
        <v>9206</v>
      </c>
    </row>
    <row r="242" spans="18:30" x14ac:dyDescent="0.3">
      <c r="R242" s="20" t="str">
        <f t="shared" si="38"/>
        <v/>
      </c>
      <c r="S242" s="40" t="str">
        <f t="shared" si="39"/>
        <v/>
      </c>
      <c r="U242" t="e">
        <f t="shared" si="35"/>
        <v>#N/A</v>
      </c>
      <c r="X242" t="e">
        <f t="shared" si="36"/>
        <v>#N/A</v>
      </c>
      <c r="Y242" t="e">
        <f t="shared" si="37"/>
        <v>#N/A</v>
      </c>
      <c r="AC242" t="s">
        <v>246</v>
      </c>
      <c r="AD242">
        <v>9207</v>
      </c>
    </row>
    <row r="243" spans="18:30" x14ac:dyDescent="0.3">
      <c r="R243" s="20" t="str">
        <f t="shared" si="38"/>
        <v/>
      </c>
      <c r="S243" s="40" t="str">
        <f t="shared" si="39"/>
        <v/>
      </c>
      <c r="U243" t="e">
        <f t="shared" si="35"/>
        <v>#N/A</v>
      </c>
      <c r="X243" t="e">
        <f t="shared" si="36"/>
        <v>#N/A</v>
      </c>
      <c r="Y243" t="e">
        <f t="shared" si="37"/>
        <v>#N/A</v>
      </c>
      <c r="AC243" t="s">
        <v>247</v>
      </c>
      <c r="AD243">
        <v>9208</v>
      </c>
    </row>
    <row r="244" spans="18:30" x14ac:dyDescent="0.3">
      <c r="R244" s="20" t="str">
        <f t="shared" si="38"/>
        <v/>
      </c>
      <c r="S244" s="40" t="str">
        <f t="shared" si="39"/>
        <v/>
      </c>
      <c r="U244" t="e">
        <f t="shared" si="35"/>
        <v>#N/A</v>
      </c>
      <c r="X244" t="e">
        <f t="shared" si="36"/>
        <v>#N/A</v>
      </c>
      <c r="Y244" t="e">
        <f t="shared" si="37"/>
        <v>#N/A</v>
      </c>
      <c r="AC244" t="s">
        <v>248</v>
      </c>
      <c r="AD244">
        <v>9209</v>
      </c>
    </row>
    <row r="245" spans="18:30" x14ac:dyDescent="0.3">
      <c r="R245" s="20" t="str">
        <f t="shared" si="38"/>
        <v/>
      </c>
      <c r="S245" s="40" t="str">
        <f t="shared" si="39"/>
        <v/>
      </c>
      <c r="U245" t="e">
        <f t="shared" si="35"/>
        <v>#N/A</v>
      </c>
      <c r="X245" t="e">
        <f t="shared" si="36"/>
        <v>#N/A</v>
      </c>
      <c r="Y245" t="e">
        <f t="shared" si="37"/>
        <v>#N/A</v>
      </c>
      <c r="AC245" t="s">
        <v>249</v>
      </c>
      <c r="AD245">
        <v>9210</v>
      </c>
    </row>
    <row r="246" spans="18:30" x14ac:dyDescent="0.3">
      <c r="R246" s="20" t="str">
        <f t="shared" si="38"/>
        <v/>
      </c>
      <c r="S246" s="40" t="str">
        <f t="shared" si="39"/>
        <v/>
      </c>
      <c r="U246" t="e">
        <f t="shared" si="35"/>
        <v>#N/A</v>
      </c>
      <c r="X246" t="e">
        <f t="shared" si="36"/>
        <v>#N/A</v>
      </c>
      <c r="Y246" t="e">
        <f t="shared" si="37"/>
        <v>#N/A</v>
      </c>
      <c r="AC246" t="s">
        <v>250</v>
      </c>
      <c r="AD246">
        <v>9211</v>
      </c>
    </row>
    <row r="247" spans="18:30" x14ac:dyDescent="0.3">
      <c r="R247" s="20" t="str">
        <f t="shared" si="38"/>
        <v/>
      </c>
      <c r="S247" s="40" t="str">
        <f t="shared" si="39"/>
        <v/>
      </c>
      <c r="U247" t="e">
        <f t="shared" si="35"/>
        <v>#N/A</v>
      </c>
      <c r="X247" t="e">
        <f t="shared" si="36"/>
        <v>#N/A</v>
      </c>
      <c r="Y247" t="e">
        <f t="shared" si="37"/>
        <v>#N/A</v>
      </c>
      <c r="AC247" t="s">
        <v>251</v>
      </c>
      <c r="AD247">
        <v>10101</v>
      </c>
    </row>
    <row r="248" spans="18:30" x14ac:dyDescent="0.3">
      <c r="R248" s="20" t="str">
        <f t="shared" si="38"/>
        <v/>
      </c>
      <c r="S248" s="40" t="str">
        <f t="shared" si="39"/>
        <v/>
      </c>
      <c r="U248" t="e">
        <f t="shared" si="35"/>
        <v>#N/A</v>
      </c>
      <c r="X248" t="e">
        <f t="shared" si="36"/>
        <v>#N/A</v>
      </c>
      <c r="Y248" t="e">
        <f t="shared" si="37"/>
        <v>#N/A</v>
      </c>
      <c r="AC248" t="s">
        <v>252</v>
      </c>
      <c r="AD248">
        <v>10102</v>
      </c>
    </row>
    <row r="249" spans="18:30" x14ac:dyDescent="0.3">
      <c r="R249" s="20" t="str">
        <f t="shared" si="38"/>
        <v/>
      </c>
      <c r="S249" s="40" t="str">
        <f t="shared" si="39"/>
        <v/>
      </c>
      <c r="U249" t="e">
        <f t="shared" si="35"/>
        <v>#N/A</v>
      </c>
      <c r="X249" t="e">
        <f t="shared" si="36"/>
        <v>#N/A</v>
      </c>
      <c r="Y249" t="e">
        <f t="shared" si="37"/>
        <v>#N/A</v>
      </c>
      <c r="AC249" t="s">
        <v>253</v>
      </c>
      <c r="AD249">
        <v>10103</v>
      </c>
    </row>
    <row r="250" spans="18:30" x14ac:dyDescent="0.3">
      <c r="R250" s="20" t="str">
        <f t="shared" si="38"/>
        <v/>
      </c>
      <c r="S250" s="40" t="str">
        <f t="shared" si="39"/>
        <v/>
      </c>
      <c r="U250" t="e">
        <f t="shared" si="35"/>
        <v>#N/A</v>
      </c>
      <c r="X250" t="e">
        <f t="shared" si="36"/>
        <v>#N/A</v>
      </c>
      <c r="Y250" t="e">
        <f t="shared" si="37"/>
        <v>#N/A</v>
      </c>
      <c r="AC250" t="s">
        <v>254</v>
      </c>
      <c r="AD250">
        <v>10104</v>
      </c>
    </row>
    <row r="251" spans="18:30" x14ac:dyDescent="0.3">
      <c r="R251" s="20" t="str">
        <f t="shared" si="38"/>
        <v/>
      </c>
      <c r="S251" s="40" t="str">
        <f t="shared" si="39"/>
        <v/>
      </c>
      <c r="U251" t="e">
        <f t="shared" si="35"/>
        <v>#N/A</v>
      </c>
      <c r="X251" t="e">
        <f t="shared" si="36"/>
        <v>#N/A</v>
      </c>
      <c r="Y251" t="e">
        <f t="shared" si="37"/>
        <v>#N/A</v>
      </c>
      <c r="AC251" t="s">
        <v>255</v>
      </c>
      <c r="AD251">
        <v>10105</v>
      </c>
    </row>
    <row r="252" spans="18:30" x14ac:dyDescent="0.3">
      <c r="R252" s="20" t="str">
        <f t="shared" si="38"/>
        <v/>
      </c>
      <c r="S252" s="40" t="str">
        <f t="shared" si="39"/>
        <v/>
      </c>
      <c r="U252" t="e">
        <f t="shared" si="35"/>
        <v>#N/A</v>
      </c>
      <c r="X252" t="e">
        <f t="shared" si="36"/>
        <v>#N/A</v>
      </c>
      <c r="Y252" t="e">
        <f t="shared" si="37"/>
        <v>#N/A</v>
      </c>
      <c r="AC252" t="s">
        <v>256</v>
      </c>
      <c r="AD252">
        <v>10106</v>
      </c>
    </row>
    <row r="253" spans="18:30" x14ac:dyDescent="0.3">
      <c r="R253" s="20" t="str">
        <f t="shared" si="38"/>
        <v/>
      </c>
      <c r="S253" s="40" t="str">
        <f t="shared" si="39"/>
        <v/>
      </c>
      <c r="U253" t="e">
        <f t="shared" si="35"/>
        <v>#N/A</v>
      </c>
      <c r="X253" t="e">
        <f t="shared" si="36"/>
        <v>#N/A</v>
      </c>
      <c r="Y253" t="e">
        <f t="shared" si="37"/>
        <v>#N/A</v>
      </c>
      <c r="AC253" t="s">
        <v>257</v>
      </c>
      <c r="AD253">
        <v>10107</v>
      </c>
    </row>
    <row r="254" spans="18:30" x14ac:dyDescent="0.3">
      <c r="R254" s="20" t="str">
        <f t="shared" si="38"/>
        <v/>
      </c>
      <c r="S254" s="40" t="str">
        <f t="shared" si="39"/>
        <v/>
      </c>
      <c r="U254" t="e">
        <f t="shared" si="35"/>
        <v>#N/A</v>
      </c>
      <c r="X254" t="e">
        <f t="shared" si="36"/>
        <v>#N/A</v>
      </c>
      <c r="Y254" t="e">
        <f t="shared" si="37"/>
        <v>#N/A</v>
      </c>
      <c r="AC254" t="s">
        <v>258</v>
      </c>
      <c r="AD254">
        <v>10108</v>
      </c>
    </row>
    <row r="255" spans="18:30" x14ac:dyDescent="0.3">
      <c r="R255" s="20" t="str">
        <f t="shared" si="38"/>
        <v/>
      </c>
      <c r="S255" s="40" t="str">
        <f t="shared" si="39"/>
        <v/>
      </c>
      <c r="U255" t="e">
        <f t="shared" si="35"/>
        <v>#N/A</v>
      </c>
      <c r="X255" t="e">
        <f t="shared" si="36"/>
        <v>#N/A</v>
      </c>
      <c r="Y255" t="e">
        <f t="shared" si="37"/>
        <v>#N/A</v>
      </c>
      <c r="AC255" t="s">
        <v>259</v>
      </c>
      <c r="AD255">
        <v>10109</v>
      </c>
    </row>
    <row r="256" spans="18:30" x14ac:dyDescent="0.3">
      <c r="R256" s="20" t="str">
        <f t="shared" si="38"/>
        <v/>
      </c>
      <c r="S256" s="40" t="str">
        <f t="shared" si="39"/>
        <v/>
      </c>
      <c r="U256" t="e">
        <f t="shared" si="35"/>
        <v>#N/A</v>
      </c>
      <c r="X256" t="e">
        <f t="shared" si="36"/>
        <v>#N/A</v>
      </c>
      <c r="Y256" t="e">
        <f t="shared" si="37"/>
        <v>#N/A</v>
      </c>
      <c r="AC256" t="s">
        <v>260</v>
      </c>
      <c r="AD256">
        <v>10201</v>
      </c>
    </row>
    <row r="257" spans="18:30" x14ac:dyDescent="0.3">
      <c r="R257" s="20" t="str">
        <f t="shared" si="38"/>
        <v/>
      </c>
      <c r="S257" s="40" t="str">
        <f t="shared" si="39"/>
        <v/>
      </c>
      <c r="U257" t="e">
        <f t="shared" si="35"/>
        <v>#N/A</v>
      </c>
      <c r="X257" t="e">
        <f t="shared" si="36"/>
        <v>#N/A</v>
      </c>
      <c r="Y257" t="e">
        <f t="shared" si="37"/>
        <v>#N/A</v>
      </c>
      <c r="AC257" t="s">
        <v>261</v>
      </c>
      <c r="AD257">
        <v>10202</v>
      </c>
    </row>
    <row r="258" spans="18:30" x14ac:dyDescent="0.3">
      <c r="R258" s="20" t="str">
        <f t="shared" si="38"/>
        <v/>
      </c>
      <c r="S258" s="40" t="str">
        <f t="shared" si="39"/>
        <v/>
      </c>
      <c r="U258" t="e">
        <f t="shared" si="35"/>
        <v>#N/A</v>
      </c>
      <c r="X258" t="e">
        <f t="shared" si="36"/>
        <v>#N/A</v>
      </c>
      <c r="Y258" t="e">
        <f t="shared" si="37"/>
        <v>#N/A</v>
      </c>
      <c r="AC258" t="s">
        <v>262</v>
      </c>
      <c r="AD258">
        <v>10203</v>
      </c>
    </row>
    <row r="259" spans="18:30" x14ac:dyDescent="0.3">
      <c r="R259" s="20" t="str">
        <f t="shared" si="38"/>
        <v/>
      </c>
      <c r="S259" s="40" t="str">
        <f t="shared" si="39"/>
        <v/>
      </c>
      <c r="U259" t="e">
        <f t="shared" si="35"/>
        <v>#N/A</v>
      </c>
      <c r="X259" t="e">
        <f t="shared" si="36"/>
        <v>#N/A</v>
      </c>
      <c r="Y259" t="e">
        <f t="shared" si="37"/>
        <v>#N/A</v>
      </c>
      <c r="AC259" t="s">
        <v>263</v>
      </c>
      <c r="AD259">
        <v>10204</v>
      </c>
    </row>
    <row r="260" spans="18:30" x14ac:dyDescent="0.3">
      <c r="R260" s="20" t="str">
        <f t="shared" si="38"/>
        <v/>
      </c>
      <c r="S260" s="40" t="str">
        <f t="shared" si="39"/>
        <v/>
      </c>
      <c r="U260" t="e">
        <f t="shared" si="35"/>
        <v>#N/A</v>
      </c>
      <c r="X260" t="e">
        <f t="shared" si="36"/>
        <v>#N/A</v>
      </c>
      <c r="Y260" t="e">
        <f t="shared" si="37"/>
        <v>#N/A</v>
      </c>
      <c r="AC260" t="s">
        <v>264</v>
      </c>
      <c r="AD260">
        <v>10205</v>
      </c>
    </row>
    <row r="261" spans="18:30" x14ac:dyDescent="0.3">
      <c r="R261" s="20" t="str">
        <f t="shared" si="38"/>
        <v/>
      </c>
      <c r="S261" s="40" t="str">
        <f t="shared" si="39"/>
        <v/>
      </c>
      <c r="U261" t="e">
        <f t="shared" ref="U261:U324" si="40">+VLOOKUP(W261,$J$4:$K$6,2,0)*100000+X261</f>
        <v>#N/A</v>
      </c>
      <c r="X261" t="e">
        <f t="shared" ref="X261:X324" si="41">+VLOOKUP(V261,$AC$3:$AD$364,2,0)</f>
        <v>#N/A</v>
      </c>
      <c r="Y261" t="e">
        <f t="shared" ref="Y261:Y324" si="42">+U261</f>
        <v>#N/A</v>
      </c>
      <c r="AC261" t="s">
        <v>265</v>
      </c>
      <c r="AD261">
        <v>10206</v>
      </c>
    </row>
    <row r="262" spans="18:30" x14ac:dyDescent="0.3">
      <c r="R262" s="20" t="str">
        <f t="shared" si="38"/>
        <v/>
      </c>
      <c r="S262" s="40" t="str">
        <f t="shared" si="39"/>
        <v/>
      </c>
      <c r="U262" t="e">
        <f t="shared" si="40"/>
        <v>#N/A</v>
      </c>
      <c r="X262" t="e">
        <f t="shared" si="41"/>
        <v>#N/A</v>
      </c>
      <c r="Y262" t="e">
        <f t="shared" si="42"/>
        <v>#N/A</v>
      </c>
      <c r="AC262" t="s">
        <v>266</v>
      </c>
      <c r="AD262">
        <v>10207</v>
      </c>
    </row>
    <row r="263" spans="18:30" x14ac:dyDescent="0.3">
      <c r="R263" s="20" t="str">
        <f t="shared" ref="R263:R272" si="43">+IF(Q263="","",R262+1)</f>
        <v/>
      </c>
      <c r="S263" s="40" t="str">
        <f t="shared" ref="S263:S272" si="44">+IF(Q263="","","M-"&amp;$B$1+R263)</f>
        <v/>
      </c>
      <c r="U263" t="e">
        <f t="shared" si="40"/>
        <v>#N/A</v>
      </c>
      <c r="X263" t="e">
        <f t="shared" si="41"/>
        <v>#N/A</v>
      </c>
      <c r="Y263" t="e">
        <f t="shared" si="42"/>
        <v>#N/A</v>
      </c>
      <c r="AC263" t="s">
        <v>267</v>
      </c>
      <c r="AD263">
        <v>10208</v>
      </c>
    </row>
    <row r="264" spans="18:30" x14ac:dyDescent="0.3">
      <c r="R264" s="20" t="str">
        <f t="shared" si="43"/>
        <v/>
      </c>
      <c r="S264" s="40" t="str">
        <f t="shared" si="44"/>
        <v/>
      </c>
      <c r="U264" t="e">
        <f t="shared" si="40"/>
        <v>#N/A</v>
      </c>
      <c r="X264" t="e">
        <f t="shared" si="41"/>
        <v>#N/A</v>
      </c>
      <c r="Y264" t="e">
        <f t="shared" si="42"/>
        <v>#N/A</v>
      </c>
      <c r="AC264" t="s">
        <v>268</v>
      </c>
      <c r="AD264">
        <v>10209</v>
      </c>
    </row>
    <row r="265" spans="18:30" x14ac:dyDescent="0.3">
      <c r="R265" s="20" t="str">
        <f t="shared" si="43"/>
        <v/>
      </c>
      <c r="S265" s="40" t="str">
        <f t="shared" si="44"/>
        <v/>
      </c>
      <c r="U265" t="e">
        <f t="shared" si="40"/>
        <v>#N/A</v>
      </c>
      <c r="X265" t="e">
        <f t="shared" si="41"/>
        <v>#N/A</v>
      </c>
      <c r="Y265" t="e">
        <f t="shared" si="42"/>
        <v>#N/A</v>
      </c>
      <c r="AC265" t="s">
        <v>269</v>
      </c>
      <c r="AD265">
        <v>10210</v>
      </c>
    </row>
    <row r="266" spans="18:30" x14ac:dyDescent="0.3">
      <c r="R266" s="20" t="str">
        <f t="shared" si="43"/>
        <v/>
      </c>
      <c r="S266" s="40" t="str">
        <f t="shared" si="44"/>
        <v/>
      </c>
      <c r="U266" t="e">
        <f t="shared" si="40"/>
        <v>#N/A</v>
      </c>
      <c r="X266" t="e">
        <f t="shared" si="41"/>
        <v>#N/A</v>
      </c>
      <c r="Y266" t="e">
        <f t="shared" si="42"/>
        <v>#N/A</v>
      </c>
      <c r="AC266" t="s">
        <v>270</v>
      </c>
      <c r="AD266">
        <v>10301</v>
      </c>
    </row>
    <row r="267" spans="18:30" x14ac:dyDescent="0.3">
      <c r="R267" s="20" t="str">
        <f t="shared" si="43"/>
        <v/>
      </c>
      <c r="S267" s="40" t="str">
        <f t="shared" si="44"/>
        <v/>
      </c>
      <c r="U267" t="e">
        <f t="shared" si="40"/>
        <v>#N/A</v>
      </c>
      <c r="X267" t="e">
        <f t="shared" si="41"/>
        <v>#N/A</v>
      </c>
      <c r="Y267" t="e">
        <f t="shared" si="42"/>
        <v>#N/A</v>
      </c>
      <c r="AC267" t="s">
        <v>271</v>
      </c>
      <c r="AD267">
        <v>10302</v>
      </c>
    </row>
    <row r="268" spans="18:30" x14ac:dyDescent="0.3">
      <c r="R268" s="20" t="str">
        <f t="shared" si="43"/>
        <v/>
      </c>
      <c r="S268" s="40" t="str">
        <f t="shared" si="44"/>
        <v/>
      </c>
      <c r="U268" t="e">
        <f t="shared" si="40"/>
        <v>#N/A</v>
      </c>
      <c r="X268" t="e">
        <f t="shared" si="41"/>
        <v>#N/A</v>
      </c>
      <c r="Y268" t="e">
        <f t="shared" si="42"/>
        <v>#N/A</v>
      </c>
      <c r="AC268" t="s">
        <v>272</v>
      </c>
      <c r="AD268">
        <v>10303</v>
      </c>
    </row>
    <row r="269" spans="18:30" x14ac:dyDescent="0.3">
      <c r="R269" s="20" t="str">
        <f t="shared" si="43"/>
        <v/>
      </c>
      <c r="S269" s="40" t="str">
        <f t="shared" si="44"/>
        <v/>
      </c>
      <c r="U269" t="e">
        <f t="shared" si="40"/>
        <v>#N/A</v>
      </c>
      <c r="X269" t="e">
        <f t="shared" si="41"/>
        <v>#N/A</v>
      </c>
      <c r="Y269" t="e">
        <f t="shared" si="42"/>
        <v>#N/A</v>
      </c>
      <c r="AC269" t="s">
        <v>273</v>
      </c>
      <c r="AD269">
        <v>10304</v>
      </c>
    </row>
    <row r="270" spans="18:30" x14ac:dyDescent="0.3">
      <c r="R270" s="20" t="str">
        <f t="shared" si="43"/>
        <v/>
      </c>
      <c r="S270" s="40" t="str">
        <f t="shared" si="44"/>
        <v/>
      </c>
      <c r="U270" t="e">
        <f t="shared" si="40"/>
        <v>#N/A</v>
      </c>
      <c r="X270" t="e">
        <f t="shared" si="41"/>
        <v>#N/A</v>
      </c>
      <c r="Y270" t="e">
        <f t="shared" si="42"/>
        <v>#N/A</v>
      </c>
      <c r="AC270" t="s">
        <v>274</v>
      </c>
      <c r="AD270">
        <v>10305</v>
      </c>
    </row>
    <row r="271" spans="18:30" x14ac:dyDescent="0.3">
      <c r="R271" s="20" t="str">
        <f t="shared" si="43"/>
        <v/>
      </c>
      <c r="S271" s="40" t="str">
        <f t="shared" si="44"/>
        <v/>
      </c>
      <c r="U271" t="e">
        <f t="shared" si="40"/>
        <v>#N/A</v>
      </c>
      <c r="X271" t="e">
        <f t="shared" si="41"/>
        <v>#N/A</v>
      </c>
      <c r="Y271" t="e">
        <f t="shared" si="42"/>
        <v>#N/A</v>
      </c>
      <c r="AC271" t="s">
        <v>275</v>
      </c>
      <c r="AD271">
        <v>10306</v>
      </c>
    </row>
    <row r="272" spans="18:30" x14ac:dyDescent="0.3">
      <c r="R272" s="20" t="str">
        <f t="shared" si="43"/>
        <v/>
      </c>
      <c r="S272" s="40" t="str">
        <f t="shared" si="44"/>
        <v/>
      </c>
      <c r="U272" t="e">
        <f t="shared" si="40"/>
        <v>#N/A</v>
      </c>
      <c r="X272" t="e">
        <f t="shared" si="41"/>
        <v>#N/A</v>
      </c>
      <c r="Y272" t="e">
        <f t="shared" si="42"/>
        <v>#N/A</v>
      </c>
      <c r="AC272" t="s">
        <v>276</v>
      </c>
      <c r="AD272">
        <v>10307</v>
      </c>
    </row>
    <row r="273" spans="21:30" x14ac:dyDescent="0.3">
      <c r="U273" t="e">
        <f t="shared" si="40"/>
        <v>#N/A</v>
      </c>
      <c r="X273" t="e">
        <f t="shared" si="41"/>
        <v>#N/A</v>
      </c>
      <c r="Y273" t="e">
        <f t="shared" si="42"/>
        <v>#N/A</v>
      </c>
      <c r="AC273" t="s">
        <v>277</v>
      </c>
      <c r="AD273">
        <v>10401</v>
      </c>
    </row>
    <row r="274" spans="21:30" x14ac:dyDescent="0.3">
      <c r="U274" t="e">
        <f t="shared" si="40"/>
        <v>#N/A</v>
      </c>
      <c r="X274" t="e">
        <f t="shared" si="41"/>
        <v>#N/A</v>
      </c>
      <c r="Y274" t="e">
        <f t="shared" si="42"/>
        <v>#N/A</v>
      </c>
      <c r="AC274" t="s">
        <v>278</v>
      </c>
      <c r="AD274">
        <v>10402</v>
      </c>
    </row>
    <row r="275" spans="21:30" x14ac:dyDescent="0.3">
      <c r="U275" t="e">
        <f t="shared" si="40"/>
        <v>#N/A</v>
      </c>
      <c r="X275" t="e">
        <f t="shared" si="41"/>
        <v>#N/A</v>
      </c>
      <c r="Y275" t="e">
        <f t="shared" si="42"/>
        <v>#N/A</v>
      </c>
      <c r="AC275" t="s">
        <v>279</v>
      </c>
      <c r="AD275">
        <v>10403</v>
      </c>
    </row>
    <row r="276" spans="21:30" x14ac:dyDescent="0.3">
      <c r="U276" t="e">
        <f t="shared" si="40"/>
        <v>#N/A</v>
      </c>
      <c r="X276" t="e">
        <f t="shared" si="41"/>
        <v>#N/A</v>
      </c>
      <c r="Y276" t="e">
        <f t="shared" si="42"/>
        <v>#N/A</v>
      </c>
      <c r="AC276" t="s">
        <v>280</v>
      </c>
      <c r="AD276">
        <v>10404</v>
      </c>
    </row>
    <row r="277" spans="21:30" x14ac:dyDescent="0.3">
      <c r="U277" t="e">
        <f t="shared" si="40"/>
        <v>#N/A</v>
      </c>
      <c r="X277" t="e">
        <f t="shared" si="41"/>
        <v>#N/A</v>
      </c>
      <c r="Y277" t="e">
        <f t="shared" si="42"/>
        <v>#N/A</v>
      </c>
      <c r="AC277" t="s">
        <v>281</v>
      </c>
      <c r="AD277">
        <v>11101</v>
      </c>
    </row>
    <row r="278" spans="21:30" x14ac:dyDescent="0.3">
      <c r="U278" t="e">
        <f t="shared" si="40"/>
        <v>#N/A</v>
      </c>
      <c r="X278" t="e">
        <f t="shared" si="41"/>
        <v>#N/A</v>
      </c>
      <c r="Y278" t="e">
        <f t="shared" si="42"/>
        <v>#N/A</v>
      </c>
      <c r="AC278" t="s">
        <v>282</v>
      </c>
      <c r="AD278">
        <v>11102</v>
      </c>
    </row>
    <row r="279" spans="21:30" x14ac:dyDescent="0.3">
      <c r="U279" t="e">
        <f t="shared" si="40"/>
        <v>#N/A</v>
      </c>
      <c r="X279" t="e">
        <f t="shared" si="41"/>
        <v>#N/A</v>
      </c>
      <c r="Y279" t="e">
        <f t="shared" si="42"/>
        <v>#N/A</v>
      </c>
      <c r="AC279" t="s">
        <v>283</v>
      </c>
      <c r="AD279">
        <v>11201</v>
      </c>
    </row>
    <row r="280" spans="21:30" x14ac:dyDescent="0.3">
      <c r="U280" t="e">
        <f t="shared" si="40"/>
        <v>#N/A</v>
      </c>
      <c r="X280" t="e">
        <f t="shared" si="41"/>
        <v>#N/A</v>
      </c>
      <c r="Y280" t="e">
        <f t="shared" si="42"/>
        <v>#N/A</v>
      </c>
      <c r="AC280" t="s">
        <v>284</v>
      </c>
      <c r="AD280">
        <v>11202</v>
      </c>
    </row>
    <row r="281" spans="21:30" x14ac:dyDescent="0.3">
      <c r="U281" t="e">
        <f t="shared" si="40"/>
        <v>#N/A</v>
      </c>
      <c r="X281" t="e">
        <f t="shared" si="41"/>
        <v>#N/A</v>
      </c>
      <c r="Y281" t="e">
        <f t="shared" si="42"/>
        <v>#N/A</v>
      </c>
      <c r="AC281" t="s">
        <v>285</v>
      </c>
      <c r="AD281">
        <v>11203</v>
      </c>
    </row>
    <row r="282" spans="21:30" x14ac:dyDescent="0.3">
      <c r="U282" t="e">
        <f t="shared" si="40"/>
        <v>#N/A</v>
      </c>
      <c r="X282" t="e">
        <f t="shared" si="41"/>
        <v>#N/A</v>
      </c>
      <c r="Y282" t="e">
        <f t="shared" si="42"/>
        <v>#N/A</v>
      </c>
      <c r="AC282" t="s">
        <v>286</v>
      </c>
      <c r="AD282">
        <v>11301</v>
      </c>
    </row>
    <row r="283" spans="21:30" x14ac:dyDescent="0.3">
      <c r="U283" t="e">
        <f t="shared" si="40"/>
        <v>#N/A</v>
      </c>
      <c r="X283" t="e">
        <f t="shared" si="41"/>
        <v>#N/A</v>
      </c>
      <c r="Y283" t="e">
        <f t="shared" si="42"/>
        <v>#N/A</v>
      </c>
      <c r="AC283" t="s">
        <v>22</v>
      </c>
      <c r="AD283">
        <v>11302</v>
      </c>
    </row>
    <row r="284" spans="21:30" x14ac:dyDescent="0.3">
      <c r="U284" t="e">
        <f t="shared" si="40"/>
        <v>#N/A</v>
      </c>
      <c r="X284" t="e">
        <f t="shared" si="41"/>
        <v>#N/A</v>
      </c>
      <c r="Y284" t="e">
        <f t="shared" si="42"/>
        <v>#N/A</v>
      </c>
      <c r="AC284" t="s">
        <v>287</v>
      </c>
      <c r="AD284">
        <v>11303</v>
      </c>
    </row>
    <row r="285" spans="21:30" x14ac:dyDescent="0.3">
      <c r="U285" t="e">
        <f t="shared" si="40"/>
        <v>#N/A</v>
      </c>
      <c r="X285" t="e">
        <f t="shared" si="41"/>
        <v>#N/A</v>
      </c>
      <c r="Y285" t="e">
        <f t="shared" si="42"/>
        <v>#N/A</v>
      </c>
      <c r="AC285" t="s">
        <v>288</v>
      </c>
      <c r="AD285">
        <v>11401</v>
      </c>
    </row>
    <row r="286" spans="21:30" x14ac:dyDescent="0.3">
      <c r="U286" t="e">
        <f t="shared" si="40"/>
        <v>#N/A</v>
      </c>
      <c r="X286" t="e">
        <f t="shared" si="41"/>
        <v>#N/A</v>
      </c>
      <c r="Y286" t="e">
        <f t="shared" si="42"/>
        <v>#N/A</v>
      </c>
      <c r="AC286" t="s">
        <v>289</v>
      </c>
      <c r="AD286">
        <v>11402</v>
      </c>
    </row>
    <row r="287" spans="21:30" x14ac:dyDescent="0.3">
      <c r="U287" t="e">
        <f t="shared" si="40"/>
        <v>#N/A</v>
      </c>
      <c r="X287" t="e">
        <f t="shared" si="41"/>
        <v>#N/A</v>
      </c>
      <c r="Y287" t="e">
        <f t="shared" si="42"/>
        <v>#N/A</v>
      </c>
      <c r="AC287" t="s">
        <v>290</v>
      </c>
      <c r="AD287">
        <v>12101</v>
      </c>
    </row>
    <row r="288" spans="21:30" x14ac:dyDescent="0.3">
      <c r="U288" t="e">
        <f t="shared" si="40"/>
        <v>#N/A</v>
      </c>
      <c r="X288" t="e">
        <f t="shared" si="41"/>
        <v>#N/A</v>
      </c>
      <c r="Y288" t="e">
        <f t="shared" si="42"/>
        <v>#N/A</v>
      </c>
      <c r="AC288" t="s">
        <v>291</v>
      </c>
      <c r="AD288">
        <v>12102</v>
      </c>
    </row>
    <row r="289" spans="21:30" x14ac:dyDescent="0.3">
      <c r="U289" t="e">
        <f t="shared" si="40"/>
        <v>#N/A</v>
      </c>
      <c r="X289" t="e">
        <f t="shared" si="41"/>
        <v>#N/A</v>
      </c>
      <c r="Y289" t="e">
        <f t="shared" si="42"/>
        <v>#N/A</v>
      </c>
      <c r="AC289" t="s">
        <v>292</v>
      </c>
      <c r="AD289">
        <v>12103</v>
      </c>
    </row>
    <row r="290" spans="21:30" x14ac:dyDescent="0.3">
      <c r="U290" t="e">
        <f t="shared" si="40"/>
        <v>#N/A</v>
      </c>
      <c r="X290" t="e">
        <f t="shared" si="41"/>
        <v>#N/A</v>
      </c>
      <c r="Y290" t="e">
        <f t="shared" si="42"/>
        <v>#N/A</v>
      </c>
      <c r="AC290" t="s">
        <v>293</v>
      </c>
      <c r="AD290">
        <v>12104</v>
      </c>
    </row>
    <row r="291" spans="21:30" x14ac:dyDescent="0.3">
      <c r="U291" t="e">
        <f t="shared" si="40"/>
        <v>#N/A</v>
      </c>
      <c r="X291" t="e">
        <f t="shared" si="41"/>
        <v>#N/A</v>
      </c>
      <c r="Y291" t="e">
        <f t="shared" si="42"/>
        <v>#N/A</v>
      </c>
      <c r="AC291" t="s">
        <v>294</v>
      </c>
      <c r="AD291">
        <v>12201</v>
      </c>
    </row>
    <row r="292" spans="21:30" x14ac:dyDescent="0.3">
      <c r="U292" t="e">
        <f t="shared" si="40"/>
        <v>#N/A</v>
      </c>
      <c r="X292" t="e">
        <f t="shared" si="41"/>
        <v>#N/A</v>
      </c>
      <c r="Y292" t="e">
        <f t="shared" si="42"/>
        <v>#N/A</v>
      </c>
      <c r="AC292" t="s">
        <v>295</v>
      </c>
      <c r="AD292">
        <v>12301</v>
      </c>
    </row>
    <row r="293" spans="21:30" x14ac:dyDescent="0.3">
      <c r="U293" t="e">
        <f t="shared" si="40"/>
        <v>#N/A</v>
      </c>
      <c r="X293" t="e">
        <f t="shared" si="41"/>
        <v>#N/A</v>
      </c>
      <c r="Y293" t="e">
        <f t="shared" si="42"/>
        <v>#N/A</v>
      </c>
      <c r="AC293" t="s">
        <v>296</v>
      </c>
      <c r="AD293">
        <v>12302</v>
      </c>
    </row>
    <row r="294" spans="21:30" x14ac:dyDescent="0.3">
      <c r="U294" t="e">
        <f t="shared" si="40"/>
        <v>#N/A</v>
      </c>
      <c r="X294" t="e">
        <f t="shared" si="41"/>
        <v>#N/A</v>
      </c>
      <c r="Y294" t="e">
        <f t="shared" si="42"/>
        <v>#N/A</v>
      </c>
      <c r="AC294" t="s">
        <v>297</v>
      </c>
      <c r="AD294">
        <v>12303</v>
      </c>
    </row>
    <row r="295" spans="21:30" x14ac:dyDescent="0.3">
      <c r="U295" t="e">
        <f t="shared" si="40"/>
        <v>#N/A</v>
      </c>
      <c r="X295" t="e">
        <f t="shared" si="41"/>
        <v>#N/A</v>
      </c>
      <c r="Y295" t="e">
        <f t="shared" si="42"/>
        <v>#N/A</v>
      </c>
      <c r="AC295" t="s">
        <v>298</v>
      </c>
      <c r="AD295">
        <v>12401</v>
      </c>
    </row>
    <row r="296" spans="21:30" x14ac:dyDescent="0.3">
      <c r="U296" t="e">
        <f t="shared" si="40"/>
        <v>#N/A</v>
      </c>
      <c r="X296" t="e">
        <f t="shared" si="41"/>
        <v>#N/A</v>
      </c>
      <c r="Y296" t="e">
        <f t="shared" si="42"/>
        <v>#N/A</v>
      </c>
      <c r="AC296" t="s">
        <v>299</v>
      </c>
      <c r="AD296">
        <v>12402</v>
      </c>
    </row>
    <row r="297" spans="21:30" x14ac:dyDescent="0.3">
      <c r="U297" t="e">
        <f t="shared" si="40"/>
        <v>#N/A</v>
      </c>
      <c r="X297" t="e">
        <f t="shared" si="41"/>
        <v>#N/A</v>
      </c>
      <c r="Y297" t="e">
        <f t="shared" si="42"/>
        <v>#N/A</v>
      </c>
      <c r="AC297" t="s">
        <v>300</v>
      </c>
      <c r="AD297">
        <v>13101</v>
      </c>
    </row>
    <row r="298" spans="21:30" x14ac:dyDescent="0.3">
      <c r="U298" t="e">
        <f t="shared" si="40"/>
        <v>#N/A</v>
      </c>
      <c r="X298" t="e">
        <f t="shared" si="41"/>
        <v>#N/A</v>
      </c>
      <c r="Y298" t="e">
        <f t="shared" si="42"/>
        <v>#N/A</v>
      </c>
      <c r="AC298" t="s">
        <v>301</v>
      </c>
      <c r="AD298">
        <v>13102</v>
      </c>
    </row>
    <row r="299" spans="21:30" x14ac:dyDescent="0.3">
      <c r="U299" t="e">
        <f t="shared" si="40"/>
        <v>#N/A</v>
      </c>
      <c r="X299" t="e">
        <f t="shared" si="41"/>
        <v>#N/A</v>
      </c>
      <c r="Y299" t="e">
        <f t="shared" si="42"/>
        <v>#N/A</v>
      </c>
      <c r="AC299" t="s">
        <v>302</v>
      </c>
      <c r="AD299">
        <v>13103</v>
      </c>
    </row>
    <row r="300" spans="21:30" x14ac:dyDescent="0.3">
      <c r="U300" t="e">
        <f t="shared" si="40"/>
        <v>#N/A</v>
      </c>
      <c r="X300" t="e">
        <f t="shared" si="41"/>
        <v>#N/A</v>
      </c>
      <c r="Y300" t="e">
        <f t="shared" si="42"/>
        <v>#N/A</v>
      </c>
      <c r="AC300" t="s">
        <v>303</v>
      </c>
      <c r="AD300">
        <v>13104</v>
      </c>
    </row>
    <row r="301" spans="21:30" x14ac:dyDescent="0.3">
      <c r="U301" t="e">
        <f t="shared" si="40"/>
        <v>#N/A</v>
      </c>
      <c r="X301" t="e">
        <f t="shared" si="41"/>
        <v>#N/A</v>
      </c>
      <c r="Y301" t="e">
        <f t="shared" si="42"/>
        <v>#N/A</v>
      </c>
      <c r="AC301" t="s">
        <v>304</v>
      </c>
      <c r="AD301">
        <v>13105</v>
      </c>
    </row>
    <row r="302" spans="21:30" x14ac:dyDescent="0.3">
      <c r="U302" t="e">
        <f t="shared" si="40"/>
        <v>#N/A</v>
      </c>
      <c r="X302" t="e">
        <f t="shared" si="41"/>
        <v>#N/A</v>
      </c>
      <c r="Y302" t="e">
        <f t="shared" si="42"/>
        <v>#N/A</v>
      </c>
      <c r="AC302" t="s">
        <v>305</v>
      </c>
      <c r="AD302">
        <v>13106</v>
      </c>
    </row>
    <row r="303" spans="21:30" x14ac:dyDescent="0.3">
      <c r="U303" t="e">
        <f t="shared" si="40"/>
        <v>#N/A</v>
      </c>
      <c r="X303" t="e">
        <f t="shared" si="41"/>
        <v>#N/A</v>
      </c>
      <c r="Y303" t="e">
        <f t="shared" si="42"/>
        <v>#N/A</v>
      </c>
      <c r="AC303" t="s">
        <v>306</v>
      </c>
      <c r="AD303">
        <v>13107</v>
      </c>
    </row>
    <row r="304" spans="21:30" x14ac:dyDescent="0.3">
      <c r="U304" t="e">
        <f t="shared" si="40"/>
        <v>#N/A</v>
      </c>
      <c r="X304" t="e">
        <f t="shared" si="41"/>
        <v>#N/A</v>
      </c>
      <c r="Y304" t="e">
        <f t="shared" si="42"/>
        <v>#N/A</v>
      </c>
      <c r="AC304" t="s">
        <v>307</v>
      </c>
      <c r="AD304">
        <v>13108</v>
      </c>
    </row>
    <row r="305" spans="21:30" x14ac:dyDescent="0.3">
      <c r="U305" t="e">
        <f t="shared" si="40"/>
        <v>#N/A</v>
      </c>
      <c r="X305" t="e">
        <f t="shared" si="41"/>
        <v>#N/A</v>
      </c>
      <c r="Y305" t="e">
        <f t="shared" si="42"/>
        <v>#N/A</v>
      </c>
      <c r="AC305" t="s">
        <v>308</v>
      </c>
      <c r="AD305">
        <v>13109</v>
      </c>
    </row>
    <row r="306" spans="21:30" x14ac:dyDescent="0.3">
      <c r="U306" t="e">
        <f t="shared" si="40"/>
        <v>#N/A</v>
      </c>
      <c r="X306" t="e">
        <f t="shared" si="41"/>
        <v>#N/A</v>
      </c>
      <c r="Y306" t="e">
        <f t="shared" si="42"/>
        <v>#N/A</v>
      </c>
      <c r="AC306" t="s">
        <v>309</v>
      </c>
      <c r="AD306">
        <v>13110</v>
      </c>
    </row>
    <row r="307" spans="21:30" x14ac:dyDescent="0.3">
      <c r="U307" t="e">
        <f t="shared" si="40"/>
        <v>#N/A</v>
      </c>
      <c r="X307" t="e">
        <f t="shared" si="41"/>
        <v>#N/A</v>
      </c>
      <c r="Y307" t="e">
        <f t="shared" si="42"/>
        <v>#N/A</v>
      </c>
      <c r="AC307" t="s">
        <v>310</v>
      </c>
      <c r="AD307">
        <v>13111</v>
      </c>
    </row>
    <row r="308" spans="21:30" x14ac:dyDescent="0.3">
      <c r="U308" t="e">
        <f t="shared" si="40"/>
        <v>#N/A</v>
      </c>
      <c r="X308" t="e">
        <f t="shared" si="41"/>
        <v>#N/A</v>
      </c>
      <c r="Y308" t="e">
        <f t="shared" si="42"/>
        <v>#N/A</v>
      </c>
      <c r="AC308" t="s">
        <v>311</v>
      </c>
      <c r="AD308">
        <v>13112</v>
      </c>
    </row>
    <row r="309" spans="21:30" x14ac:dyDescent="0.3">
      <c r="U309" t="e">
        <f t="shared" si="40"/>
        <v>#N/A</v>
      </c>
      <c r="X309" t="e">
        <f t="shared" si="41"/>
        <v>#N/A</v>
      </c>
      <c r="Y309" t="e">
        <f t="shared" si="42"/>
        <v>#N/A</v>
      </c>
      <c r="AC309" t="s">
        <v>312</v>
      </c>
      <c r="AD309">
        <v>13113</v>
      </c>
    </row>
    <row r="310" spans="21:30" x14ac:dyDescent="0.3">
      <c r="U310" t="e">
        <f t="shared" si="40"/>
        <v>#N/A</v>
      </c>
      <c r="X310" t="e">
        <f t="shared" si="41"/>
        <v>#N/A</v>
      </c>
      <c r="Y310" t="e">
        <f t="shared" si="42"/>
        <v>#N/A</v>
      </c>
      <c r="AC310" t="s">
        <v>313</v>
      </c>
      <c r="AD310">
        <v>13114</v>
      </c>
    </row>
    <row r="311" spans="21:30" x14ac:dyDescent="0.3">
      <c r="U311" t="e">
        <f t="shared" si="40"/>
        <v>#N/A</v>
      </c>
      <c r="X311" t="e">
        <f t="shared" si="41"/>
        <v>#N/A</v>
      </c>
      <c r="Y311" t="e">
        <f t="shared" si="42"/>
        <v>#N/A</v>
      </c>
      <c r="AC311" t="s">
        <v>314</v>
      </c>
      <c r="AD311">
        <v>13115</v>
      </c>
    </row>
    <row r="312" spans="21:30" x14ac:dyDescent="0.3">
      <c r="U312" t="e">
        <f t="shared" si="40"/>
        <v>#N/A</v>
      </c>
      <c r="X312" t="e">
        <f t="shared" si="41"/>
        <v>#N/A</v>
      </c>
      <c r="Y312" t="e">
        <f t="shared" si="42"/>
        <v>#N/A</v>
      </c>
      <c r="AC312" t="s">
        <v>315</v>
      </c>
      <c r="AD312">
        <v>13116</v>
      </c>
    </row>
    <row r="313" spans="21:30" x14ac:dyDescent="0.3">
      <c r="U313" t="e">
        <f t="shared" si="40"/>
        <v>#N/A</v>
      </c>
      <c r="X313" t="e">
        <f t="shared" si="41"/>
        <v>#N/A</v>
      </c>
      <c r="Y313" t="e">
        <f t="shared" si="42"/>
        <v>#N/A</v>
      </c>
      <c r="AC313" t="s">
        <v>316</v>
      </c>
      <c r="AD313">
        <v>13117</v>
      </c>
    </row>
    <row r="314" spans="21:30" x14ac:dyDescent="0.3">
      <c r="U314" t="e">
        <f t="shared" si="40"/>
        <v>#N/A</v>
      </c>
      <c r="X314" t="e">
        <f t="shared" si="41"/>
        <v>#N/A</v>
      </c>
      <c r="Y314" t="e">
        <f t="shared" si="42"/>
        <v>#N/A</v>
      </c>
      <c r="AC314" t="s">
        <v>317</v>
      </c>
      <c r="AD314">
        <v>13118</v>
      </c>
    </row>
    <row r="315" spans="21:30" x14ac:dyDescent="0.3">
      <c r="U315" t="e">
        <f t="shared" si="40"/>
        <v>#N/A</v>
      </c>
      <c r="X315" t="e">
        <f t="shared" si="41"/>
        <v>#N/A</v>
      </c>
      <c r="Y315" t="e">
        <f t="shared" si="42"/>
        <v>#N/A</v>
      </c>
      <c r="AC315" t="s">
        <v>318</v>
      </c>
      <c r="AD315">
        <v>13119</v>
      </c>
    </row>
    <row r="316" spans="21:30" x14ac:dyDescent="0.3">
      <c r="U316" t="e">
        <f t="shared" si="40"/>
        <v>#N/A</v>
      </c>
      <c r="X316" t="e">
        <f t="shared" si="41"/>
        <v>#N/A</v>
      </c>
      <c r="Y316" t="e">
        <f t="shared" si="42"/>
        <v>#N/A</v>
      </c>
      <c r="AC316" t="s">
        <v>319</v>
      </c>
      <c r="AD316">
        <v>13120</v>
      </c>
    </row>
    <row r="317" spans="21:30" x14ac:dyDescent="0.3">
      <c r="U317" t="e">
        <f t="shared" si="40"/>
        <v>#N/A</v>
      </c>
      <c r="X317" t="e">
        <f t="shared" si="41"/>
        <v>#N/A</v>
      </c>
      <c r="Y317" t="e">
        <f t="shared" si="42"/>
        <v>#N/A</v>
      </c>
      <c r="AC317" t="s">
        <v>320</v>
      </c>
      <c r="AD317">
        <v>13121</v>
      </c>
    </row>
    <row r="318" spans="21:30" x14ac:dyDescent="0.3">
      <c r="U318" t="e">
        <f t="shared" si="40"/>
        <v>#N/A</v>
      </c>
      <c r="X318" t="e">
        <f t="shared" si="41"/>
        <v>#N/A</v>
      </c>
      <c r="Y318" t="e">
        <f t="shared" si="42"/>
        <v>#N/A</v>
      </c>
      <c r="AC318" t="s">
        <v>321</v>
      </c>
      <c r="AD318">
        <v>13122</v>
      </c>
    </row>
    <row r="319" spans="21:30" x14ac:dyDescent="0.3">
      <c r="U319" t="e">
        <f t="shared" si="40"/>
        <v>#N/A</v>
      </c>
      <c r="X319" t="e">
        <f t="shared" si="41"/>
        <v>#N/A</v>
      </c>
      <c r="Y319" t="e">
        <f t="shared" si="42"/>
        <v>#N/A</v>
      </c>
      <c r="AC319" t="s">
        <v>322</v>
      </c>
      <c r="AD319">
        <v>13123</v>
      </c>
    </row>
    <row r="320" spans="21:30" x14ac:dyDescent="0.3">
      <c r="U320" t="e">
        <f t="shared" si="40"/>
        <v>#N/A</v>
      </c>
      <c r="X320" t="e">
        <f t="shared" si="41"/>
        <v>#N/A</v>
      </c>
      <c r="Y320" t="e">
        <f t="shared" si="42"/>
        <v>#N/A</v>
      </c>
      <c r="AC320" t="s">
        <v>323</v>
      </c>
      <c r="AD320">
        <v>13124</v>
      </c>
    </row>
    <row r="321" spans="21:30" x14ac:dyDescent="0.3">
      <c r="U321" t="e">
        <f t="shared" si="40"/>
        <v>#N/A</v>
      </c>
      <c r="X321" t="e">
        <f t="shared" si="41"/>
        <v>#N/A</v>
      </c>
      <c r="Y321" t="e">
        <f t="shared" si="42"/>
        <v>#N/A</v>
      </c>
      <c r="AC321" t="s">
        <v>324</v>
      </c>
      <c r="AD321">
        <v>13125</v>
      </c>
    </row>
    <row r="322" spans="21:30" x14ac:dyDescent="0.3">
      <c r="U322" t="e">
        <f t="shared" si="40"/>
        <v>#N/A</v>
      </c>
      <c r="X322" t="e">
        <f t="shared" si="41"/>
        <v>#N/A</v>
      </c>
      <c r="Y322" t="e">
        <f t="shared" si="42"/>
        <v>#N/A</v>
      </c>
      <c r="AC322" t="s">
        <v>325</v>
      </c>
      <c r="AD322">
        <v>13126</v>
      </c>
    </row>
    <row r="323" spans="21:30" x14ac:dyDescent="0.3">
      <c r="U323" t="e">
        <f t="shared" si="40"/>
        <v>#N/A</v>
      </c>
      <c r="X323" t="e">
        <f t="shared" si="41"/>
        <v>#N/A</v>
      </c>
      <c r="Y323" t="e">
        <f t="shared" si="42"/>
        <v>#N/A</v>
      </c>
      <c r="AC323" t="s">
        <v>18</v>
      </c>
      <c r="AD323">
        <v>13127</v>
      </c>
    </row>
    <row r="324" spans="21:30" x14ac:dyDescent="0.3">
      <c r="U324" t="e">
        <f t="shared" si="40"/>
        <v>#N/A</v>
      </c>
      <c r="X324" t="e">
        <f t="shared" si="41"/>
        <v>#N/A</v>
      </c>
      <c r="Y324" t="e">
        <f t="shared" si="42"/>
        <v>#N/A</v>
      </c>
      <c r="AC324" t="s">
        <v>326</v>
      </c>
      <c r="AD324">
        <v>13128</v>
      </c>
    </row>
    <row r="325" spans="21:30" x14ac:dyDescent="0.3">
      <c r="U325" t="e">
        <f t="shared" ref="U325:U366" si="45">+VLOOKUP(W325,$J$4:$K$6,2,0)*100000+X325</f>
        <v>#N/A</v>
      </c>
      <c r="X325" t="e">
        <f t="shared" ref="X325:X366" si="46">+VLOOKUP(V325,$AC$3:$AD$364,2,0)</f>
        <v>#N/A</v>
      </c>
      <c r="Y325" t="e">
        <f t="shared" ref="Y325:Y366" si="47">+U325</f>
        <v>#N/A</v>
      </c>
      <c r="AC325" t="s">
        <v>327</v>
      </c>
      <c r="AD325">
        <v>13129</v>
      </c>
    </row>
    <row r="326" spans="21:30" x14ac:dyDescent="0.3">
      <c r="U326" t="e">
        <f t="shared" si="45"/>
        <v>#N/A</v>
      </c>
      <c r="X326" t="e">
        <f t="shared" si="46"/>
        <v>#N/A</v>
      </c>
      <c r="Y326" t="e">
        <f t="shared" si="47"/>
        <v>#N/A</v>
      </c>
      <c r="AC326" t="s">
        <v>328</v>
      </c>
      <c r="AD326">
        <v>13130</v>
      </c>
    </row>
    <row r="327" spans="21:30" x14ac:dyDescent="0.3">
      <c r="U327" t="e">
        <f t="shared" si="45"/>
        <v>#N/A</v>
      </c>
      <c r="X327" t="e">
        <f t="shared" si="46"/>
        <v>#N/A</v>
      </c>
      <c r="Y327" t="e">
        <f t="shared" si="47"/>
        <v>#N/A</v>
      </c>
      <c r="AC327" t="s">
        <v>329</v>
      </c>
      <c r="AD327">
        <v>13131</v>
      </c>
    </row>
    <row r="328" spans="21:30" x14ac:dyDescent="0.3">
      <c r="U328" t="e">
        <f t="shared" si="45"/>
        <v>#N/A</v>
      </c>
      <c r="X328" t="e">
        <f t="shared" si="46"/>
        <v>#N/A</v>
      </c>
      <c r="Y328" t="e">
        <f t="shared" si="47"/>
        <v>#N/A</v>
      </c>
      <c r="AC328" t="s">
        <v>330</v>
      </c>
      <c r="AD328">
        <v>13132</v>
      </c>
    </row>
    <row r="329" spans="21:30" x14ac:dyDescent="0.3">
      <c r="U329" t="e">
        <f t="shared" si="45"/>
        <v>#N/A</v>
      </c>
      <c r="X329" t="e">
        <f t="shared" si="46"/>
        <v>#N/A</v>
      </c>
      <c r="Y329" t="e">
        <f t="shared" si="47"/>
        <v>#N/A</v>
      </c>
      <c r="AC329" t="s">
        <v>331</v>
      </c>
      <c r="AD329">
        <v>13201</v>
      </c>
    </row>
    <row r="330" spans="21:30" x14ac:dyDescent="0.3">
      <c r="U330" t="e">
        <f t="shared" si="45"/>
        <v>#N/A</v>
      </c>
      <c r="X330" t="e">
        <f t="shared" si="46"/>
        <v>#N/A</v>
      </c>
      <c r="Y330" t="e">
        <f t="shared" si="47"/>
        <v>#N/A</v>
      </c>
      <c r="AC330" t="s">
        <v>332</v>
      </c>
      <c r="AD330">
        <v>13202</v>
      </c>
    </row>
    <row r="331" spans="21:30" x14ac:dyDescent="0.3">
      <c r="U331" t="e">
        <f t="shared" si="45"/>
        <v>#N/A</v>
      </c>
      <c r="X331" t="e">
        <f t="shared" si="46"/>
        <v>#N/A</v>
      </c>
      <c r="Y331" t="e">
        <f t="shared" si="47"/>
        <v>#N/A</v>
      </c>
      <c r="AC331" t="s">
        <v>333</v>
      </c>
      <c r="AD331">
        <v>13203</v>
      </c>
    </row>
    <row r="332" spans="21:30" x14ac:dyDescent="0.3">
      <c r="U332" t="e">
        <f t="shared" si="45"/>
        <v>#N/A</v>
      </c>
      <c r="X332" t="e">
        <f t="shared" si="46"/>
        <v>#N/A</v>
      </c>
      <c r="Y332" t="e">
        <f t="shared" si="47"/>
        <v>#N/A</v>
      </c>
      <c r="AC332" t="s">
        <v>334</v>
      </c>
      <c r="AD332">
        <v>13301</v>
      </c>
    </row>
    <row r="333" spans="21:30" x14ac:dyDescent="0.3">
      <c r="U333" t="e">
        <f t="shared" si="45"/>
        <v>#N/A</v>
      </c>
      <c r="X333" t="e">
        <f t="shared" si="46"/>
        <v>#N/A</v>
      </c>
      <c r="Y333" t="e">
        <f t="shared" si="47"/>
        <v>#N/A</v>
      </c>
      <c r="AC333" t="s">
        <v>335</v>
      </c>
      <c r="AD333">
        <v>13302</v>
      </c>
    </row>
    <row r="334" spans="21:30" x14ac:dyDescent="0.3">
      <c r="U334" t="e">
        <f t="shared" si="45"/>
        <v>#N/A</v>
      </c>
      <c r="X334" t="e">
        <f t="shared" si="46"/>
        <v>#N/A</v>
      </c>
      <c r="Y334" t="e">
        <f t="shared" si="47"/>
        <v>#N/A</v>
      </c>
      <c r="AC334" t="s">
        <v>336</v>
      </c>
      <c r="AD334">
        <v>13303</v>
      </c>
    </row>
    <row r="335" spans="21:30" x14ac:dyDescent="0.3">
      <c r="U335" t="e">
        <f t="shared" si="45"/>
        <v>#N/A</v>
      </c>
      <c r="X335" t="e">
        <f t="shared" si="46"/>
        <v>#N/A</v>
      </c>
      <c r="Y335" t="e">
        <f t="shared" si="47"/>
        <v>#N/A</v>
      </c>
      <c r="AC335" t="s">
        <v>337</v>
      </c>
      <c r="AD335">
        <v>13401</v>
      </c>
    </row>
    <row r="336" spans="21:30" x14ac:dyDescent="0.3">
      <c r="U336" t="e">
        <f t="shared" si="45"/>
        <v>#N/A</v>
      </c>
      <c r="X336" t="e">
        <f t="shared" si="46"/>
        <v>#N/A</v>
      </c>
      <c r="Y336" t="e">
        <f t="shared" si="47"/>
        <v>#N/A</v>
      </c>
      <c r="AC336" t="s">
        <v>338</v>
      </c>
      <c r="AD336">
        <v>13402</v>
      </c>
    </row>
    <row r="337" spans="21:30" x14ac:dyDescent="0.3">
      <c r="U337" t="e">
        <f t="shared" si="45"/>
        <v>#N/A</v>
      </c>
      <c r="X337" t="e">
        <f t="shared" si="46"/>
        <v>#N/A</v>
      </c>
      <c r="Y337" t="e">
        <f t="shared" si="47"/>
        <v>#N/A</v>
      </c>
      <c r="AC337" t="s">
        <v>339</v>
      </c>
      <c r="AD337">
        <v>13403</v>
      </c>
    </row>
    <row r="338" spans="21:30" x14ac:dyDescent="0.3">
      <c r="U338" t="e">
        <f t="shared" si="45"/>
        <v>#N/A</v>
      </c>
      <c r="X338" t="e">
        <f t="shared" si="46"/>
        <v>#N/A</v>
      </c>
      <c r="Y338" t="e">
        <f t="shared" si="47"/>
        <v>#N/A</v>
      </c>
      <c r="AC338" t="s">
        <v>340</v>
      </c>
      <c r="AD338">
        <v>13404</v>
      </c>
    </row>
    <row r="339" spans="21:30" x14ac:dyDescent="0.3">
      <c r="U339" t="e">
        <f t="shared" si="45"/>
        <v>#N/A</v>
      </c>
      <c r="X339" t="e">
        <f t="shared" si="46"/>
        <v>#N/A</v>
      </c>
      <c r="Y339" t="e">
        <f t="shared" si="47"/>
        <v>#N/A</v>
      </c>
      <c r="AC339" t="s">
        <v>341</v>
      </c>
      <c r="AD339">
        <v>13501</v>
      </c>
    </row>
    <row r="340" spans="21:30" x14ac:dyDescent="0.3">
      <c r="U340" t="e">
        <f t="shared" si="45"/>
        <v>#N/A</v>
      </c>
      <c r="X340" t="e">
        <f t="shared" si="46"/>
        <v>#N/A</v>
      </c>
      <c r="Y340" t="e">
        <f t="shared" si="47"/>
        <v>#N/A</v>
      </c>
      <c r="AC340" t="s">
        <v>342</v>
      </c>
      <c r="AD340">
        <v>13502</v>
      </c>
    </row>
    <row r="341" spans="21:30" x14ac:dyDescent="0.3">
      <c r="U341" t="e">
        <f t="shared" si="45"/>
        <v>#N/A</v>
      </c>
      <c r="X341" t="e">
        <f t="shared" si="46"/>
        <v>#N/A</v>
      </c>
      <c r="Y341" t="e">
        <f t="shared" si="47"/>
        <v>#N/A</v>
      </c>
      <c r="AC341" t="s">
        <v>343</v>
      </c>
      <c r="AD341">
        <v>13503</v>
      </c>
    </row>
    <row r="342" spans="21:30" x14ac:dyDescent="0.3">
      <c r="U342" t="e">
        <f t="shared" si="45"/>
        <v>#N/A</v>
      </c>
      <c r="X342" t="e">
        <f t="shared" si="46"/>
        <v>#N/A</v>
      </c>
      <c r="Y342" t="e">
        <f t="shared" si="47"/>
        <v>#N/A</v>
      </c>
      <c r="AC342" t="s">
        <v>344</v>
      </c>
      <c r="AD342">
        <v>13504</v>
      </c>
    </row>
    <row r="343" spans="21:30" x14ac:dyDescent="0.3">
      <c r="U343" t="e">
        <f t="shared" si="45"/>
        <v>#N/A</v>
      </c>
      <c r="X343" t="e">
        <f t="shared" si="46"/>
        <v>#N/A</v>
      </c>
      <c r="Y343" t="e">
        <f t="shared" si="47"/>
        <v>#N/A</v>
      </c>
      <c r="AC343" t="s">
        <v>345</v>
      </c>
      <c r="AD343">
        <v>13505</v>
      </c>
    </row>
    <row r="344" spans="21:30" x14ac:dyDescent="0.3">
      <c r="U344" t="e">
        <f t="shared" si="45"/>
        <v>#N/A</v>
      </c>
      <c r="X344" t="e">
        <f t="shared" si="46"/>
        <v>#N/A</v>
      </c>
      <c r="Y344" t="e">
        <f t="shared" si="47"/>
        <v>#N/A</v>
      </c>
      <c r="AC344" t="s">
        <v>346</v>
      </c>
      <c r="AD344">
        <v>13601</v>
      </c>
    </row>
    <row r="345" spans="21:30" x14ac:dyDescent="0.3">
      <c r="U345" t="e">
        <f t="shared" si="45"/>
        <v>#N/A</v>
      </c>
      <c r="X345" t="e">
        <f t="shared" si="46"/>
        <v>#N/A</v>
      </c>
      <c r="Y345" t="e">
        <f t="shared" si="47"/>
        <v>#N/A</v>
      </c>
      <c r="AC345" t="s">
        <v>347</v>
      </c>
      <c r="AD345">
        <v>13602</v>
      </c>
    </row>
    <row r="346" spans="21:30" x14ac:dyDescent="0.3">
      <c r="U346" t="e">
        <f t="shared" si="45"/>
        <v>#N/A</v>
      </c>
      <c r="X346" t="e">
        <f t="shared" si="46"/>
        <v>#N/A</v>
      </c>
      <c r="Y346" t="e">
        <f t="shared" si="47"/>
        <v>#N/A</v>
      </c>
      <c r="AC346" t="s">
        <v>348</v>
      </c>
      <c r="AD346">
        <v>13603</v>
      </c>
    </row>
    <row r="347" spans="21:30" x14ac:dyDescent="0.3">
      <c r="U347" t="e">
        <f t="shared" si="45"/>
        <v>#N/A</v>
      </c>
      <c r="X347" t="e">
        <f t="shared" si="46"/>
        <v>#N/A</v>
      </c>
      <c r="Y347" t="e">
        <f t="shared" si="47"/>
        <v>#N/A</v>
      </c>
      <c r="AC347" t="s">
        <v>349</v>
      </c>
      <c r="AD347">
        <v>13604</v>
      </c>
    </row>
    <row r="348" spans="21:30" x14ac:dyDescent="0.3">
      <c r="U348" t="e">
        <f t="shared" si="45"/>
        <v>#N/A</v>
      </c>
      <c r="X348" t="e">
        <f t="shared" si="46"/>
        <v>#N/A</v>
      </c>
      <c r="Y348" t="e">
        <f t="shared" si="47"/>
        <v>#N/A</v>
      </c>
      <c r="AC348" t="s">
        <v>350</v>
      </c>
      <c r="AD348">
        <v>13605</v>
      </c>
    </row>
    <row r="349" spans="21:30" x14ac:dyDescent="0.3">
      <c r="U349" t="e">
        <f t="shared" si="45"/>
        <v>#N/A</v>
      </c>
      <c r="X349" t="e">
        <f t="shared" si="46"/>
        <v>#N/A</v>
      </c>
      <c r="Y349" t="e">
        <f t="shared" si="47"/>
        <v>#N/A</v>
      </c>
      <c r="AC349" t="s">
        <v>351</v>
      </c>
      <c r="AD349">
        <v>14101</v>
      </c>
    </row>
    <row r="350" spans="21:30" x14ac:dyDescent="0.3">
      <c r="U350" t="e">
        <f t="shared" si="45"/>
        <v>#N/A</v>
      </c>
      <c r="X350" t="e">
        <f t="shared" si="46"/>
        <v>#N/A</v>
      </c>
      <c r="Y350" t="e">
        <f t="shared" si="47"/>
        <v>#N/A</v>
      </c>
      <c r="AC350" t="s">
        <v>352</v>
      </c>
      <c r="AD350">
        <v>14102</v>
      </c>
    </row>
    <row r="351" spans="21:30" x14ac:dyDescent="0.3">
      <c r="U351" t="e">
        <f t="shared" si="45"/>
        <v>#N/A</v>
      </c>
      <c r="X351" t="e">
        <f t="shared" si="46"/>
        <v>#N/A</v>
      </c>
      <c r="Y351" t="e">
        <f t="shared" si="47"/>
        <v>#N/A</v>
      </c>
      <c r="AC351" t="s">
        <v>353</v>
      </c>
      <c r="AD351">
        <v>14103</v>
      </c>
    </row>
    <row r="352" spans="21:30" x14ac:dyDescent="0.3">
      <c r="U352" t="e">
        <f t="shared" si="45"/>
        <v>#N/A</v>
      </c>
      <c r="X352" t="e">
        <f t="shared" si="46"/>
        <v>#N/A</v>
      </c>
      <c r="Y352" t="e">
        <f t="shared" si="47"/>
        <v>#N/A</v>
      </c>
      <c r="AC352" t="s">
        <v>28</v>
      </c>
      <c r="AD352">
        <v>14104</v>
      </c>
    </row>
    <row r="353" spans="21:30" x14ac:dyDescent="0.3">
      <c r="U353" t="e">
        <f t="shared" si="45"/>
        <v>#N/A</v>
      </c>
      <c r="X353" t="e">
        <f t="shared" si="46"/>
        <v>#N/A</v>
      </c>
      <c r="Y353" t="e">
        <f t="shared" si="47"/>
        <v>#N/A</v>
      </c>
      <c r="AC353" t="s">
        <v>354</v>
      </c>
      <c r="AD353">
        <v>14105</v>
      </c>
    </row>
    <row r="354" spans="21:30" x14ac:dyDescent="0.3">
      <c r="U354" t="e">
        <f t="shared" si="45"/>
        <v>#N/A</v>
      </c>
      <c r="X354" t="e">
        <f t="shared" si="46"/>
        <v>#N/A</v>
      </c>
      <c r="Y354" t="e">
        <f t="shared" si="47"/>
        <v>#N/A</v>
      </c>
      <c r="AC354" t="s">
        <v>355</v>
      </c>
      <c r="AD354">
        <v>14106</v>
      </c>
    </row>
    <row r="355" spans="21:30" x14ac:dyDescent="0.3">
      <c r="U355" t="e">
        <f t="shared" si="45"/>
        <v>#N/A</v>
      </c>
      <c r="X355" t="e">
        <f t="shared" si="46"/>
        <v>#N/A</v>
      </c>
      <c r="Y355" t="e">
        <f t="shared" si="47"/>
        <v>#N/A</v>
      </c>
      <c r="AC355" t="s">
        <v>356</v>
      </c>
      <c r="AD355">
        <v>14107</v>
      </c>
    </row>
    <row r="356" spans="21:30" x14ac:dyDescent="0.3">
      <c r="U356" t="e">
        <f t="shared" si="45"/>
        <v>#N/A</v>
      </c>
      <c r="X356" t="e">
        <f t="shared" si="46"/>
        <v>#N/A</v>
      </c>
      <c r="Y356" t="e">
        <f t="shared" si="47"/>
        <v>#N/A</v>
      </c>
      <c r="AC356" t="s">
        <v>357</v>
      </c>
      <c r="AD356">
        <v>14108</v>
      </c>
    </row>
    <row r="357" spans="21:30" x14ac:dyDescent="0.3">
      <c r="U357" t="e">
        <f t="shared" si="45"/>
        <v>#N/A</v>
      </c>
      <c r="X357" t="e">
        <f t="shared" si="46"/>
        <v>#N/A</v>
      </c>
      <c r="Y357" t="e">
        <f t="shared" si="47"/>
        <v>#N/A</v>
      </c>
      <c r="AC357" t="s">
        <v>358</v>
      </c>
      <c r="AD357">
        <v>14201</v>
      </c>
    </row>
    <row r="358" spans="21:30" x14ac:dyDescent="0.3">
      <c r="U358" t="e">
        <f t="shared" si="45"/>
        <v>#N/A</v>
      </c>
      <c r="X358" t="e">
        <f t="shared" si="46"/>
        <v>#N/A</v>
      </c>
      <c r="Y358" t="e">
        <f t="shared" si="47"/>
        <v>#N/A</v>
      </c>
      <c r="AC358" t="s">
        <v>359</v>
      </c>
      <c r="AD358">
        <v>14202</v>
      </c>
    </row>
    <row r="359" spans="21:30" x14ac:dyDescent="0.3">
      <c r="U359" t="e">
        <f t="shared" si="45"/>
        <v>#N/A</v>
      </c>
      <c r="X359" t="e">
        <f t="shared" si="46"/>
        <v>#N/A</v>
      </c>
      <c r="Y359" t="e">
        <f t="shared" si="47"/>
        <v>#N/A</v>
      </c>
      <c r="AC359" t="s">
        <v>360</v>
      </c>
      <c r="AD359">
        <v>14203</v>
      </c>
    </row>
    <row r="360" spans="21:30" x14ac:dyDescent="0.3">
      <c r="U360" t="e">
        <f t="shared" si="45"/>
        <v>#N/A</v>
      </c>
      <c r="X360" t="e">
        <f t="shared" si="46"/>
        <v>#N/A</v>
      </c>
      <c r="Y360" t="e">
        <f t="shared" si="47"/>
        <v>#N/A</v>
      </c>
      <c r="AC360" t="s">
        <v>361</v>
      </c>
      <c r="AD360">
        <v>14204</v>
      </c>
    </row>
    <row r="361" spans="21:30" x14ac:dyDescent="0.3">
      <c r="U361" t="e">
        <f t="shared" si="45"/>
        <v>#N/A</v>
      </c>
      <c r="X361" t="e">
        <f t="shared" si="46"/>
        <v>#N/A</v>
      </c>
      <c r="Y361" t="e">
        <f t="shared" si="47"/>
        <v>#N/A</v>
      </c>
      <c r="AC361" t="s">
        <v>362</v>
      </c>
      <c r="AD361">
        <v>15101</v>
      </c>
    </row>
    <row r="362" spans="21:30" x14ac:dyDescent="0.3">
      <c r="U362" t="e">
        <f t="shared" si="45"/>
        <v>#N/A</v>
      </c>
      <c r="X362" t="e">
        <f t="shared" si="46"/>
        <v>#N/A</v>
      </c>
      <c r="Y362" t="e">
        <f t="shared" si="47"/>
        <v>#N/A</v>
      </c>
      <c r="AC362" t="s">
        <v>363</v>
      </c>
      <c r="AD362">
        <v>15102</v>
      </c>
    </row>
    <row r="363" spans="21:30" x14ac:dyDescent="0.3">
      <c r="U363" t="e">
        <f t="shared" si="45"/>
        <v>#N/A</v>
      </c>
      <c r="X363" t="e">
        <f t="shared" si="46"/>
        <v>#N/A</v>
      </c>
      <c r="Y363" t="e">
        <f t="shared" si="47"/>
        <v>#N/A</v>
      </c>
      <c r="AC363" t="s">
        <v>364</v>
      </c>
      <c r="AD363">
        <v>15201</v>
      </c>
    </row>
    <row r="364" spans="21:30" x14ac:dyDescent="0.3">
      <c r="U364" t="e">
        <f t="shared" si="45"/>
        <v>#N/A</v>
      </c>
      <c r="X364" t="e">
        <f t="shared" si="46"/>
        <v>#N/A</v>
      </c>
      <c r="Y364" t="e">
        <f t="shared" si="47"/>
        <v>#N/A</v>
      </c>
      <c r="AC364" t="s">
        <v>365</v>
      </c>
      <c r="AD364">
        <v>15202</v>
      </c>
    </row>
    <row r="365" spans="21:30" x14ac:dyDescent="0.3">
      <c r="U365" t="e">
        <f t="shared" si="45"/>
        <v>#N/A</v>
      </c>
      <c r="X365" t="e">
        <f t="shared" si="46"/>
        <v>#N/A</v>
      </c>
      <c r="Y365" t="e">
        <f t="shared" si="47"/>
        <v>#N/A</v>
      </c>
    </row>
    <row r="366" spans="21:30" x14ac:dyDescent="0.3">
      <c r="U366" t="e">
        <f t="shared" si="45"/>
        <v>#N/A</v>
      </c>
      <c r="X366" t="e">
        <f t="shared" si="46"/>
        <v>#N/A</v>
      </c>
      <c r="Y366" t="e">
        <f t="shared" si="47"/>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E38F2-E30C-486F-B623-92C6621EEDFC}">
  <dimension ref="A1:N368"/>
  <sheetViews>
    <sheetView topLeftCell="A243" workbookViewId="0">
      <selection activeCell="K3" sqref="K3:K364"/>
    </sheetView>
  </sheetViews>
  <sheetFormatPr baseColWidth="10" defaultRowHeight="14.4" x14ac:dyDescent="0.3"/>
  <sheetData>
    <row r="1" spans="1:14" x14ac:dyDescent="0.3">
      <c r="A1" t="str">
        <f>+A364</f>
        <v>362</v>
      </c>
      <c r="B1" t="str">
        <f t="shared" ref="B1:N1" si="0">+B364</f>
        <v>0724</v>
      </c>
      <c r="C1" t="str">
        <f t="shared" si="0"/>
        <v>1086</v>
      </c>
      <c r="D1" t="str">
        <f t="shared" si="0"/>
        <v>1448</v>
      </c>
      <c r="E1" t="str">
        <f t="shared" si="0"/>
        <v>1810</v>
      </c>
      <c r="F1" t="str">
        <f t="shared" si="0"/>
        <v>2172</v>
      </c>
      <c r="G1" t="str">
        <f t="shared" si="0"/>
        <v>2534</v>
      </c>
      <c r="H1" t="str">
        <f t="shared" si="0"/>
        <v>2896</v>
      </c>
      <c r="I1" t="str">
        <f t="shared" si="0"/>
        <v>3258</v>
      </c>
      <c r="J1" t="str">
        <f t="shared" si="0"/>
        <v>3620</v>
      </c>
      <c r="K1" t="str">
        <f t="shared" si="0"/>
        <v>3982</v>
      </c>
      <c r="L1" t="str">
        <f t="shared" si="0"/>
        <v>4344</v>
      </c>
      <c r="M1" t="str">
        <f t="shared" si="0"/>
        <v>4706</v>
      </c>
      <c r="N1" t="str">
        <f t="shared" si="0"/>
        <v>5068</v>
      </c>
    </row>
    <row r="3" spans="1:14" x14ac:dyDescent="0.3">
      <c r="A3" s="44" t="s">
        <v>3479</v>
      </c>
      <c r="B3" s="44" t="s">
        <v>759</v>
      </c>
      <c r="C3" s="44" t="s">
        <v>1121</v>
      </c>
      <c r="D3" s="44" t="s">
        <v>1483</v>
      </c>
      <c r="E3" s="44" t="s">
        <v>1845</v>
      </c>
      <c r="F3" s="44" t="s">
        <v>2207</v>
      </c>
      <c r="G3" s="44" t="s">
        <v>2554</v>
      </c>
      <c r="H3" s="44" t="s">
        <v>2916</v>
      </c>
      <c r="I3" s="44" t="s">
        <v>3278</v>
      </c>
      <c r="J3" s="44" t="s">
        <v>4084</v>
      </c>
      <c r="K3" s="44" t="s">
        <v>4439</v>
      </c>
      <c r="L3" s="44" t="s">
        <v>4785</v>
      </c>
      <c r="M3" s="44" t="s">
        <v>5126</v>
      </c>
      <c r="N3" s="44" t="s">
        <v>5481</v>
      </c>
    </row>
    <row r="4" spans="1:14" x14ac:dyDescent="0.3">
      <c r="A4" s="44" t="s">
        <v>3480</v>
      </c>
      <c r="B4" s="44" t="s">
        <v>760</v>
      </c>
      <c r="C4" s="44" t="s">
        <v>1122</v>
      </c>
      <c r="D4" s="44" t="s">
        <v>1484</v>
      </c>
      <c r="E4" s="44" t="s">
        <v>1846</v>
      </c>
      <c r="F4" s="44" t="s">
        <v>2208</v>
      </c>
      <c r="G4" s="44" t="s">
        <v>2555</v>
      </c>
      <c r="H4" s="44" t="s">
        <v>2917</v>
      </c>
      <c r="I4" s="44" t="s">
        <v>3279</v>
      </c>
      <c r="J4" s="44" t="s">
        <v>4111</v>
      </c>
      <c r="K4" s="44" t="s">
        <v>4443</v>
      </c>
      <c r="L4" s="44" t="s">
        <v>4787</v>
      </c>
      <c r="M4" s="44" t="s">
        <v>5130</v>
      </c>
      <c r="N4" s="44" t="s">
        <v>5482</v>
      </c>
    </row>
    <row r="5" spans="1:14" x14ac:dyDescent="0.3">
      <c r="A5" s="44" t="s">
        <v>3481</v>
      </c>
      <c r="B5" s="44" t="s">
        <v>761</v>
      </c>
      <c r="C5" s="44" t="s">
        <v>1123</v>
      </c>
      <c r="D5" s="44" t="s">
        <v>1485</v>
      </c>
      <c r="E5" s="44" t="s">
        <v>1847</v>
      </c>
      <c r="F5" s="44" t="s">
        <v>2209</v>
      </c>
      <c r="G5" s="44" t="s">
        <v>2556</v>
      </c>
      <c r="H5" s="44" t="s">
        <v>2918</v>
      </c>
      <c r="I5" s="44" t="s">
        <v>3280</v>
      </c>
      <c r="J5" s="44" t="s">
        <v>4112</v>
      </c>
      <c r="K5" s="44" t="s">
        <v>4444</v>
      </c>
      <c r="L5" s="44" t="s">
        <v>4788</v>
      </c>
      <c r="M5" s="44" t="s">
        <v>5127</v>
      </c>
      <c r="N5" s="44" t="s">
        <v>5483</v>
      </c>
    </row>
    <row r="6" spans="1:14" x14ac:dyDescent="0.3">
      <c r="A6" s="44" t="s">
        <v>3482</v>
      </c>
      <c r="B6" s="44" t="s">
        <v>762</v>
      </c>
      <c r="C6" s="44" t="s">
        <v>1124</v>
      </c>
      <c r="D6" s="44" t="s">
        <v>1486</v>
      </c>
      <c r="E6" s="44" t="s">
        <v>1848</v>
      </c>
      <c r="F6" s="44" t="s">
        <v>2210</v>
      </c>
      <c r="G6" s="44" t="s">
        <v>2557</v>
      </c>
      <c r="H6" s="44" t="s">
        <v>2919</v>
      </c>
      <c r="I6" s="44" t="s">
        <v>3281</v>
      </c>
      <c r="J6" s="44" t="s">
        <v>4113</v>
      </c>
      <c r="K6" s="44" t="s">
        <v>4445</v>
      </c>
      <c r="L6" s="44" t="s">
        <v>4789</v>
      </c>
      <c r="M6" s="44" t="s">
        <v>5128</v>
      </c>
      <c r="N6" s="44" t="s">
        <v>5484</v>
      </c>
    </row>
    <row r="7" spans="1:14" x14ac:dyDescent="0.3">
      <c r="A7" s="44" t="s">
        <v>3483</v>
      </c>
      <c r="B7" s="44" t="s">
        <v>763</v>
      </c>
      <c r="C7" s="44" t="s">
        <v>1125</v>
      </c>
      <c r="D7" s="44" t="s">
        <v>1487</v>
      </c>
      <c r="E7" s="44" t="s">
        <v>1849</v>
      </c>
      <c r="F7" s="44" t="s">
        <v>2211</v>
      </c>
      <c r="G7" s="44" t="s">
        <v>2558</v>
      </c>
      <c r="H7" s="44" t="s">
        <v>2920</v>
      </c>
      <c r="I7" s="44" t="s">
        <v>3282</v>
      </c>
      <c r="J7" s="44" t="s">
        <v>4114</v>
      </c>
      <c r="K7" s="44" t="s">
        <v>4446</v>
      </c>
      <c r="L7" s="44" t="s">
        <v>3905</v>
      </c>
      <c r="M7" s="44" t="s">
        <v>5129</v>
      </c>
      <c r="N7" s="44" t="s">
        <v>5485</v>
      </c>
    </row>
    <row r="8" spans="1:14" x14ac:dyDescent="0.3">
      <c r="A8" s="44" t="s">
        <v>3484</v>
      </c>
      <c r="B8" s="44" t="s">
        <v>764</v>
      </c>
      <c r="C8" s="44" t="s">
        <v>1126</v>
      </c>
      <c r="D8" s="44" t="s">
        <v>1488</v>
      </c>
      <c r="E8" s="44" t="s">
        <v>1850</v>
      </c>
      <c r="F8" s="44" t="s">
        <v>2212</v>
      </c>
      <c r="G8" s="44" t="s">
        <v>2559</v>
      </c>
      <c r="H8" s="44" t="s">
        <v>2921</v>
      </c>
      <c r="I8" s="44" t="s">
        <v>3283</v>
      </c>
      <c r="J8" s="44" t="s">
        <v>4115</v>
      </c>
      <c r="K8" s="44" t="s">
        <v>4447</v>
      </c>
      <c r="L8" s="44" t="s">
        <v>4790</v>
      </c>
      <c r="M8" s="44" t="s">
        <v>5131</v>
      </c>
      <c r="N8" s="44" t="s">
        <v>5486</v>
      </c>
    </row>
    <row r="9" spans="1:14" x14ac:dyDescent="0.3">
      <c r="A9" s="44" t="s">
        <v>3485</v>
      </c>
      <c r="B9" s="44" t="s">
        <v>765</v>
      </c>
      <c r="C9" s="44" t="s">
        <v>1127</v>
      </c>
      <c r="D9" s="44" t="s">
        <v>1489</v>
      </c>
      <c r="E9" s="44" t="s">
        <v>1851</v>
      </c>
      <c r="F9" s="44" t="s">
        <v>2213</v>
      </c>
      <c r="G9" s="44" t="s">
        <v>2560</v>
      </c>
      <c r="H9" s="44" t="s">
        <v>2922</v>
      </c>
      <c r="I9" s="44" t="s">
        <v>3284</v>
      </c>
      <c r="J9" s="44" t="s">
        <v>4116</v>
      </c>
      <c r="K9" s="44" t="s">
        <v>4448</v>
      </c>
      <c r="L9" s="44" t="s">
        <v>4791</v>
      </c>
      <c r="M9" s="44" t="s">
        <v>5132</v>
      </c>
      <c r="N9" s="44" t="s">
        <v>5487</v>
      </c>
    </row>
    <row r="10" spans="1:14" x14ac:dyDescent="0.3">
      <c r="A10" s="44" t="s">
        <v>3486</v>
      </c>
      <c r="B10" s="44" t="s">
        <v>766</v>
      </c>
      <c r="C10" s="44" t="s">
        <v>1128</v>
      </c>
      <c r="D10" s="44" t="s">
        <v>1490</v>
      </c>
      <c r="E10" s="44" t="s">
        <v>1852</v>
      </c>
      <c r="F10" s="44" t="s">
        <v>2214</v>
      </c>
      <c r="G10" s="44" t="s">
        <v>2561</v>
      </c>
      <c r="H10" s="44" t="s">
        <v>2923</v>
      </c>
      <c r="I10" s="44" t="s">
        <v>3285</v>
      </c>
      <c r="J10" s="44" t="s">
        <v>4117</v>
      </c>
      <c r="K10" s="44" t="s">
        <v>4449</v>
      </c>
      <c r="L10" s="44" t="s">
        <v>4792</v>
      </c>
      <c r="M10" s="44" t="s">
        <v>5133</v>
      </c>
      <c r="N10" s="44" t="s">
        <v>5488</v>
      </c>
    </row>
    <row r="11" spans="1:14" x14ac:dyDescent="0.3">
      <c r="A11" s="44" t="s">
        <v>3487</v>
      </c>
      <c r="B11" s="44" t="s">
        <v>767</v>
      </c>
      <c r="C11" s="44" t="s">
        <v>1129</v>
      </c>
      <c r="D11" s="44" t="s">
        <v>1491</v>
      </c>
      <c r="E11" s="44" t="s">
        <v>1853</v>
      </c>
      <c r="F11" s="44" t="s">
        <v>2215</v>
      </c>
      <c r="G11" s="44" t="s">
        <v>2562</v>
      </c>
      <c r="H11" s="44" t="s">
        <v>2924</v>
      </c>
      <c r="I11" s="44" t="s">
        <v>3286</v>
      </c>
      <c r="J11" s="44" t="s">
        <v>4118</v>
      </c>
      <c r="K11" s="44" t="s">
        <v>4450</v>
      </c>
      <c r="L11" s="44" t="s">
        <v>4793</v>
      </c>
      <c r="M11" s="44" t="s">
        <v>5134</v>
      </c>
      <c r="N11" s="44" t="s">
        <v>5489</v>
      </c>
    </row>
    <row r="12" spans="1:14" x14ac:dyDescent="0.3">
      <c r="A12" s="44" t="s">
        <v>3488</v>
      </c>
      <c r="B12" s="44" t="s">
        <v>768</v>
      </c>
      <c r="C12" s="44" t="s">
        <v>1130</v>
      </c>
      <c r="D12" s="44" t="s">
        <v>1492</v>
      </c>
      <c r="E12" s="44" t="s">
        <v>1854</v>
      </c>
      <c r="F12" s="44" t="s">
        <v>2216</v>
      </c>
      <c r="G12" s="44" t="s">
        <v>2563</v>
      </c>
      <c r="H12" s="44" t="s">
        <v>2925</v>
      </c>
      <c r="I12" s="44" t="s">
        <v>3287</v>
      </c>
      <c r="J12" s="44" t="s">
        <v>4119</v>
      </c>
      <c r="K12" s="44" t="s">
        <v>4451</v>
      </c>
      <c r="L12" s="44" t="s">
        <v>4794</v>
      </c>
      <c r="M12" s="44" t="s">
        <v>5135</v>
      </c>
      <c r="N12" s="44" t="s">
        <v>5490</v>
      </c>
    </row>
    <row r="13" spans="1:14" x14ac:dyDescent="0.3">
      <c r="A13" s="44" t="s">
        <v>3489</v>
      </c>
      <c r="B13" s="44" t="s">
        <v>769</v>
      </c>
      <c r="C13" s="44" t="s">
        <v>1131</v>
      </c>
      <c r="D13" s="44" t="s">
        <v>1493</v>
      </c>
      <c r="E13" s="44" t="s">
        <v>1855</v>
      </c>
      <c r="F13" s="44" t="s">
        <v>2217</v>
      </c>
      <c r="G13" s="44" t="s">
        <v>2564</v>
      </c>
      <c r="H13" s="44" t="s">
        <v>2926</v>
      </c>
      <c r="I13" s="44" t="s">
        <v>3288</v>
      </c>
      <c r="J13" s="44" t="s">
        <v>4120</v>
      </c>
      <c r="K13" s="44" t="s">
        <v>4452</v>
      </c>
      <c r="L13" s="44" t="s">
        <v>4786</v>
      </c>
      <c r="M13" s="44" t="s">
        <v>5136</v>
      </c>
      <c r="N13" s="44" t="s">
        <v>5491</v>
      </c>
    </row>
    <row r="14" spans="1:14" x14ac:dyDescent="0.3">
      <c r="A14" s="44" t="s">
        <v>3490</v>
      </c>
      <c r="B14" s="44" t="s">
        <v>770</v>
      </c>
      <c r="C14" s="44" t="s">
        <v>1132</v>
      </c>
      <c r="D14" s="44" t="s">
        <v>1494</v>
      </c>
      <c r="E14" s="44" t="s">
        <v>1856</v>
      </c>
      <c r="F14" s="44" t="s">
        <v>2218</v>
      </c>
      <c r="G14" s="44" t="s">
        <v>2565</v>
      </c>
      <c r="H14" s="44" t="s">
        <v>2927</v>
      </c>
      <c r="I14" s="44" t="s">
        <v>3289</v>
      </c>
      <c r="J14" s="44" t="s">
        <v>4121</v>
      </c>
      <c r="K14" s="44" t="s">
        <v>4453</v>
      </c>
      <c r="L14" s="44" t="s">
        <v>4795</v>
      </c>
      <c r="M14" s="44" t="s">
        <v>5137</v>
      </c>
      <c r="N14" s="44" t="s">
        <v>5492</v>
      </c>
    </row>
    <row r="15" spans="1:14" x14ac:dyDescent="0.3">
      <c r="A15" s="44" t="s">
        <v>3491</v>
      </c>
      <c r="B15" s="44" t="s">
        <v>771</v>
      </c>
      <c r="C15" s="44" t="s">
        <v>1133</v>
      </c>
      <c r="D15" s="44" t="s">
        <v>1495</v>
      </c>
      <c r="E15" s="44" t="s">
        <v>1857</v>
      </c>
      <c r="F15" s="44" t="s">
        <v>2219</v>
      </c>
      <c r="G15" s="44" t="s">
        <v>2566</v>
      </c>
      <c r="H15" s="44" t="s">
        <v>2928</v>
      </c>
      <c r="I15" s="44" t="s">
        <v>3290</v>
      </c>
      <c r="J15" s="44" t="s">
        <v>4085</v>
      </c>
      <c r="K15" s="44" t="s">
        <v>4454</v>
      </c>
      <c r="L15" s="44" t="s">
        <v>4796</v>
      </c>
      <c r="M15" s="44" t="s">
        <v>5138</v>
      </c>
      <c r="N15" s="44" t="s">
        <v>5493</v>
      </c>
    </row>
    <row r="16" spans="1:14" x14ac:dyDescent="0.3">
      <c r="A16" s="44" t="s">
        <v>3492</v>
      </c>
      <c r="B16" s="44" t="s">
        <v>772</v>
      </c>
      <c r="C16" s="44" t="s">
        <v>1134</v>
      </c>
      <c r="D16" s="44" t="s">
        <v>1496</v>
      </c>
      <c r="E16" s="44" t="s">
        <v>1858</v>
      </c>
      <c r="F16" s="44" t="s">
        <v>2220</v>
      </c>
      <c r="G16" s="44" t="s">
        <v>2567</v>
      </c>
      <c r="H16" s="44" t="s">
        <v>2929</v>
      </c>
      <c r="I16" s="44" t="s">
        <v>3291</v>
      </c>
      <c r="J16" s="44" t="s">
        <v>4122</v>
      </c>
      <c r="K16" s="44" t="s">
        <v>4455</v>
      </c>
      <c r="L16" s="44" t="s">
        <v>4797</v>
      </c>
      <c r="M16" s="44" t="s">
        <v>5139</v>
      </c>
      <c r="N16" s="44" t="s">
        <v>5494</v>
      </c>
    </row>
    <row r="17" spans="1:14" x14ac:dyDescent="0.3">
      <c r="A17" s="44" t="s">
        <v>3493</v>
      </c>
      <c r="B17" s="44" t="s">
        <v>773</v>
      </c>
      <c r="C17" s="44" t="s">
        <v>1135</v>
      </c>
      <c r="D17" s="44" t="s">
        <v>1497</v>
      </c>
      <c r="E17" s="44" t="s">
        <v>1859</v>
      </c>
      <c r="F17" s="44" t="s">
        <v>2221</v>
      </c>
      <c r="G17" s="44" t="s">
        <v>2568</v>
      </c>
      <c r="H17" s="44" t="s">
        <v>2930</v>
      </c>
      <c r="I17" s="44" t="s">
        <v>3292</v>
      </c>
      <c r="J17" s="44" t="s">
        <v>3867</v>
      </c>
      <c r="K17" s="44" t="s">
        <v>4456</v>
      </c>
      <c r="L17" s="44" t="s">
        <v>3906</v>
      </c>
      <c r="M17" s="44" t="s">
        <v>5140</v>
      </c>
      <c r="N17" s="44" t="s">
        <v>5495</v>
      </c>
    </row>
    <row r="18" spans="1:14" x14ac:dyDescent="0.3">
      <c r="A18" s="44" t="s">
        <v>3494</v>
      </c>
      <c r="B18" s="44" t="s">
        <v>774</v>
      </c>
      <c r="C18" s="44" t="s">
        <v>1136</v>
      </c>
      <c r="D18" s="44" t="s">
        <v>1498</v>
      </c>
      <c r="E18" s="44" t="s">
        <v>1860</v>
      </c>
      <c r="F18" s="44" t="s">
        <v>2222</v>
      </c>
      <c r="G18" s="44" t="s">
        <v>2569</v>
      </c>
      <c r="H18" s="44" t="s">
        <v>2931</v>
      </c>
      <c r="I18" s="44" t="s">
        <v>3293</v>
      </c>
      <c r="J18" s="44" t="s">
        <v>4123</v>
      </c>
      <c r="K18" s="44" t="s">
        <v>3886</v>
      </c>
      <c r="L18" s="44" t="s">
        <v>4798</v>
      </c>
      <c r="M18" s="44" t="s">
        <v>5141</v>
      </c>
      <c r="N18" s="44" t="s">
        <v>5496</v>
      </c>
    </row>
    <row r="19" spans="1:14" x14ac:dyDescent="0.3">
      <c r="A19" s="44" t="s">
        <v>3495</v>
      </c>
      <c r="B19" s="44" t="s">
        <v>775</v>
      </c>
      <c r="C19" s="44" t="s">
        <v>1137</v>
      </c>
      <c r="D19" s="44" t="s">
        <v>1499</v>
      </c>
      <c r="E19" s="44" t="s">
        <v>1861</v>
      </c>
      <c r="F19" s="44" t="s">
        <v>2223</v>
      </c>
      <c r="G19" s="44" t="s">
        <v>2570</v>
      </c>
      <c r="H19" s="44" t="s">
        <v>2932</v>
      </c>
      <c r="I19" s="44" t="s">
        <v>3294</v>
      </c>
      <c r="J19" s="44" t="s">
        <v>4124</v>
      </c>
      <c r="K19" s="44" t="s">
        <v>4457</v>
      </c>
      <c r="L19" s="44" t="s">
        <v>4799</v>
      </c>
      <c r="M19" s="44" t="s">
        <v>5142</v>
      </c>
      <c r="N19" s="44" t="s">
        <v>5497</v>
      </c>
    </row>
    <row r="20" spans="1:14" x14ac:dyDescent="0.3">
      <c r="A20" s="44" t="s">
        <v>3496</v>
      </c>
      <c r="B20" s="44" t="s">
        <v>776</v>
      </c>
      <c r="C20" s="44" t="s">
        <v>1138</v>
      </c>
      <c r="D20" s="44" t="s">
        <v>1500</v>
      </c>
      <c r="E20" s="44" t="s">
        <v>1862</v>
      </c>
      <c r="F20" s="44" t="s">
        <v>2224</v>
      </c>
      <c r="G20" s="44" t="s">
        <v>2571</v>
      </c>
      <c r="H20" s="44" t="s">
        <v>2933</v>
      </c>
      <c r="I20" s="44" t="s">
        <v>3295</v>
      </c>
      <c r="J20" s="44" t="s">
        <v>4125</v>
      </c>
      <c r="K20" s="44" t="s">
        <v>4458</v>
      </c>
      <c r="L20" s="44" t="s">
        <v>4800</v>
      </c>
      <c r="M20" s="44" t="s">
        <v>5143</v>
      </c>
      <c r="N20" s="44" t="s">
        <v>5498</v>
      </c>
    </row>
    <row r="21" spans="1:14" x14ac:dyDescent="0.3">
      <c r="A21" s="44" t="s">
        <v>3497</v>
      </c>
      <c r="B21" s="44" t="s">
        <v>777</v>
      </c>
      <c r="C21" s="44" t="s">
        <v>1139</v>
      </c>
      <c r="D21" s="44" t="s">
        <v>1501</v>
      </c>
      <c r="E21" s="44" t="s">
        <v>1863</v>
      </c>
      <c r="F21" s="44" t="s">
        <v>2225</v>
      </c>
      <c r="G21" s="44" t="s">
        <v>2572</v>
      </c>
      <c r="H21" s="44" t="s">
        <v>2934</v>
      </c>
      <c r="I21" s="44" t="s">
        <v>3296</v>
      </c>
      <c r="J21" s="44" t="s">
        <v>4126</v>
      </c>
      <c r="K21" s="44" t="s">
        <v>4459</v>
      </c>
      <c r="L21" s="44" t="s">
        <v>4801</v>
      </c>
      <c r="M21" s="44" t="s">
        <v>5144</v>
      </c>
      <c r="N21" s="44" t="s">
        <v>5499</v>
      </c>
    </row>
    <row r="22" spans="1:14" x14ac:dyDescent="0.3">
      <c r="A22" s="44" t="s">
        <v>3498</v>
      </c>
      <c r="B22" s="44" t="s">
        <v>778</v>
      </c>
      <c r="C22" s="44" t="s">
        <v>1140</v>
      </c>
      <c r="D22" s="44" t="s">
        <v>1502</v>
      </c>
      <c r="E22" s="44" t="s">
        <v>1864</v>
      </c>
      <c r="F22" s="44" t="s">
        <v>2226</v>
      </c>
      <c r="G22" s="44" t="s">
        <v>2573</v>
      </c>
      <c r="H22" s="44" t="s">
        <v>2935</v>
      </c>
      <c r="I22" s="44" t="s">
        <v>3297</v>
      </c>
      <c r="J22" s="44" t="s">
        <v>4127</v>
      </c>
      <c r="K22" s="44" t="s">
        <v>4460</v>
      </c>
      <c r="L22" s="44" t="s">
        <v>4802</v>
      </c>
      <c r="M22" s="44" t="s">
        <v>5145</v>
      </c>
      <c r="N22" s="44" t="s">
        <v>5500</v>
      </c>
    </row>
    <row r="23" spans="1:14" x14ac:dyDescent="0.3">
      <c r="A23" s="44" t="s">
        <v>3499</v>
      </c>
      <c r="B23" s="44" t="s">
        <v>779</v>
      </c>
      <c r="C23" s="44" t="s">
        <v>1141</v>
      </c>
      <c r="D23" s="44" t="s">
        <v>1503</v>
      </c>
      <c r="E23" s="44" t="s">
        <v>1865</v>
      </c>
      <c r="F23" s="44" t="s">
        <v>2227</v>
      </c>
      <c r="G23" s="44" t="s">
        <v>2574</v>
      </c>
      <c r="H23" s="44" t="s">
        <v>2936</v>
      </c>
      <c r="I23" s="44" t="s">
        <v>3298</v>
      </c>
      <c r="J23" s="44" t="s">
        <v>4128</v>
      </c>
      <c r="K23" s="44" t="s">
        <v>4461</v>
      </c>
      <c r="L23" s="44" t="s">
        <v>4803</v>
      </c>
      <c r="M23" s="44" t="s">
        <v>5146</v>
      </c>
      <c r="N23" s="44" t="s">
        <v>5501</v>
      </c>
    </row>
    <row r="24" spans="1:14" x14ac:dyDescent="0.3">
      <c r="A24" s="44" t="s">
        <v>3500</v>
      </c>
      <c r="B24" s="44" t="s">
        <v>780</v>
      </c>
      <c r="C24" s="44" t="s">
        <v>1142</v>
      </c>
      <c r="D24" s="44" t="s">
        <v>1504</v>
      </c>
      <c r="E24" s="44" t="s">
        <v>1866</v>
      </c>
      <c r="F24" s="44" t="s">
        <v>2228</v>
      </c>
      <c r="G24" s="44" t="s">
        <v>2575</v>
      </c>
      <c r="H24" s="44" t="s">
        <v>2937</v>
      </c>
      <c r="I24" s="44" t="s">
        <v>3299</v>
      </c>
      <c r="J24" s="44" t="s">
        <v>4129</v>
      </c>
      <c r="K24" s="44" t="s">
        <v>4462</v>
      </c>
      <c r="L24" s="44" t="s">
        <v>4804</v>
      </c>
      <c r="M24" s="44" t="s">
        <v>5147</v>
      </c>
      <c r="N24" s="44" t="s">
        <v>5502</v>
      </c>
    </row>
    <row r="25" spans="1:14" x14ac:dyDescent="0.3">
      <c r="A25" s="44" t="s">
        <v>3501</v>
      </c>
      <c r="B25" s="44" t="s">
        <v>781</v>
      </c>
      <c r="C25" s="44" t="s">
        <v>1143</v>
      </c>
      <c r="D25" s="44" t="s">
        <v>1505</v>
      </c>
      <c r="E25" s="44" t="s">
        <v>1867</v>
      </c>
      <c r="F25" s="44" t="s">
        <v>2229</v>
      </c>
      <c r="G25" s="44" t="s">
        <v>2576</v>
      </c>
      <c r="H25" s="44" t="s">
        <v>2938</v>
      </c>
      <c r="I25" s="44" t="s">
        <v>3300</v>
      </c>
      <c r="J25" s="44" t="s">
        <v>4130</v>
      </c>
      <c r="K25" s="44" t="s">
        <v>4463</v>
      </c>
      <c r="L25" s="44" t="s">
        <v>4805</v>
      </c>
      <c r="M25" s="44" t="s">
        <v>5148</v>
      </c>
      <c r="N25" s="44" t="s">
        <v>5503</v>
      </c>
    </row>
    <row r="26" spans="1:14" x14ac:dyDescent="0.3">
      <c r="A26" s="44" t="s">
        <v>3502</v>
      </c>
      <c r="B26" s="44" t="s">
        <v>782</v>
      </c>
      <c r="C26" s="44" t="s">
        <v>1144</v>
      </c>
      <c r="D26" s="44" t="s">
        <v>1506</v>
      </c>
      <c r="E26" s="44" t="s">
        <v>1868</v>
      </c>
      <c r="F26" s="44" t="s">
        <v>2230</v>
      </c>
      <c r="G26" s="44" t="s">
        <v>2577</v>
      </c>
      <c r="H26" s="44" t="s">
        <v>2939</v>
      </c>
      <c r="I26" s="44" t="s">
        <v>3301</v>
      </c>
      <c r="J26" s="44" t="s">
        <v>4086</v>
      </c>
      <c r="K26" s="44" t="s">
        <v>4464</v>
      </c>
      <c r="L26" s="44" t="s">
        <v>4806</v>
      </c>
      <c r="M26" s="44" t="s">
        <v>5149</v>
      </c>
      <c r="N26" s="44" t="s">
        <v>5504</v>
      </c>
    </row>
    <row r="27" spans="1:14" x14ac:dyDescent="0.3">
      <c r="A27" s="44" t="s">
        <v>3503</v>
      </c>
      <c r="B27" s="44" t="s">
        <v>783</v>
      </c>
      <c r="C27" s="44" t="s">
        <v>1145</v>
      </c>
      <c r="D27" s="44" t="s">
        <v>1507</v>
      </c>
      <c r="E27" s="44" t="s">
        <v>1869</v>
      </c>
      <c r="F27" s="44" t="s">
        <v>2231</v>
      </c>
      <c r="G27" s="44" t="s">
        <v>2578</v>
      </c>
      <c r="H27" s="44" t="s">
        <v>2940</v>
      </c>
      <c r="I27" s="44" t="s">
        <v>3302</v>
      </c>
      <c r="J27" s="44" t="s">
        <v>4131</v>
      </c>
      <c r="K27" s="44" t="s">
        <v>4465</v>
      </c>
      <c r="L27" s="44" t="s">
        <v>3915</v>
      </c>
      <c r="M27" s="44" t="s">
        <v>5150</v>
      </c>
      <c r="N27" s="44" t="s">
        <v>5505</v>
      </c>
    </row>
    <row r="28" spans="1:14" x14ac:dyDescent="0.3">
      <c r="A28" s="44" t="s">
        <v>3504</v>
      </c>
      <c r="B28" s="44" t="s">
        <v>784</v>
      </c>
      <c r="C28" s="44" t="s">
        <v>1146</v>
      </c>
      <c r="D28" s="44" t="s">
        <v>1508</v>
      </c>
      <c r="E28" s="44" t="s">
        <v>1870</v>
      </c>
      <c r="F28" s="44" t="s">
        <v>2232</v>
      </c>
      <c r="G28" s="44" t="s">
        <v>2579</v>
      </c>
      <c r="H28" s="44" t="s">
        <v>2941</v>
      </c>
      <c r="I28" s="44" t="s">
        <v>3303</v>
      </c>
      <c r="J28" s="44" t="s">
        <v>4132</v>
      </c>
      <c r="K28" s="44" t="s">
        <v>4466</v>
      </c>
      <c r="L28" s="44" t="s">
        <v>4807</v>
      </c>
      <c r="M28" s="44" t="s">
        <v>5151</v>
      </c>
      <c r="N28" s="44" t="s">
        <v>5506</v>
      </c>
    </row>
    <row r="29" spans="1:14" x14ac:dyDescent="0.3">
      <c r="A29" s="44" t="s">
        <v>3505</v>
      </c>
      <c r="B29" s="44" t="s">
        <v>785</v>
      </c>
      <c r="C29" s="44" t="s">
        <v>1147</v>
      </c>
      <c r="D29" s="44" t="s">
        <v>1509</v>
      </c>
      <c r="E29" s="44" t="s">
        <v>1871</v>
      </c>
      <c r="F29" s="44" t="s">
        <v>2233</v>
      </c>
      <c r="G29" s="44" t="s">
        <v>2580</v>
      </c>
      <c r="H29" s="44" t="s">
        <v>2942</v>
      </c>
      <c r="I29" s="44" t="s">
        <v>3304</v>
      </c>
      <c r="J29" s="44" t="s">
        <v>4133</v>
      </c>
      <c r="K29" s="44" t="s">
        <v>4467</v>
      </c>
      <c r="L29" s="44" t="s">
        <v>4808</v>
      </c>
      <c r="M29" s="44" t="s">
        <v>5152</v>
      </c>
      <c r="N29" s="44" t="s">
        <v>5507</v>
      </c>
    </row>
    <row r="30" spans="1:14" x14ac:dyDescent="0.3">
      <c r="A30" s="44" t="s">
        <v>3506</v>
      </c>
      <c r="B30" s="44" t="s">
        <v>786</v>
      </c>
      <c r="C30" s="44" t="s">
        <v>1148</v>
      </c>
      <c r="D30" s="44" t="s">
        <v>1510</v>
      </c>
      <c r="E30" s="44" t="s">
        <v>1872</v>
      </c>
      <c r="F30" s="44" t="s">
        <v>2234</v>
      </c>
      <c r="G30" s="44" t="s">
        <v>2581</v>
      </c>
      <c r="H30" s="44" t="s">
        <v>2943</v>
      </c>
      <c r="I30" s="44" t="s">
        <v>3305</v>
      </c>
      <c r="J30" s="44" t="s">
        <v>4134</v>
      </c>
      <c r="K30" s="44" t="s">
        <v>4468</v>
      </c>
      <c r="L30" s="44" t="s">
        <v>4809</v>
      </c>
      <c r="M30" s="44" t="s">
        <v>5153</v>
      </c>
      <c r="N30" s="44" t="s">
        <v>5508</v>
      </c>
    </row>
    <row r="31" spans="1:14" x14ac:dyDescent="0.3">
      <c r="A31" s="44" t="s">
        <v>3507</v>
      </c>
      <c r="B31" s="44" t="s">
        <v>787</v>
      </c>
      <c r="C31" s="44" t="s">
        <v>1149</v>
      </c>
      <c r="D31" s="44" t="s">
        <v>1511</v>
      </c>
      <c r="E31" s="44" t="s">
        <v>1873</v>
      </c>
      <c r="F31" s="44" t="s">
        <v>2235</v>
      </c>
      <c r="G31" s="44" t="s">
        <v>2582</v>
      </c>
      <c r="H31" s="44" t="s">
        <v>2944</v>
      </c>
      <c r="I31" s="44" t="s">
        <v>3306</v>
      </c>
      <c r="J31" s="44" t="s">
        <v>4135</v>
      </c>
      <c r="K31" s="44" t="s">
        <v>4469</v>
      </c>
      <c r="L31" s="44" t="s">
        <v>4810</v>
      </c>
      <c r="M31" s="44" t="s">
        <v>3878</v>
      </c>
      <c r="N31" s="44" t="s">
        <v>5509</v>
      </c>
    </row>
    <row r="32" spans="1:14" x14ac:dyDescent="0.3">
      <c r="A32" s="44" t="s">
        <v>3508</v>
      </c>
      <c r="B32" s="44" t="s">
        <v>788</v>
      </c>
      <c r="C32" s="44" t="s">
        <v>1150</v>
      </c>
      <c r="D32" s="44" t="s">
        <v>1512</v>
      </c>
      <c r="E32" s="44" t="s">
        <v>1874</v>
      </c>
      <c r="F32" s="44" t="s">
        <v>2236</v>
      </c>
      <c r="G32" s="44" t="s">
        <v>2583</v>
      </c>
      <c r="H32" s="44" t="s">
        <v>2945</v>
      </c>
      <c r="I32" s="44" t="s">
        <v>3307</v>
      </c>
      <c r="J32" s="44" t="s">
        <v>4136</v>
      </c>
      <c r="K32" s="44" t="s">
        <v>4470</v>
      </c>
      <c r="L32" s="44" t="s">
        <v>4811</v>
      </c>
      <c r="M32" s="44" t="s">
        <v>5154</v>
      </c>
      <c r="N32" s="44" t="s">
        <v>5510</v>
      </c>
    </row>
    <row r="33" spans="1:14" x14ac:dyDescent="0.3">
      <c r="A33" s="44" t="s">
        <v>3509</v>
      </c>
      <c r="B33" s="44" t="s">
        <v>789</v>
      </c>
      <c r="C33" s="44" t="s">
        <v>1151</v>
      </c>
      <c r="D33" s="44" t="s">
        <v>1513</v>
      </c>
      <c r="E33" s="44" t="s">
        <v>1875</v>
      </c>
      <c r="F33" s="44" t="s">
        <v>2237</v>
      </c>
      <c r="G33" s="44" t="s">
        <v>2584</v>
      </c>
      <c r="H33" s="44" t="s">
        <v>2946</v>
      </c>
      <c r="I33" s="44" t="s">
        <v>3308</v>
      </c>
      <c r="J33" s="44" t="s">
        <v>4137</v>
      </c>
      <c r="K33" s="44" t="s">
        <v>4471</v>
      </c>
      <c r="L33" s="44" t="s">
        <v>4812</v>
      </c>
      <c r="M33" s="44" t="s">
        <v>5155</v>
      </c>
      <c r="N33" s="44" t="s">
        <v>3897</v>
      </c>
    </row>
    <row r="34" spans="1:14" x14ac:dyDescent="0.3">
      <c r="A34" s="44" t="s">
        <v>3510</v>
      </c>
      <c r="B34" s="44" t="s">
        <v>790</v>
      </c>
      <c r="C34" s="44" t="s">
        <v>1152</v>
      </c>
      <c r="D34" s="44" t="s">
        <v>1514</v>
      </c>
      <c r="E34" s="44" t="s">
        <v>1876</v>
      </c>
      <c r="F34" s="44" t="s">
        <v>2238</v>
      </c>
      <c r="G34" s="44" t="s">
        <v>2585</v>
      </c>
      <c r="H34" s="44" t="s">
        <v>2947</v>
      </c>
      <c r="I34" s="44" t="s">
        <v>3309</v>
      </c>
      <c r="J34" s="44" t="s">
        <v>4138</v>
      </c>
      <c r="K34" s="44" t="s">
        <v>4472</v>
      </c>
      <c r="L34" s="44" t="s">
        <v>4813</v>
      </c>
      <c r="M34" s="44" t="s">
        <v>5156</v>
      </c>
      <c r="N34" s="44" t="s">
        <v>5511</v>
      </c>
    </row>
    <row r="35" spans="1:14" x14ac:dyDescent="0.3">
      <c r="A35" s="44" t="s">
        <v>3511</v>
      </c>
      <c r="B35" s="44" t="s">
        <v>791</v>
      </c>
      <c r="C35" s="44" t="s">
        <v>1153</v>
      </c>
      <c r="D35" s="44" t="s">
        <v>1515</v>
      </c>
      <c r="E35" s="44" t="s">
        <v>1877</v>
      </c>
      <c r="F35" s="44" t="s">
        <v>2239</v>
      </c>
      <c r="G35" s="44" t="s">
        <v>2586</v>
      </c>
      <c r="H35" s="44" t="s">
        <v>2948</v>
      </c>
      <c r="I35" s="44" t="s">
        <v>3310</v>
      </c>
      <c r="J35" s="44" t="s">
        <v>4139</v>
      </c>
      <c r="K35" s="44" t="s">
        <v>4473</v>
      </c>
      <c r="L35" s="44" t="s">
        <v>4814</v>
      </c>
      <c r="M35" s="44" t="s">
        <v>5157</v>
      </c>
      <c r="N35" s="44" t="s">
        <v>5512</v>
      </c>
    </row>
    <row r="36" spans="1:14" x14ac:dyDescent="0.3">
      <c r="A36" s="44" t="s">
        <v>3512</v>
      </c>
      <c r="B36" s="44" t="s">
        <v>792</v>
      </c>
      <c r="C36" s="44" t="s">
        <v>1154</v>
      </c>
      <c r="D36" s="44" t="s">
        <v>1516</v>
      </c>
      <c r="E36" s="44" t="s">
        <v>1878</v>
      </c>
      <c r="F36" s="44" t="s">
        <v>2240</v>
      </c>
      <c r="G36" s="44" t="s">
        <v>2587</v>
      </c>
      <c r="H36" s="44" t="s">
        <v>2949</v>
      </c>
      <c r="I36" s="44" t="s">
        <v>3311</v>
      </c>
      <c r="J36" s="44" t="s">
        <v>4140</v>
      </c>
      <c r="K36" s="44" t="s">
        <v>4474</v>
      </c>
      <c r="L36" s="44" t="s">
        <v>4815</v>
      </c>
      <c r="M36" s="44" t="s">
        <v>5158</v>
      </c>
      <c r="N36" s="44" t="s">
        <v>5513</v>
      </c>
    </row>
    <row r="37" spans="1:14" x14ac:dyDescent="0.3">
      <c r="A37" s="44" t="s">
        <v>3513</v>
      </c>
      <c r="B37" s="44" t="s">
        <v>793</v>
      </c>
      <c r="C37" s="44" t="s">
        <v>1155</v>
      </c>
      <c r="D37" s="44" t="s">
        <v>1517</v>
      </c>
      <c r="E37" s="44" t="s">
        <v>1879</v>
      </c>
      <c r="F37" s="44" t="s">
        <v>2241</v>
      </c>
      <c r="G37" s="44" t="s">
        <v>2588</v>
      </c>
      <c r="H37" s="44" t="s">
        <v>2950</v>
      </c>
      <c r="I37" s="44" t="s">
        <v>3312</v>
      </c>
      <c r="J37" s="44" t="s">
        <v>4087</v>
      </c>
      <c r="K37" s="44" t="s">
        <v>4475</v>
      </c>
      <c r="L37" s="44" t="s">
        <v>3916</v>
      </c>
      <c r="M37" s="44" t="s">
        <v>5159</v>
      </c>
      <c r="N37" s="44" t="s">
        <v>5514</v>
      </c>
    </row>
    <row r="38" spans="1:14" x14ac:dyDescent="0.3">
      <c r="A38" s="44" t="s">
        <v>3514</v>
      </c>
      <c r="B38" s="44" t="s">
        <v>794</v>
      </c>
      <c r="C38" s="44" t="s">
        <v>1156</v>
      </c>
      <c r="D38" s="44" t="s">
        <v>1518</v>
      </c>
      <c r="E38" s="44" t="s">
        <v>1880</v>
      </c>
      <c r="F38" s="44" t="s">
        <v>2242</v>
      </c>
      <c r="G38" s="44" t="s">
        <v>2589</v>
      </c>
      <c r="H38" s="44" t="s">
        <v>2951</v>
      </c>
      <c r="I38" s="44" t="s">
        <v>3313</v>
      </c>
      <c r="J38" s="44" t="s">
        <v>4141</v>
      </c>
      <c r="K38" s="44" t="s">
        <v>4476</v>
      </c>
      <c r="L38" s="44" t="s">
        <v>4816</v>
      </c>
      <c r="M38" s="44" t="s">
        <v>5160</v>
      </c>
      <c r="N38" s="44" t="s">
        <v>5515</v>
      </c>
    </row>
    <row r="39" spans="1:14" x14ac:dyDescent="0.3">
      <c r="A39" s="44" t="s">
        <v>3515</v>
      </c>
      <c r="B39" s="44" t="s">
        <v>795</v>
      </c>
      <c r="C39" s="44" t="s">
        <v>1157</v>
      </c>
      <c r="D39" s="44" t="s">
        <v>1519</v>
      </c>
      <c r="E39" s="44" t="s">
        <v>1881</v>
      </c>
      <c r="F39" s="44" t="s">
        <v>2243</v>
      </c>
      <c r="G39" s="44" t="s">
        <v>2590</v>
      </c>
      <c r="H39" s="44" t="s">
        <v>2952</v>
      </c>
      <c r="I39" s="44" t="s">
        <v>3314</v>
      </c>
      <c r="J39" s="44" t="s">
        <v>4142</v>
      </c>
      <c r="K39" s="44" t="s">
        <v>4477</v>
      </c>
      <c r="L39" s="44" t="s">
        <v>4817</v>
      </c>
      <c r="M39" s="44" t="s">
        <v>5161</v>
      </c>
      <c r="N39" s="44" t="s">
        <v>5516</v>
      </c>
    </row>
    <row r="40" spans="1:14" x14ac:dyDescent="0.3">
      <c r="A40" s="44" t="s">
        <v>3516</v>
      </c>
      <c r="B40" s="44" t="s">
        <v>796</v>
      </c>
      <c r="C40" s="44" t="s">
        <v>1158</v>
      </c>
      <c r="D40" s="44" t="s">
        <v>1520</v>
      </c>
      <c r="E40" s="44" t="s">
        <v>1882</v>
      </c>
      <c r="F40" s="44" t="s">
        <v>2244</v>
      </c>
      <c r="G40" s="44" t="s">
        <v>2591</v>
      </c>
      <c r="H40" s="44" t="s">
        <v>2953</v>
      </c>
      <c r="I40" s="44" t="s">
        <v>3315</v>
      </c>
      <c r="J40" s="44" t="s">
        <v>4143</v>
      </c>
      <c r="K40" s="44" t="s">
        <v>4478</v>
      </c>
      <c r="L40" s="44" t="s">
        <v>4818</v>
      </c>
      <c r="M40" s="44" t="s">
        <v>5162</v>
      </c>
      <c r="N40" s="44" t="s">
        <v>5517</v>
      </c>
    </row>
    <row r="41" spans="1:14" x14ac:dyDescent="0.3">
      <c r="A41" s="44" t="s">
        <v>3517</v>
      </c>
      <c r="B41" s="44" t="s">
        <v>797</v>
      </c>
      <c r="C41" s="44" t="s">
        <v>1159</v>
      </c>
      <c r="D41" s="44" t="s">
        <v>1521</v>
      </c>
      <c r="E41" s="44" t="s">
        <v>1883</v>
      </c>
      <c r="F41" s="44" t="s">
        <v>2245</v>
      </c>
      <c r="G41" s="44" t="s">
        <v>2592</v>
      </c>
      <c r="H41" s="44" t="s">
        <v>2954</v>
      </c>
      <c r="I41" s="44" t="s">
        <v>3316</v>
      </c>
      <c r="J41" s="44" t="s">
        <v>4144</v>
      </c>
      <c r="K41" s="44" t="s">
        <v>4479</v>
      </c>
      <c r="L41" s="44" t="s">
        <v>4819</v>
      </c>
      <c r="M41" s="44" t="s">
        <v>5163</v>
      </c>
      <c r="N41" s="44" t="s">
        <v>5518</v>
      </c>
    </row>
    <row r="42" spans="1:14" x14ac:dyDescent="0.3">
      <c r="A42" s="44" t="s">
        <v>3518</v>
      </c>
      <c r="B42" s="44" t="s">
        <v>798</v>
      </c>
      <c r="C42" s="44" t="s">
        <v>1160</v>
      </c>
      <c r="D42" s="44" t="s">
        <v>1522</v>
      </c>
      <c r="E42" s="44" t="s">
        <v>1884</v>
      </c>
      <c r="F42" s="44" t="s">
        <v>2246</v>
      </c>
      <c r="G42" s="44" t="s">
        <v>2593</v>
      </c>
      <c r="H42" s="44" t="s">
        <v>2955</v>
      </c>
      <c r="I42" s="44" t="s">
        <v>3317</v>
      </c>
      <c r="J42" s="44" t="s">
        <v>4145</v>
      </c>
      <c r="K42" s="44" t="s">
        <v>4480</v>
      </c>
      <c r="L42" s="44" t="s">
        <v>4820</v>
      </c>
      <c r="M42" s="44" t="s">
        <v>5164</v>
      </c>
      <c r="N42" s="44" t="s">
        <v>5519</v>
      </c>
    </row>
    <row r="43" spans="1:14" x14ac:dyDescent="0.3">
      <c r="A43" s="44" t="s">
        <v>3519</v>
      </c>
      <c r="B43" s="44" t="s">
        <v>799</v>
      </c>
      <c r="C43" s="44" t="s">
        <v>1161</v>
      </c>
      <c r="D43" s="44" t="s">
        <v>1523</v>
      </c>
      <c r="E43" s="44" t="s">
        <v>1885</v>
      </c>
      <c r="F43" s="44" t="s">
        <v>2247</v>
      </c>
      <c r="G43" s="44" t="s">
        <v>2594</v>
      </c>
      <c r="H43" s="44" t="s">
        <v>2956</v>
      </c>
      <c r="I43" s="44" t="s">
        <v>3318</v>
      </c>
      <c r="J43" s="44" t="s">
        <v>4146</v>
      </c>
      <c r="K43" s="44" t="s">
        <v>4481</v>
      </c>
      <c r="L43" s="44" t="s">
        <v>4821</v>
      </c>
      <c r="M43" s="44" t="s">
        <v>5165</v>
      </c>
      <c r="N43" s="44" t="s">
        <v>5520</v>
      </c>
    </row>
    <row r="44" spans="1:14" x14ac:dyDescent="0.3">
      <c r="A44" s="44" t="s">
        <v>3520</v>
      </c>
      <c r="B44" s="44" t="s">
        <v>800</v>
      </c>
      <c r="C44" s="44" t="s">
        <v>1162</v>
      </c>
      <c r="D44" s="44" t="s">
        <v>1524</v>
      </c>
      <c r="E44" s="44" t="s">
        <v>1886</v>
      </c>
      <c r="F44" s="44" t="s">
        <v>2248</v>
      </c>
      <c r="G44" s="44" t="s">
        <v>2595</v>
      </c>
      <c r="H44" s="44" t="s">
        <v>2957</v>
      </c>
      <c r="I44" s="44" t="s">
        <v>3319</v>
      </c>
      <c r="J44" s="44" t="s">
        <v>4147</v>
      </c>
      <c r="K44" s="44" t="s">
        <v>4482</v>
      </c>
      <c r="L44" s="44" t="s">
        <v>4822</v>
      </c>
      <c r="M44" s="44" t="s">
        <v>5166</v>
      </c>
      <c r="N44" s="44" t="s">
        <v>5521</v>
      </c>
    </row>
    <row r="45" spans="1:14" x14ac:dyDescent="0.3">
      <c r="A45" s="44" t="s">
        <v>3521</v>
      </c>
      <c r="B45" s="44" t="s">
        <v>801</v>
      </c>
      <c r="C45" s="44" t="s">
        <v>1163</v>
      </c>
      <c r="D45" s="44" t="s">
        <v>1525</v>
      </c>
      <c r="E45" s="44" t="s">
        <v>1887</v>
      </c>
      <c r="F45" s="44" t="s">
        <v>2249</v>
      </c>
      <c r="G45" s="44" t="s">
        <v>2596</v>
      </c>
      <c r="H45" s="44" t="s">
        <v>2958</v>
      </c>
      <c r="I45" s="44" t="s">
        <v>3320</v>
      </c>
      <c r="J45" s="44" t="s">
        <v>4148</v>
      </c>
      <c r="K45" s="44" t="s">
        <v>4483</v>
      </c>
      <c r="L45" s="44" t="s">
        <v>4823</v>
      </c>
      <c r="M45" s="44" t="s">
        <v>5167</v>
      </c>
      <c r="N45" s="44" t="s">
        <v>5522</v>
      </c>
    </row>
    <row r="46" spans="1:14" x14ac:dyDescent="0.3">
      <c r="A46" s="44" t="s">
        <v>3522</v>
      </c>
      <c r="B46" s="44" t="s">
        <v>802</v>
      </c>
      <c r="C46" s="44" t="s">
        <v>1164</v>
      </c>
      <c r="D46" s="44" t="s">
        <v>1526</v>
      </c>
      <c r="E46" s="44" t="s">
        <v>1888</v>
      </c>
      <c r="F46" s="44" t="s">
        <v>2250</v>
      </c>
      <c r="G46" s="44" t="s">
        <v>2597</v>
      </c>
      <c r="H46" s="44" t="s">
        <v>2959</v>
      </c>
      <c r="I46" s="44" t="s">
        <v>3321</v>
      </c>
      <c r="J46" s="44" t="s">
        <v>4149</v>
      </c>
      <c r="K46" s="44" t="s">
        <v>4484</v>
      </c>
      <c r="L46" s="44" t="s">
        <v>4824</v>
      </c>
      <c r="M46" s="44" t="s">
        <v>5168</v>
      </c>
      <c r="N46" s="44" t="s">
        <v>5523</v>
      </c>
    </row>
    <row r="47" spans="1:14" x14ac:dyDescent="0.3">
      <c r="A47" s="44" t="s">
        <v>3523</v>
      </c>
      <c r="B47" s="44" t="s">
        <v>803</v>
      </c>
      <c r="C47" s="44" t="s">
        <v>1165</v>
      </c>
      <c r="D47" s="44" t="s">
        <v>1527</v>
      </c>
      <c r="E47" s="44" t="s">
        <v>1889</v>
      </c>
      <c r="F47" s="44" t="s">
        <v>2251</v>
      </c>
      <c r="G47" s="44" t="s">
        <v>2598</v>
      </c>
      <c r="H47" s="44" t="s">
        <v>2960</v>
      </c>
      <c r="I47" s="44" t="s">
        <v>3322</v>
      </c>
      <c r="J47" s="44" t="s">
        <v>4150</v>
      </c>
      <c r="K47" s="44" t="s">
        <v>4485</v>
      </c>
      <c r="L47" s="44" t="s">
        <v>4825</v>
      </c>
      <c r="M47" s="44" t="s">
        <v>5169</v>
      </c>
      <c r="N47" s="44" t="s">
        <v>5524</v>
      </c>
    </row>
    <row r="48" spans="1:14" x14ac:dyDescent="0.3">
      <c r="A48" s="44" t="s">
        <v>3524</v>
      </c>
      <c r="B48" s="44" t="s">
        <v>804</v>
      </c>
      <c r="C48" s="44" t="s">
        <v>1166</v>
      </c>
      <c r="D48" s="44" t="s">
        <v>1528</v>
      </c>
      <c r="E48" s="44" t="s">
        <v>1890</v>
      </c>
      <c r="F48" s="44" t="s">
        <v>2252</v>
      </c>
      <c r="G48" s="44" t="s">
        <v>2599</v>
      </c>
      <c r="H48" s="44" t="s">
        <v>2961</v>
      </c>
      <c r="I48" s="44" t="s">
        <v>3323</v>
      </c>
      <c r="J48" s="44" t="s">
        <v>4088</v>
      </c>
      <c r="K48" s="44" t="s">
        <v>4486</v>
      </c>
      <c r="L48" s="44" t="s">
        <v>4826</v>
      </c>
      <c r="M48" s="44" t="s">
        <v>5170</v>
      </c>
      <c r="N48" s="44" t="s">
        <v>5525</v>
      </c>
    </row>
    <row r="49" spans="1:14" x14ac:dyDescent="0.3">
      <c r="A49" s="44" t="s">
        <v>3525</v>
      </c>
      <c r="B49" s="44" t="s">
        <v>805</v>
      </c>
      <c r="C49" s="44" t="s">
        <v>1167</v>
      </c>
      <c r="D49" s="44" t="s">
        <v>1529</v>
      </c>
      <c r="E49" s="44" t="s">
        <v>1891</v>
      </c>
      <c r="F49" s="44" t="s">
        <v>2253</v>
      </c>
      <c r="G49" s="44" t="s">
        <v>2600</v>
      </c>
      <c r="H49" s="44" t="s">
        <v>2962</v>
      </c>
      <c r="I49" s="44" t="s">
        <v>3324</v>
      </c>
      <c r="J49" s="44" t="s">
        <v>4151</v>
      </c>
      <c r="K49" s="44" t="s">
        <v>4487</v>
      </c>
      <c r="L49" s="44" t="s">
        <v>4827</v>
      </c>
      <c r="M49" s="44" t="s">
        <v>5171</v>
      </c>
      <c r="N49" s="44" t="s">
        <v>5526</v>
      </c>
    </row>
    <row r="50" spans="1:14" x14ac:dyDescent="0.3">
      <c r="A50" s="44" t="s">
        <v>3526</v>
      </c>
      <c r="B50" s="44" t="s">
        <v>806</v>
      </c>
      <c r="C50" s="44" t="s">
        <v>1168</v>
      </c>
      <c r="D50" s="44" t="s">
        <v>1530</v>
      </c>
      <c r="E50" s="44" t="s">
        <v>1892</v>
      </c>
      <c r="F50" s="44" t="s">
        <v>2254</v>
      </c>
      <c r="G50" s="44" t="s">
        <v>2601</v>
      </c>
      <c r="H50" s="44" t="s">
        <v>2963</v>
      </c>
      <c r="I50" s="44" t="s">
        <v>3325</v>
      </c>
      <c r="J50" s="44" t="s">
        <v>4152</v>
      </c>
      <c r="K50" s="44" t="s">
        <v>4488</v>
      </c>
      <c r="L50" s="44" t="s">
        <v>3890</v>
      </c>
      <c r="M50" s="44" t="s">
        <v>5172</v>
      </c>
      <c r="N50" s="44" t="s">
        <v>5527</v>
      </c>
    </row>
    <row r="51" spans="1:14" x14ac:dyDescent="0.3">
      <c r="A51" s="44" t="s">
        <v>3527</v>
      </c>
      <c r="B51" s="44" t="s">
        <v>807</v>
      </c>
      <c r="C51" s="44" t="s">
        <v>1169</v>
      </c>
      <c r="D51" s="44" t="s">
        <v>1531</v>
      </c>
      <c r="E51" s="44" t="s">
        <v>1893</v>
      </c>
      <c r="F51" s="44" t="s">
        <v>2255</v>
      </c>
      <c r="G51" s="44" t="s">
        <v>2602</v>
      </c>
      <c r="H51" s="44" t="s">
        <v>2964</v>
      </c>
      <c r="I51" s="44" t="s">
        <v>3326</v>
      </c>
      <c r="J51" s="44" t="s">
        <v>4153</v>
      </c>
      <c r="K51" s="44" t="s">
        <v>4489</v>
      </c>
      <c r="L51" s="44" t="s">
        <v>4828</v>
      </c>
      <c r="M51" s="44" t="s">
        <v>5173</v>
      </c>
      <c r="N51" s="44" t="s">
        <v>5528</v>
      </c>
    </row>
    <row r="52" spans="1:14" x14ac:dyDescent="0.3">
      <c r="A52" s="44" t="s">
        <v>3528</v>
      </c>
      <c r="B52" s="44" t="s">
        <v>808</v>
      </c>
      <c r="C52" s="44" t="s">
        <v>1170</v>
      </c>
      <c r="D52" s="44" t="s">
        <v>1532</v>
      </c>
      <c r="E52" s="44" t="s">
        <v>1894</v>
      </c>
      <c r="F52" s="44" t="s">
        <v>2256</v>
      </c>
      <c r="G52" s="44" t="s">
        <v>2603</v>
      </c>
      <c r="H52" s="44" t="s">
        <v>2965</v>
      </c>
      <c r="I52" s="44" t="s">
        <v>3327</v>
      </c>
      <c r="J52" s="44" t="s">
        <v>4154</v>
      </c>
      <c r="K52" s="44" t="s">
        <v>4490</v>
      </c>
      <c r="L52" s="44" t="s">
        <v>4829</v>
      </c>
      <c r="M52" s="44" t="s">
        <v>5174</v>
      </c>
      <c r="N52" s="44" t="s">
        <v>5529</v>
      </c>
    </row>
    <row r="53" spans="1:14" x14ac:dyDescent="0.3">
      <c r="A53" s="44" t="s">
        <v>3529</v>
      </c>
      <c r="B53" s="44" t="s">
        <v>809</v>
      </c>
      <c r="C53" s="44" t="s">
        <v>1171</v>
      </c>
      <c r="D53" s="44" t="s">
        <v>1533</v>
      </c>
      <c r="E53" s="44" t="s">
        <v>1895</v>
      </c>
      <c r="F53" s="44" t="s">
        <v>2257</v>
      </c>
      <c r="G53" s="44" t="s">
        <v>2604</v>
      </c>
      <c r="H53" s="44" t="s">
        <v>2966</v>
      </c>
      <c r="I53" s="44" t="s">
        <v>3328</v>
      </c>
      <c r="J53" s="44" t="s">
        <v>4155</v>
      </c>
      <c r="K53" s="44" t="s">
        <v>4491</v>
      </c>
      <c r="L53" s="44" t="s">
        <v>4830</v>
      </c>
      <c r="M53" s="44" t="s">
        <v>5175</v>
      </c>
      <c r="N53" s="44" t="s">
        <v>5530</v>
      </c>
    </row>
    <row r="54" spans="1:14" x14ac:dyDescent="0.3">
      <c r="A54" s="44" t="s">
        <v>3530</v>
      </c>
      <c r="B54" s="44" t="s">
        <v>810</v>
      </c>
      <c r="C54" s="44" t="s">
        <v>1172</v>
      </c>
      <c r="D54" s="44" t="s">
        <v>1534</v>
      </c>
      <c r="E54" s="44" t="s">
        <v>1896</v>
      </c>
      <c r="F54" s="44" t="s">
        <v>2258</v>
      </c>
      <c r="G54" s="44" t="s">
        <v>2605</v>
      </c>
      <c r="H54" s="44" t="s">
        <v>2967</v>
      </c>
      <c r="I54" s="44" t="s">
        <v>3329</v>
      </c>
      <c r="J54" s="44" t="s">
        <v>4156</v>
      </c>
      <c r="K54" s="44" t="s">
        <v>4492</v>
      </c>
      <c r="L54" s="44" t="s">
        <v>4831</v>
      </c>
      <c r="M54" s="44" t="s">
        <v>5176</v>
      </c>
      <c r="N54" s="44" t="s">
        <v>5531</v>
      </c>
    </row>
    <row r="55" spans="1:14" x14ac:dyDescent="0.3">
      <c r="A55" s="44" t="s">
        <v>3531</v>
      </c>
      <c r="B55" s="44" t="s">
        <v>811</v>
      </c>
      <c r="C55" s="44" t="s">
        <v>1173</v>
      </c>
      <c r="D55" s="44" t="s">
        <v>1535</v>
      </c>
      <c r="E55" s="44" t="s">
        <v>1897</v>
      </c>
      <c r="F55" s="44" t="s">
        <v>2259</v>
      </c>
      <c r="G55" s="44" t="s">
        <v>2606</v>
      </c>
      <c r="H55" s="44" t="s">
        <v>2968</v>
      </c>
      <c r="I55" s="44" t="s">
        <v>3330</v>
      </c>
      <c r="J55" s="44" t="s">
        <v>4157</v>
      </c>
      <c r="K55" s="44" t="s">
        <v>3862</v>
      </c>
      <c r="L55" s="44" t="s">
        <v>4832</v>
      </c>
      <c r="M55" s="44" t="s">
        <v>5177</v>
      </c>
      <c r="N55" s="44" t="s">
        <v>5532</v>
      </c>
    </row>
    <row r="56" spans="1:14" x14ac:dyDescent="0.3">
      <c r="A56" s="44" t="s">
        <v>3532</v>
      </c>
      <c r="B56" s="44" t="s">
        <v>812</v>
      </c>
      <c r="C56" s="44" t="s">
        <v>1174</v>
      </c>
      <c r="D56" s="44" t="s">
        <v>1536</v>
      </c>
      <c r="E56" s="44" t="s">
        <v>1898</v>
      </c>
      <c r="F56" s="44" t="s">
        <v>2260</v>
      </c>
      <c r="G56" s="44" t="s">
        <v>2607</v>
      </c>
      <c r="H56" s="44" t="s">
        <v>2969</v>
      </c>
      <c r="I56" s="44" t="s">
        <v>3331</v>
      </c>
      <c r="J56" s="44" t="s">
        <v>4158</v>
      </c>
      <c r="K56" s="44" t="s">
        <v>4493</v>
      </c>
      <c r="L56" s="44" t="s">
        <v>4833</v>
      </c>
      <c r="M56" s="44" t="s">
        <v>5178</v>
      </c>
      <c r="N56" s="44" t="s">
        <v>5533</v>
      </c>
    </row>
    <row r="57" spans="1:14" x14ac:dyDescent="0.3">
      <c r="A57" s="44" t="s">
        <v>3533</v>
      </c>
      <c r="B57" s="44" t="s">
        <v>813</v>
      </c>
      <c r="C57" s="44" t="s">
        <v>1175</v>
      </c>
      <c r="D57" s="44" t="s">
        <v>1537</v>
      </c>
      <c r="E57" s="44" t="s">
        <v>1899</v>
      </c>
      <c r="F57" s="44" t="s">
        <v>2261</v>
      </c>
      <c r="G57" s="44" t="s">
        <v>2608</v>
      </c>
      <c r="H57" s="44" t="s">
        <v>2970</v>
      </c>
      <c r="I57" s="44" t="s">
        <v>3332</v>
      </c>
      <c r="J57" s="44" t="s">
        <v>4159</v>
      </c>
      <c r="K57" s="44" t="s">
        <v>4494</v>
      </c>
      <c r="L57" s="44" t="s">
        <v>4834</v>
      </c>
      <c r="M57" s="44" t="s">
        <v>5179</v>
      </c>
      <c r="N57" s="44" t="s">
        <v>5534</v>
      </c>
    </row>
    <row r="58" spans="1:14" x14ac:dyDescent="0.3">
      <c r="A58" s="44" t="s">
        <v>3534</v>
      </c>
      <c r="B58" s="44" t="s">
        <v>814</v>
      </c>
      <c r="C58" s="44" t="s">
        <v>1176</v>
      </c>
      <c r="D58" s="44" t="s">
        <v>1538</v>
      </c>
      <c r="E58" s="44" t="s">
        <v>1900</v>
      </c>
      <c r="F58" s="44" t="s">
        <v>2262</v>
      </c>
      <c r="G58" s="44" t="s">
        <v>2609</v>
      </c>
      <c r="H58" s="44" t="s">
        <v>2971</v>
      </c>
      <c r="I58" s="44" t="s">
        <v>3333</v>
      </c>
      <c r="J58" s="44" t="s">
        <v>4160</v>
      </c>
      <c r="K58" s="44" t="s">
        <v>4495</v>
      </c>
      <c r="L58" s="44" t="s">
        <v>4835</v>
      </c>
      <c r="M58" s="44" t="s">
        <v>5180</v>
      </c>
      <c r="N58" s="44" t="s">
        <v>5535</v>
      </c>
    </row>
    <row r="59" spans="1:14" x14ac:dyDescent="0.3">
      <c r="A59" s="44" t="s">
        <v>3535</v>
      </c>
      <c r="B59" s="44" t="s">
        <v>815</v>
      </c>
      <c r="C59" s="44" t="s">
        <v>1177</v>
      </c>
      <c r="D59" s="44" t="s">
        <v>1539</v>
      </c>
      <c r="E59" s="44" t="s">
        <v>1901</v>
      </c>
      <c r="F59" s="44" t="s">
        <v>2263</v>
      </c>
      <c r="G59" s="44" t="s">
        <v>2610</v>
      </c>
      <c r="H59" s="44" t="s">
        <v>2972</v>
      </c>
      <c r="I59" s="44" t="s">
        <v>3334</v>
      </c>
      <c r="J59" s="44" t="s">
        <v>4089</v>
      </c>
      <c r="K59" s="44" t="s">
        <v>4496</v>
      </c>
      <c r="L59" s="44" t="s">
        <v>4836</v>
      </c>
      <c r="M59" s="44" t="s">
        <v>5181</v>
      </c>
      <c r="N59" s="44" t="s">
        <v>5536</v>
      </c>
    </row>
    <row r="60" spans="1:14" x14ac:dyDescent="0.3">
      <c r="A60" s="44" t="s">
        <v>3536</v>
      </c>
      <c r="B60" s="44" t="s">
        <v>816</v>
      </c>
      <c r="C60" s="44" t="s">
        <v>1178</v>
      </c>
      <c r="D60" s="44" t="s">
        <v>1540</v>
      </c>
      <c r="E60" s="44" t="s">
        <v>1902</v>
      </c>
      <c r="F60" s="44" t="s">
        <v>2264</v>
      </c>
      <c r="G60" s="44" t="s">
        <v>2611</v>
      </c>
      <c r="H60" s="44" t="s">
        <v>2973</v>
      </c>
      <c r="I60" s="44" t="s">
        <v>3335</v>
      </c>
      <c r="J60" s="44" t="s">
        <v>4161</v>
      </c>
      <c r="K60" s="44" t="s">
        <v>4497</v>
      </c>
      <c r="L60" s="44" t="s">
        <v>4837</v>
      </c>
      <c r="M60" s="44" t="s">
        <v>5182</v>
      </c>
      <c r="N60" s="44" t="s">
        <v>5537</v>
      </c>
    </row>
    <row r="61" spans="1:14" x14ac:dyDescent="0.3">
      <c r="A61" s="44" t="s">
        <v>3537</v>
      </c>
      <c r="B61" s="44" t="s">
        <v>817</v>
      </c>
      <c r="C61" s="44" t="s">
        <v>1179</v>
      </c>
      <c r="D61" s="44" t="s">
        <v>1541</v>
      </c>
      <c r="E61" s="44" t="s">
        <v>1903</v>
      </c>
      <c r="F61" s="44" t="s">
        <v>2265</v>
      </c>
      <c r="G61" s="44" t="s">
        <v>2612</v>
      </c>
      <c r="H61" s="44" t="s">
        <v>2974</v>
      </c>
      <c r="I61" s="44" t="s">
        <v>3336</v>
      </c>
      <c r="J61" s="44" t="s">
        <v>4162</v>
      </c>
      <c r="K61" s="44" t="s">
        <v>4498</v>
      </c>
      <c r="L61" s="44" t="s">
        <v>4838</v>
      </c>
      <c r="M61" s="44" t="s">
        <v>5183</v>
      </c>
      <c r="N61" s="44" t="s">
        <v>5538</v>
      </c>
    </row>
    <row r="62" spans="1:14" x14ac:dyDescent="0.3">
      <c r="A62" s="44" t="s">
        <v>3538</v>
      </c>
      <c r="B62" s="44" t="s">
        <v>818</v>
      </c>
      <c r="C62" s="44" t="s">
        <v>1180</v>
      </c>
      <c r="D62" s="44" t="s">
        <v>1542</v>
      </c>
      <c r="E62" s="44" t="s">
        <v>1904</v>
      </c>
      <c r="F62" s="44" t="s">
        <v>2266</v>
      </c>
      <c r="G62" s="44" t="s">
        <v>2613</v>
      </c>
      <c r="H62" s="44" t="s">
        <v>2975</v>
      </c>
      <c r="I62" s="44" t="s">
        <v>3337</v>
      </c>
      <c r="J62" s="44" t="s">
        <v>4163</v>
      </c>
      <c r="K62" s="44" t="s">
        <v>4499</v>
      </c>
      <c r="L62" s="44" t="s">
        <v>4839</v>
      </c>
      <c r="M62" s="44" t="s">
        <v>5184</v>
      </c>
      <c r="N62" s="44" t="s">
        <v>5539</v>
      </c>
    </row>
    <row r="63" spans="1:14" x14ac:dyDescent="0.3">
      <c r="A63" s="44" t="s">
        <v>3539</v>
      </c>
      <c r="B63" s="44" t="s">
        <v>819</v>
      </c>
      <c r="C63" s="44" t="s">
        <v>1181</v>
      </c>
      <c r="D63" s="44" t="s">
        <v>1543</v>
      </c>
      <c r="E63" s="44" t="s">
        <v>1905</v>
      </c>
      <c r="F63" s="44" t="s">
        <v>2267</v>
      </c>
      <c r="G63" s="44" t="s">
        <v>2614</v>
      </c>
      <c r="H63" s="44" t="s">
        <v>2976</v>
      </c>
      <c r="I63" s="44" t="s">
        <v>3338</v>
      </c>
      <c r="J63" s="44" t="s">
        <v>4164</v>
      </c>
      <c r="K63" s="44" t="s">
        <v>4500</v>
      </c>
      <c r="L63" s="44" t="s">
        <v>4840</v>
      </c>
      <c r="M63" s="44" t="s">
        <v>5185</v>
      </c>
      <c r="N63" s="44" t="s">
        <v>5540</v>
      </c>
    </row>
    <row r="64" spans="1:14" x14ac:dyDescent="0.3">
      <c r="A64" s="44" t="s">
        <v>3540</v>
      </c>
      <c r="B64" s="44" t="s">
        <v>820</v>
      </c>
      <c r="C64" s="44" t="s">
        <v>1182</v>
      </c>
      <c r="D64" s="44" t="s">
        <v>1544</v>
      </c>
      <c r="E64" s="44" t="s">
        <v>1906</v>
      </c>
      <c r="F64" s="44" t="s">
        <v>2268</v>
      </c>
      <c r="G64" s="44" t="s">
        <v>2615</v>
      </c>
      <c r="H64" s="44" t="s">
        <v>2977</v>
      </c>
      <c r="I64" s="44" t="s">
        <v>3339</v>
      </c>
      <c r="J64" s="44" t="s">
        <v>4165</v>
      </c>
      <c r="K64" s="44" t="s">
        <v>4501</v>
      </c>
      <c r="L64" s="44" t="s">
        <v>3844</v>
      </c>
      <c r="M64" s="44" t="s">
        <v>5186</v>
      </c>
      <c r="N64" s="44" t="s">
        <v>5541</v>
      </c>
    </row>
    <row r="65" spans="1:14" x14ac:dyDescent="0.3">
      <c r="A65" s="44" t="s">
        <v>3541</v>
      </c>
      <c r="B65" s="44" t="s">
        <v>821</v>
      </c>
      <c r="C65" s="44" t="s">
        <v>1183</v>
      </c>
      <c r="D65" s="44" t="s">
        <v>1545</v>
      </c>
      <c r="E65" s="44" t="s">
        <v>1907</v>
      </c>
      <c r="F65" s="44" t="s">
        <v>2269</v>
      </c>
      <c r="G65" s="44" t="s">
        <v>2616</v>
      </c>
      <c r="H65" s="44" t="s">
        <v>2978</v>
      </c>
      <c r="I65" s="44" t="s">
        <v>3340</v>
      </c>
      <c r="J65" s="44" t="s">
        <v>4166</v>
      </c>
      <c r="K65" s="44" t="s">
        <v>4502</v>
      </c>
      <c r="L65" s="44" t="s">
        <v>4841</v>
      </c>
      <c r="M65" s="44" t="s">
        <v>5187</v>
      </c>
      <c r="N65" s="44" t="s">
        <v>5542</v>
      </c>
    </row>
    <row r="66" spans="1:14" x14ac:dyDescent="0.3">
      <c r="A66" s="44" t="s">
        <v>3542</v>
      </c>
      <c r="B66" s="44" t="s">
        <v>822</v>
      </c>
      <c r="C66" s="44" t="s">
        <v>1184</v>
      </c>
      <c r="D66" s="44" t="s">
        <v>1546</v>
      </c>
      <c r="E66" s="44" t="s">
        <v>1908</v>
      </c>
      <c r="F66" s="44" t="s">
        <v>2270</v>
      </c>
      <c r="G66" s="44" t="s">
        <v>2617</v>
      </c>
      <c r="H66" s="44" t="s">
        <v>2979</v>
      </c>
      <c r="I66" s="44" t="s">
        <v>3341</v>
      </c>
      <c r="J66" s="44" t="s">
        <v>4167</v>
      </c>
      <c r="K66" s="44" t="s">
        <v>4503</v>
      </c>
      <c r="L66" s="44" t="s">
        <v>4842</v>
      </c>
      <c r="M66" s="44" t="s">
        <v>5188</v>
      </c>
      <c r="N66" s="44" t="s">
        <v>5543</v>
      </c>
    </row>
    <row r="67" spans="1:14" x14ac:dyDescent="0.3">
      <c r="A67" s="44" t="s">
        <v>3543</v>
      </c>
      <c r="B67" s="44" t="s">
        <v>823</v>
      </c>
      <c r="C67" s="44" t="s">
        <v>1185</v>
      </c>
      <c r="D67" s="44" t="s">
        <v>1547</v>
      </c>
      <c r="E67" s="44" t="s">
        <v>1909</v>
      </c>
      <c r="F67" s="44" t="s">
        <v>2271</v>
      </c>
      <c r="G67" s="44" t="s">
        <v>2618</v>
      </c>
      <c r="H67" s="44" t="s">
        <v>2980</v>
      </c>
      <c r="I67" s="44" t="s">
        <v>3342</v>
      </c>
      <c r="J67" s="44" t="s">
        <v>4168</v>
      </c>
      <c r="K67" s="44" t="s">
        <v>4504</v>
      </c>
      <c r="L67" s="44" t="s">
        <v>3909</v>
      </c>
      <c r="M67" s="44" t="s">
        <v>5189</v>
      </c>
      <c r="N67" s="44" t="s">
        <v>5544</v>
      </c>
    </row>
    <row r="68" spans="1:14" x14ac:dyDescent="0.3">
      <c r="A68" s="44" t="s">
        <v>3544</v>
      </c>
      <c r="B68" s="44" t="s">
        <v>824</v>
      </c>
      <c r="C68" s="44" t="s">
        <v>1186</v>
      </c>
      <c r="D68" s="44" t="s">
        <v>1548</v>
      </c>
      <c r="E68" s="44" t="s">
        <v>1910</v>
      </c>
      <c r="F68" s="44" t="s">
        <v>2272</v>
      </c>
      <c r="G68" s="44" t="s">
        <v>2619</v>
      </c>
      <c r="H68" s="44" t="s">
        <v>2981</v>
      </c>
      <c r="I68" s="44" t="s">
        <v>3343</v>
      </c>
      <c r="J68" s="44" t="s">
        <v>4169</v>
      </c>
      <c r="K68" s="44" t="s">
        <v>4505</v>
      </c>
      <c r="L68" s="44" t="s">
        <v>4843</v>
      </c>
      <c r="M68" s="44" t="s">
        <v>5190</v>
      </c>
      <c r="N68" s="44" t="s">
        <v>5545</v>
      </c>
    </row>
    <row r="69" spans="1:14" x14ac:dyDescent="0.3">
      <c r="A69" s="44" t="s">
        <v>3545</v>
      </c>
      <c r="B69" s="44" t="s">
        <v>825</v>
      </c>
      <c r="C69" s="44" t="s">
        <v>1187</v>
      </c>
      <c r="D69" s="44" t="s">
        <v>1549</v>
      </c>
      <c r="E69" s="44" t="s">
        <v>1911</v>
      </c>
      <c r="F69" s="44" t="s">
        <v>2273</v>
      </c>
      <c r="G69" s="44" t="s">
        <v>2620</v>
      </c>
      <c r="H69" s="44" t="s">
        <v>2982</v>
      </c>
      <c r="I69" s="44" t="s">
        <v>3344</v>
      </c>
      <c r="J69" s="44" t="s">
        <v>4170</v>
      </c>
      <c r="K69" s="44" t="s">
        <v>4506</v>
      </c>
      <c r="L69" s="44" t="s">
        <v>4844</v>
      </c>
      <c r="M69" s="44" t="s">
        <v>5191</v>
      </c>
      <c r="N69" s="44" t="s">
        <v>3872</v>
      </c>
    </row>
    <row r="70" spans="1:14" x14ac:dyDescent="0.3">
      <c r="A70" s="44" t="s">
        <v>3546</v>
      </c>
      <c r="B70" s="44" t="s">
        <v>826</v>
      </c>
      <c r="C70" s="44" t="s">
        <v>1188</v>
      </c>
      <c r="D70" s="44" t="s">
        <v>1550</v>
      </c>
      <c r="E70" s="44" t="s">
        <v>1912</v>
      </c>
      <c r="F70" s="44" t="s">
        <v>2274</v>
      </c>
      <c r="G70" s="44" t="s">
        <v>2621</v>
      </c>
      <c r="H70" s="44" t="s">
        <v>2983</v>
      </c>
      <c r="I70" s="44" t="s">
        <v>3345</v>
      </c>
      <c r="J70" s="44" t="s">
        <v>4090</v>
      </c>
      <c r="K70" s="44" t="s">
        <v>4507</v>
      </c>
      <c r="L70" s="44" t="s">
        <v>4845</v>
      </c>
      <c r="M70" s="44" t="s">
        <v>5192</v>
      </c>
      <c r="N70" s="44" t="s">
        <v>5546</v>
      </c>
    </row>
    <row r="71" spans="1:14" x14ac:dyDescent="0.3">
      <c r="A71" s="44" t="s">
        <v>3547</v>
      </c>
      <c r="B71" s="44" t="s">
        <v>827</v>
      </c>
      <c r="C71" s="44" t="s">
        <v>1189</v>
      </c>
      <c r="D71" s="44" t="s">
        <v>1551</v>
      </c>
      <c r="E71" s="44" t="s">
        <v>1913</v>
      </c>
      <c r="F71" s="44" t="s">
        <v>2275</v>
      </c>
      <c r="G71" s="44" t="s">
        <v>2622</v>
      </c>
      <c r="H71" s="44" t="s">
        <v>2984</v>
      </c>
      <c r="I71" s="44" t="s">
        <v>3346</v>
      </c>
      <c r="J71" s="44" t="s">
        <v>4171</v>
      </c>
      <c r="K71" s="44" t="s">
        <v>4508</v>
      </c>
      <c r="L71" s="44" t="s">
        <v>4846</v>
      </c>
      <c r="M71" s="44" t="s">
        <v>5193</v>
      </c>
      <c r="N71" s="44" t="s">
        <v>5547</v>
      </c>
    </row>
    <row r="72" spans="1:14" x14ac:dyDescent="0.3">
      <c r="A72" s="44" t="s">
        <v>3548</v>
      </c>
      <c r="B72" s="44" t="s">
        <v>828</v>
      </c>
      <c r="C72" s="44" t="s">
        <v>1190</v>
      </c>
      <c r="D72" s="44" t="s">
        <v>1552</v>
      </c>
      <c r="E72" s="44" t="s">
        <v>1914</v>
      </c>
      <c r="F72" s="44" t="s">
        <v>2276</v>
      </c>
      <c r="G72" s="44" t="s">
        <v>2623</v>
      </c>
      <c r="H72" s="44" t="s">
        <v>2985</v>
      </c>
      <c r="I72" s="44" t="s">
        <v>3347</v>
      </c>
      <c r="J72" s="44" t="s">
        <v>4172</v>
      </c>
      <c r="K72" s="44" t="s">
        <v>4509</v>
      </c>
      <c r="L72" s="44" t="s">
        <v>4847</v>
      </c>
      <c r="M72" s="44" t="s">
        <v>5194</v>
      </c>
      <c r="N72" s="44" t="s">
        <v>5548</v>
      </c>
    </row>
    <row r="73" spans="1:14" x14ac:dyDescent="0.3">
      <c r="A73" s="44" t="s">
        <v>3549</v>
      </c>
      <c r="B73" s="44" t="s">
        <v>829</v>
      </c>
      <c r="C73" s="44" t="s">
        <v>1191</v>
      </c>
      <c r="D73" s="44" t="s">
        <v>1553</v>
      </c>
      <c r="E73" s="44" t="s">
        <v>1915</v>
      </c>
      <c r="F73" s="44" t="s">
        <v>2277</v>
      </c>
      <c r="G73" s="44" t="s">
        <v>2624</v>
      </c>
      <c r="H73" s="44" t="s">
        <v>2986</v>
      </c>
      <c r="I73" s="44" t="s">
        <v>3348</v>
      </c>
      <c r="J73" s="44" t="s">
        <v>4173</v>
      </c>
      <c r="K73" s="44" t="s">
        <v>4510</v>
      </c>
      <c r="L73" s="44" t="s">
        <v>4848</v>
      </c>
      <c r="M73" s="44" t="s">
        <v>5195</v>
      </c>
      <c r="N73" s="44" t="s">
        <v>5549</v>
      </c>
    </row>
    <row r="74" spans="1:14" x14ac:dyDescent="0.3">
      <c r="A74" s="44" t="s">
        <v>3550</v>
      </c>
      <c r="B74" s="44" t="s">
        <v>830</v>
      </c>
      <c r="C74" s="44" t="s">
        <v>1192</v>
      </c>
      <c r="D74" s="44" t="s">
        <v>1554</v>
      </c>
      <c r="E74" s="44" t="s">
        <v>1916</v>
      </c>
      <c r="F74" s="44" t="s">
        <v>2278</v>
      </c>
      <c r="G74" s="44" t="s">
        <v>2625</v>
      </c>
      <c r="H74" s="44" t="s">
        <v>2987</v>
      </c>
      <c r="I74" s="44" t="s">
        <v>3349</v>
      </c>
      <c r="J74" s="44" t="s">
        <v>4174</v>
      </c>
      <c r="K74" s="44" t="s">
        <v>4511</v>
      </c>
      <c r="L74" s="44" t="s">
        <v>4849</v>
      </c>
      <c r="M74" s="44" t="s">
        <v>5196</v>
      </c>
      <c r="N74" s="44" t="s">
        <v>5550</v>
      </c>
    </row>
    <row r="75" spans="1:14" x14ac:dyDescent="0.3">
      <c r="A75" s="44" t="s">
        <v>3551</v>
      </c>
      <c r="B75" s="44" t="s">
        <v>831</v>
      </c>
      <c r="C75" s="44" t="s">
        <v>1193</v>
      </c>
      <c r="D75" s="44" t="s">
        <v>1555</v>
      </c>
      <c r="E75" s="44" t="s">
        <v>1917</v>
      </c>
      <c r="F75" s="44" t="s">
        <v>2279</v>
      </c>
      <c r="G75" s="44" t="s">
        <v>2626</v>
      </c>
      <c r="H75" s="44" t="s">
        <v>2988</v>
      </c>
      <c r="I75" s="44" t="s">
        <v>3350</v>
      </c>
      <c r="J75" s="44" t="s">
        <v>4175</v>
      </c>
      <c r="K75" s="44" t="s">
        <v>4512</v>
      </c>
      <c r="L75" s="44" t="s">
        <v>4850</v>
      </c>
      <c r="M75" s="44" t="s">
        <v>5197</v>
      </c>
      <c r="N75" s="44" t="s">
        <v>5551</v>
      </c>
    </row>
    <row r="76" spans="1:14" x14ac:dyDescent="0.3">
      <c r="A76" s="44" t="s">
        <v>3552</v>
      </c>
      <c r="B76" s="44" t="s">
        <v>832</v>
      </c>
      <c r="C76" s="44" t="s">
        <v>1194</v>
      </c>
      <c r="D76" s="44" t="s">
        <v>1556</v>
      </c>
      <c r="E76" s="44" t="s">
        <v>1918</v>
      </c>
      <c r="F76" s="44" t="s">
        <v>2280</v>
      </c>
      <c r="G76" s="44" t="s">
        <v>2627</v>
      </c>
      <c r="H76" s="44" t="s">
        <v>2989</v>
      </c>
      <c r="I76" s="44" t="s">
        <v>3351</v>
      </c>
      <c r="J76" s="44" t="s">
        <v>4176</v>
      </c>
      <c r="K76" s="44" t="s">
        <v>4513</v>
      </c>
      <c r="L76" s="44" t="s">
        <v>4851</v>
      </c>
      <c r="M76" s="44" t="s">
        <v>5198</v>
      </c>
      <c r="N76" s="44" t="s">
        <v>5552</v>
      </c>
    </row>
    <row r="77" spans="1:14" x14ac:dyDescent="0.3">
      <c r="A77" s="44" t="s">
        <v>3553</v>
      </c>
      <c r="B77" s="44" t="s">
        <v>833</v>
      </c>
      <c r="C77" s="44" t="s">
        <v>1195</v>
      </c>
      <c r="D77" s="44" t="s">
        <v>1557</v>
      </c>
      <c r="E77" s="44" t="s">
        <v>1919</v>
      </c>
      <c r="F77" s="44" t="s">
        <v>2281</v>
      </c>
      <c r="G77" s="44" t="s">
        <v>2628</v>
      </c>
      <c r="H77" s="44" t="s">
        <v>2990</v>
      </c>
      <c r="I77" s="44" t="s">
        <v>3352</v>
      </c>
      <c r="J77" s="44" t="s">
        <v>3883</v>
      </c>
      <c r="K77" s="44" t="s">
        <v>4514</v>
      </c>
      <c r="L77" s="44" t="s">
        <v>3910</v>
      </c>
      <c r="M77" s="44" t="s">
        <v>5199</v>
      </c>
      <c r="N77" s="44" t="s">
        <v>5553</v>
      </c>
    </row>
    <row r="78" spans="1:14" x14ac:dyDescent="0.3">
      <c r="A78" s="44" t="s">
        <v>3554</v>
      </c>
      <c r="B78" s="44" t="s">
        <v>834</v>
      </c>
      <c r="C78" s="44" t="s">
        <v>1196</v>
      </c>
      <c r="D78" s="44" t="s">
        <v>1558</v>
      </c>
      <c r="E78" s="44" t="s">
        <v>1920</v>
      </c>
      <c r="F78" s="44" t="s">
        <v>2282</v>
      </c>
      <c r="G78" s="44" t="s">
        <v>2629</v>
      </c>
      <c r="H78" s="44" t="s">
        <v>2991</v>
      </c>
      <c r="I78" s="44" t="s">
        <v>3353</v>
      </c>
      <c r="J78" s="44" t="s">
        <v>4177</v>
      </c>
      <c r="K78" s="44" t="s">
        <v>4515</v>
      </c>
      <c r="L78" s="44" t="s">
        <v>4852</v>
      </c>
      <c r="M78" s="44" t="s">
        <v>5200</v>
      </c>
      <c r="N78" s="44" t="s">
        <v>5554</v>
      </c>
    </row>
    <row r="79" spans="1:14" x14ac:dyDescent="0.3">
      <c r="A79" s="44" t="s">
        <v>3555</v>
      </c>
      <c r="B79" s="44" t="s">
        <v>835</v>
      </c>
      <c r="C79" s="44" t="s">
        <v>1197</v>
      </c>
      <c r="D79" s="44" t="s">
        <v>1559</v>
      </c>
      <c r="E79" s="44" t="s">
        <v>1921</v>
      </c>
      <c r="F79" s="44" t="s">
        <v>2283</v>
      </c>
      <c r="G79" s="44" t="s">
        <v>2630</v>
      </c>
      <c r="H79" s="44" t="s">
        <v>2992</v>
      </c>
      <c r="I79" s="44" t="s">
        <v>3354</v>
      </c>
      <c r="J79" s="44" t="s">
        <v>4178</v>
      </c>
      <c r="K79" s="44" t="s">
        <v>4516</v>
      </c>
      <c r="L79" s="44" t="s">
        <v>4853</v>
      </c>
      <c r="M79" s="44" t="s">
        <v>5201</v>
      </c>
      <c r="N79" s="44" t="s">
        <v>5555</v>
      </c>
    </row>
    <row r="80" spans="1:14" x14ac:dyDescent="0.3">
      <c r="A80" s="44" t="s">
        <v>3556</v>
      </c>
      <c r="B80" s="44" t="s">
        <v>836</v>
      </c>
      <c r="C80" s="44" t="s">
        <v>1198</v>
      </c>
      <c r="D80" s="44" t="s">
        <v>1560</v>
      </c>
      <c r="E80" s="44" t="s">
        <v>1922</v>
      </c>
      <c r="F80" s="44" t="s">
        <v>2284</v>
      </c>
      <c r="G80" s="44" t="s">
        <v>2631</v>
      </c>
      <c r="H80" s="44" t="s">
        <v>2993</v>
      </c>
      <c r="I80" s="44" t="s">
        <v>3355</v>
      </c>
      <c r="J80" s="44" t="s">
        <v>4179</v>
      </c>
      <c r="K80" s="44" t="s">
        <v>4517</v>
      </c>
      <c r="L80" s="44" t="s">
        <v>4854</v>
      </c>
      <c r="M80" s="44" t="s">
        <v>5202</v>
      </c>
      <c r="N80" s="44" t="s">
        <v>5556</v>
      </c>
    </row>
    <row r="81" spans="1:14" x14ac:dyDescent="0.3">
      <c r="A81" s="44" t="s">
        <v>3557</v>
      </c>
      <c r="B81" s="44" t="s">
        <v>837</v>
      </c>
      <c r="C81" s="44" t="s">
        <v>1199</v>
      </c>
      <c r="D81" s="44" t="s">
        <v>1561</v>
      </c>
      <c r="E81" s="44" t="s">
        <v>1923</v>
      </c>
      <c r="F81" s="44" t="s">
        <v>2285</v>
      </c>
      <c r="G81" s="44" t="s">
        <v>2632</v>
      </c>
      <c r="H81" s="44" t="s">
        <v>2994</v>
      </c>
      <c r="I81" s="44" t="s">
        <v>3356</v>
      </c>
      <c r="J81" s="44" t="s">
        <v>4091</v>
      </c>
      <c r="K81" s="44" t="s">
        <v>4518</v>
      </c>
      <c r="L81" s="44" t="s">
        <v>4855</v>
      </c>
      <c r="M81" s="44" t="s">
        <v>5203</v>
      </c>
      <c r="N81" s="44" t="s">
        <v>5557</v>
      </c>
    </row>
    <row r="82" spans="1:14" x14ac:dyDescent="0.3">
      <c r="A82" s="44" t="s">
        <v>3558</v>
      </c>
      <c r="B82" s="44" t="s">
        <v>838</v>
      </c>
      <c r="C82" s="44" t="s">
        <v>1200</v>
      </c>
      <c r="D82" s="44" t="s">
        <v>1562</v>
      </c>
      <c r="E82" s="44" t="s">
        <v>1924</v>
      </c>
      <c r="F82" s="44" t="s">
        <v>2286</v>
      </c>
      <c r="G82" s="44" t="s">
        <v>2633</v>
      </c>
      <c r="H82" s="44" t="s">
        <v>2995</v>
      </c>
      <c r="I82" s="44" t="s">
        <v>3357</v>
      </c>
      <c r="J82" s="44" t="s">
        <v>4180</v>
      </c>
      <c r="K82" s="44" t="s">
        <v>4519</v>
      </c>
      <c r="L82" s="44" t="s">
        <v>4856</v>
      </c>
      <c r="M82" s="44" t="s">
        <v>5204</v>
      </c>
      <c r="N82" s="44" t="s">
        <v>5558</v>
      </c>
    </row>
    <row r="83" spans="1:14" x14ac:dyDescent="0.3">
      <c r="A83" s="44" t="s">
        <v>3559</v>
      </c>
      <c r="B83" s="44" t="s">
        <v>839</v>
      </c>
      <c r="C83" s="44" t="s">
        <v>1201</v>
      </c>
      <c r="D83" s="44" t="s">
        <v>1563</v>
      </c>
      <c r="E83" s="44" t="s">
        <v>1925</v>
      </c>
      <c r="F83" s="44" t="s">
        <v>2287</v>
      </c>
      <c r="G83" s="44" t="s">
        <v>2634</v>
      </c>
      <c r="H83" s="44" t="s">
        <v>2996</v>
      </c>
      <c r="I83" s="44" t="s">
        <v>3358</v>
      </c>
      <c r="J83" s="44" t="s">
        <v>4181</v>
      </c>
      <c r="K83" s="44" t="s">
        <v>4520</v>
      </c>
      <c r="L83" s="44" t="s">
        <v>4857</v>
      </c>
      <c r="M83" s="44" t="s">
        <v>5205</v>
      </c>
      <c r="N83" s="44" t="s">
        <v>5559</v>
      </c>
    </row>
    <row r="84" spans="1:14" x14ac:dyDescent="0.3">
      <c r="A84" s="44" t="s">
        <v>3560</v>
      </c>
      <c r="B84" s="44" t="s">
        <v>840</v>
      </c>
      <c r="C84" s="44" t="s">
        <v>1202</v>
      </c>
      <c r="D84" s="44" t="s">
        <v>1564</v>
      </c>
      <c r="E84" s="44" t="s">
        <v>1926</v>
      </c>
      <c r="F84" s="44" t="s">
        <v>2288</v>
      </c>
      <c r="G84" s="44" t="s">
        <v>2635</v>
      </c>
      <c r="H84" s="44" t="s">
        <v>2997</v>
      </c>
      <c r="I84" s="44" t="s">
        <v>3359</v>
      </c>
      <c r="J84" s="44" t="s">
        <v>4182</v>
      </c>
      <c r="K84" s="44" t="s">
        <v>4521</v>
      </c>
      <c r="L84" s="44" t="s">
        <v>4858</v>
      </c>
      <c r="M84" s="44" t="s">
        <v>5206</v>
      </c>
      <c r="N84" s="44" t="s">
        <v>5560</v>
      </c>
    </row>
    <row r="85" spans="1:14" x14ac:dyDescent="0.3">
      <c r="A85" s="44" t="s">
        <v>3561</v>
      </c>
      <c r="B85" s="44" t="s">
        <v>841</v>
      </c>
      <c r="C85" s="44" t="s">
        <v>1203</v>
      </c>
      <c r="D85" s="44" t="s">
        <v>1565</v>
      </c>
      <c r="E85" s="44" t="s">
        <v>1927</v>
      </c>
      <c r="F85" s="44" t="s">
        <v>2289</v>
      </c>
      <c r="G85" s="44" t="s">
        <v>2636</v>
      </c>
      <c r="H85" s="44" t="s">
        <v>2998</v>
      </c>
      <c r="I85" s="44" t="s">
        <v>3360</v>
      </c>
      <c r="J85" s="44" t="s">
        <v>4183</v>
      </c>
      <c r="K85" s="44" t="s">
        <v>4522</v>
      </c>
      <c r="L85" s="44" t="s">
        <v>4859</v>
      </c>
      <c r="M85" s="44" t="s">
        <v>5207</v>
      </c>
      <c r="N85" s="44" t="s">
        <v>5561</v>
      </c>
    </row>
    <row r="86" spans="1:14" x14ac:dyDescent="0.3">
      <c r="A86" s="44" t="s">
        <v>3562</v>
      </c>
      <c r="B86" s="44" t="s">
        <v>842</v>
      </c>
      <c r="C86" s="44" t="s">
        <v>1204</v>
      </c>
      <c r="D86" s="44" t="s">
        <v>1566</v>
      </c>
      <c r="E86" s="44" t="s">
        <v>1928</v>
      </c>
      <c r="F86" s="44" t="s">
        <v>2290</v>
      </c>
      <c r="G86" s="44" t="s">
        <v>2637</v>
      </c>
      <c r="H86" s="44" t="s">
        <v>2999</v>
      </c>
      <c r="I86" s="44" t="s">
        <v>3361</v>
      </c>
      <c r="J86" s="44" t="s">
        <v>4184</v>
      </c>
      <c r="K86" s="44" t="s">
        <v>4523</v>
      </c>
      <c r="L86" s="44" t="s">
        <v>4860</v>
      </c>
      <c r="M86" s="44" t="s">
        <v>5208</v>
      </c>
      <c r="N86" s="44" t="s">
        <v>5562</v>
      </c>
    </row>
    <row r="87" spans="1:14" x14ac:dyDescent="0.3">
      <c r="A87" s="44" t="s">
        <v>3563</v>
      </c>
      <c r="B87" s="44" t="s">
        <v>843</v>
      </c>
      <c r="C87" s="44" t="s">
        <v>1205</v>
      </c>
      <c r="D87" s="44" t="s">
        <v>1567</v>
      </c>
      <c r="E87" s="44" t="s">
        <v>1929</v>
      </c>
      <c r="F87" s="44" t="s">
        <v>2291</v>
      </c>
      <c r="G87" s="44" t="s">
        <v>2638</v>
      </c>
      <c r="H87" s="44" t="s">
        <v>3000</v>
      </c>
      <c r="I87" s="44" t="s">
        <v>3362</v>
      </c>
      <c r="J87" s="44" t="s">
        <v>4185</v>
      </c>
      <c r="K87" s="44" t="s">
        <v>4524</v>
      </c>
      <c r="L87" s="44" t="s">
        <v>3911</v>
      </c>
      <c r="M87" s="44" t="s">
        <v>5209</v>
      </c>
      <c r="N87" s="44" t="s">
        <v>5563</v>
      </c>
    </row>
    <row r="88" spans="1:14" x14ac:dyDescent="0.3">
      <c r="A88" s="44" t="s">
        <v>3564</v>
      </c>
      <c r="B88" s="44" t="s">
        <v>844</v>
      </c>
      <c r="C88" s="44" t="s">
        <v>1206</v>
      </c>
      <c r="D88" s="44" t="s">
        <v>1568</v>
      </c>
      <c r="E88" s="44" t="s">
        <v>1930</v>
      </c>
      <c r="F88" s="44" t="s">
        <v>2292</v>
      </c>
      <c r="G88" s="44" t="s">
        <v>2639</v>
      </c>
      <c r="H88" s="44" t="s">
        <v>3001</v>
      </c>
      <c r="I88" s="44" t="s">
        <v>3363</v>
      </c>
      <c r="J88" s="44" t="s">
        <v>4186</v>
      </c>
      <c r="K88" s="44" t="s">
        <v>4525</v>
      </c>
      <c r="L88" s="44" t="s">
        <v>4861</v>
      </c>
      <c r="M88" s="44" t="s">
        <v>5210</v>
      </c>
      <c r="N88" s="44" t="s">
        <v>5564</v>
      </c>
    </row>
    <row r="89" spans="1:14" x14ac:dyDescent="0.3">
      <c r="A89" s="44" t="s">
        <v>3565</v>
      </c>
      <c r="B89" s="44" t="s">
        <v>845</v>
      </c>
      <c r="C89" s="44" t="s">
        <v>1207</v>
      </c>
      <c r="D89" s="44" t="s">
        <v>1569</v>
      </c>
      <c r="E89" s="44" t="s">
        <v>1931</v>
      </c>
      <c r="F89" s="44" t="s">
        <v>2293</v>
      </c>
      <c r="G89" s="44" t="s">
        <v>2640</v>
      </c>
      <c r="H89" s="44" t="s">
        <v>3002</v>
      </c>
      <c r="I89" s="44" t="s">
        <v>3364</v>
      </c>
      <c r="J89" s="44" t="s">
        <v>4187</v>
      </c>
      <c r="K89" s="44" t="s">
        <v>4526</v>
      </c>
      <c r="L89" s="44" t="s">
        <v>4862</v>
      </c>
      <c r="M89" s="44" t="s">
        <v>5211</v>
      </c>
      <c r="N89" s="44" t="s">
        <v>5565</v>
      </c>
    </row>
    <row r="90" spans="1:14" x14ac:dyDescent="0.3">
      <c r="A90" s="44" t="s">
        <v>3566</v>
      </c>
      <c r="B90" s="44" t="s">
        <v>846</v>
      </c>
      <c r="C90" s="44" t="s">
        <v>1208</v>
      </c>
      <c r="D90" s="44" t="s">
        <v>1570</v>
      </c>
      <c r="E90" s="44" t="s">
        <v>1932</v>
      </c>
      <c r="F90" s="44" t="s">
        <v>2294</v>
      </c>
      <c r="G90" s="44" t="s">
        <v>2641</v>
      </c>
      <c r="H90" s="44" t="s">
        <v>3003</v>
      </c>
      <c r="I90" s="44" t="s">
        <v>3365</v>
      </c>
      <c r="J90" s="44" t="s">
        <v>4188</v>
      </c>
      <c r="K90" s="44" t="s">
        <v>4527</v>
      </c>
      <c r="L90" s="44" t="s">
        <v>4863</v>
      </c>
      <c r="M90" s="44" t="s">
        <v>5212</v>
      </c>
      <c r="N90" s="44" t="s">
        <v>5566</v>
      </c>
    </row>
    <row r="91" spans="1:14" x14ac:dyDescent="0.3">
      <c r="A91" s="44" t="s">
        <v>3567</v>
      </c>
      <c r="B91" s="44" t="s">
        <v>847</v>
      </c>
      <c r="C91" s="44" t="s">
        <v>1209</v>
      </c>
      <c r="D91" s="44" t="s">
        <v>1571</v>
      </c>
      <c r="E91" s="44" t="s">
        <v>1933</v>
      </c>
      <c r="F91" s="44" t="s">
        <v>2295</v>
      </c>
      <c r="G91" s="44" t="s">
        <v>2642</v>
      </c>
      <c r="H91" s="44" t="s">
        <v>3004</v>
      </c>
      <c r="I91" s="44" t="s">
        <v>3366</v>
      </c>
      <c r="J91" s="44" t="s">
        <v>4189</v>
      </c>
      <c r="K91" s="44" t="s">
        <v>4528</v>
      </c>
      <c r="L91" s="44" t="s">
        <v>4864</v>
      </c>
      <c r="M91" s="44" t="s">
        <v>5213</v>
      </c>
      <c r="N91" s="44" t="s">
        <v>5567</v>
      </c>
    </row>
    <row r="92" spans="1:14" x14ac:dyDescent="0.3">
      <c r="A92" s="44" t="s">
        <v>3568</v>
      </c>
      <c r="B92" s="44" t="s">
        <v>848</v>
      </c>
      <c r="C92" s="44" t="s">
        <v>1210</v>
      </c>
      <c r="D92" s="44" t="s">
        <v>1572</v>
      </c>
      <c r="E92" s="44" t="s">
        <v>1934</v>
      </c>
      <c r="F92" s="44" t="s">
        <v>2296</v>
      </c>
      <c r="G92" s="44" t="s">
        <v>2643</v>
      </c>
      <c r="H92" s="44" t="s">
        <v>3005</v>
      </c>
      <c r="I92" s="44" t="s">
        <v>3367</v>
      </c>
      <c r="J92" s="44" t="s">
        <v>4092</v>
      </c>
      <c r="K92" s="44" t="s">
        <v>4529</v>
      </c>
      <c r="L92" s="44" t="s">
        <v>4865</v>
      </c>
      <c r="M92" s="44" t="s">
        <v>3894</v>
      </c>
      <c r="N92" s="44" t="s">
        <v>5568</v>
      </c>
    </row>
    <row r="93" spans="1:14" x14ac:dyDescent="0.3">
      <c r="A93" s="44" t="s">
        <v>3569</v>
      </c>
      <c r="B93" s="44" t="s">
        <v>849</v>
      </c>
      <c r="C93" s="44" t="s">
        <v>1211</v>
      </c>
      <c r="D93" s="44" t="s">
        <v>1573</v>
      </c>
      <c r="E93" s="44" t="s">
        <v>1935</v>
      </c>
      <c r="F93" s="44" t="s">
        <v>2297</v>
      </c>
      <c r="G93" s="44" t="s">
        <v>2644</v>
      </c>
      <c r="H93" s="44" t="s">
        <v>3006</v>
      </c>
      <c r="I93" s="44" t="s">
        <v>3368</v>
      </c>
      <c r="J93" s="44" t="s">
        <v>4190</v>
      </c>
      <c r="K93" s="44" t="s">
        <v>4530</v>
      </c>
      <c r="L93" s="44" t="s">
        <v>3875</v>
      </c>
      <c r="M93" s="44" t="s">
        <v>5214</v>
      </c>
      <c r="N93" s="44" t="s">
        <v>5569</v>
      </c>
    </row>
    <row r="94" spans="1:14" x14ac:dyDescent="0.3">
      <c r="A94" s="44" t="s">
        <v>3570</v>
      </c>
      <c r="B94" s="44" t="s">
        <v>850</v>
      </c>
      <c r="C94" s="44" t="s">
        <v>1212</v>
      </c>
      <c r="D94" s="44" t="s">
        <v>1574</v>
      </c>
      <c r="E94" s="44" t="s">
        <v>1936</v>
      </c>
      <c r="F94" s="44" t="s">
        <v>2298</v>
      </c>
      <c r="G94" s="44" t="s">
        <v>2645</v>
      </c>
      <c r="H94" s="44" t="s">
        <v>3007</v>
      </c>
      <c r="I94" s="44" t="s">
        <v>3369</v>
      </c>
      <c r="J94" s="44" t="s">
        <v>4191</v>
      </c>
      <c r="K94" s="44" t="s">
        <v>4531</v>
      </c>
      <c r="L94" s="44" t="s">
        <v>4866</v>
      </c>
      <c r="M94" s="44" t="s">
        <v>5215</v>
      </c>
      <c r="N94" s="44" t="s">
        <v>5570</v>
      </c>
    </row>
    <row r="95" spans="1:14" x14ac:dyDescent="0.3">
      <c r="A95" s="44" t="s">
        <v>3571</v>
      </c>
      <c r="B95" s="44" t="s">
        <v>851</v>
      </c>
      <c r="C95" s="44" t="s">
        <v>1213</v>
      </c>
      <c r="D95" s="44" t="s">
        <v>1575</v>
      </c>
      <c r="E95" s="44" t="s">
        <v>1937</v>
      </c>
      <c r="F95" s="44" t="s">
        <v>2299</v>
      </c>
      <c r="G95" s="44" t="s">
        <v>2646</v>
      </c>
      <c r="H95" s="44" t="s">
        <v>3008</v>
      </c>
      <c r="I95" s="44" t="s">
        <v>3370</v>
      </c>
      <c r="J95" s="44" t="s">
        <v>4192</v>
      </c>
      <c r="K95" s="44" t="s">
        <v>4532</v>
      </c>
      <c r="L95" s="44" t="s">
        <v>4867</v>
      </c>
      <c r="M95" s="44" t="s">
        <v>5216</v>
      </c>
      <c r="N95" s="44" t="s">
        <v>5571</v>
      </c>
    </row>
    <row r="96" spans="1:14" x14ac:dyDescent="0.3">
      <c r="A96" s="44" t="s">
        <v>3572</v>
      </c>
      <c r="B96" s="44" t="s">
        <v>852</v>
      </c>
      <c r="C96" s="44" t="s">
        <v>1214</v>
      </c>
      <c r="D96" s="44" t="s">
        <v>1576</v>
      </c>
      <c r="E96" s="44" t="s">
        <v>1938</v>
      </c>
      <c r="F96" s="44" t="s">
        <v>2300</v>
      </c>
      <c r="G96" s="44" t="s">
        <v>2647</v>
      </c>
      <c r="H96" s="44" t="s">
        <v>3009</v>
      </c>
      <c r="I96" s="44" t="s">
        <v>3371</v>
      </c>
      <c r="J96" s="44" t="s">
        <v>4193</v>
      </c>
      <c r="K96" s="44" t="s">
        <v>4533</v>
      </c>
      <c r="L96" s="44" t="s">
        <v>4868</v>
      </c>
      <c r="M96" s="44" t="s">
        <v>5217</v>
      </c>
      <c r="N96" s="44" t="s">
        <v>5572</v>
      </c>
    </row>
    <row r="97" spans="1:14" x14ac:dyDescent="0.3">
      <c r="A97" s="44" t="s">
        <v>3573</v>
      </c>
      <c r="B97" s="44" t="s">
        <v>853</v>
      </c>
      <c r="C97" s="44" t="s">
        <v>1215</v>
      </c>
      <c r="D97" s="44" t="s">
        <v>1577</v>
      </c>
      <c r="E97" s="44" t="s">
        <v>1939</v>
      </c>
      <c r="F97" s="44" t="s">
        <v>2301</v>
      </c>
      <c r="G97" s="44" t="s">
        <v>2648</v>
      </c>
      <c r="H97" s="44" t="s">
        <v>3010</v>
      </c>
      <c r="I97" s="44" t="s">
        <v>3372</v>
      </c>
      <c r="J97" s="44" t="s">
        <v>4194</v>
      </c>
      <c r="K97" s="44" t="s">
        <v>4534</v>
      </c>
      <c r="L97" s="44" t="s">
        <v>3912</v>
      </c>
      <c r="M97" s="44" t="s">
        <v>5218</v>
      </c>
      <c r="N97" s="44" t="s">
        <v>5573</v>
      </c>
    </row>
    <row r="98" spans="1:14" x14ac:dyDescent="0.3">
      <c r="A98" s="44" t="s">
        <v>3574</v>
      </c>
      <c r="B98" s="44" t="s">
        <v>854</v>
      </c>
      <c r="C98" s="44" t="s">
        <v>1216</v>
      </c>
      <c r="D98" s="44" t="s">
        <v>1578</v>
      </c>
      <c r="E98" s="44" t="s">
        <v>1940</v>
      </c>
      <c r="F98" s="44" t="s">
        <v>2302</v>
      </c>
      <c r="G98" s="44" t="s">
        <v>2649</v>
      </c>
      <c r="H98" s="44" t="s">
        <v>3011</v>
      </c>
      <c r="I98" s="44" t="s">
        <v>3373</v>
      </c>
      <c r="J98" s="44" t="s">
        <v>4195</v>
      </c>
      <c r="K98" s="44" t="s">
        <v>4535</v>
      </c>
      <c r="L98" s="44" t="s">
        <v>4869</v>
      </c>
      <c r="M98" s="44" t="s">
        <v>5219</v>
      </c>
      <c r="N98" s="44" t="s">
        <v>5574</v>
      </c>
    </row>
    <row r="99" spans="1:14" x14ac:dyDescent="0.3">
      <c r="A99" s="44" t="s">
        <v>3575</v>
      </c>
      <c r="B99" s="44" t="s">
        <v>855</v>
      </c>
      <c r="C99" s="44" t="s">
        <v>1217</v>
      </c>
      <c r="D99" s="44" t="s">
        <v>1579</v>
      </c>
      <c r="E99" s="44" t="s">
        <v>1941</v>
      </c>
      <c r="F99" s="44" t="s">
        <v>2303</v>
      </c>
      <c r="G99" s="44" t="s">
        <v>2650</v>
      </c>
      <c r="H99" s="44" t="s">
        <v>3012</v>
      </c>
      <c r="I99" s="44" t="s">
        <v>3374</v>
      </c>
      <c r="J99" s="44" t="s">
        <v>4196</v>
      </c>
      <c r="K99" s="44" t="s">
        <v>4536</v>
      </c>
      <c r="L99" s="44" t="s">
        <v>4870</v>
      </c>
      <c r="M99" s="44" t="s">
        <v>5220</v>
      </c>
      <c r="N99" s="44" t="s">
        <v>5575</v>
      </c>
    </row>
    <row r="100" spans="1:14" x14ac:dyDescent="0.3">
      <c r="A100" s="44" t="s">
        <v>3576</v>
      </c>
      <c r="B100" s="44" t="s">
        <v>856</v>
      </c>
      <c r="C100" s="44" t="s">
        <v>1218</v>
      </c>
      <c r="D100" s="44" t="s">
        <v>1580</v>
      </c>
      <c r="E100" s="44" t="s">
        <v>1942</v>
      </c>
      <c r="F100" s="44" t="s">
        <v>2304</v>
      </c>
      <c r="G100" s="44" t="s">
        <v>2651</v>
      </c>
      <c r="H100" s="44" t="s">
        <v>3013</v>
      </c>
      <c r="I100" s="44" t="s">
        <v>3375</v>
      </c>
      <c r="J100" s="44" t="s">
        <v>4197</v>
      </c>
      <c r="K100" s="44" t="s">
        <v>4537</v>
      </c>
      <c r="L100" s="44" t="s">
        <v>4871</v>
      </c>
      <c r="M100" s="44" t="s">
        <v>5221</v>
      </c>
      <c r="N100" s="44" t="s">
        <v>5576</v>
      </c>
    </row>
    <row r="101" spans="1:14" x14ac:dyDescent="0.3">
      <c r="A101" s="44" t="s">
        <v>3577</v>
      </c>
      <c r="B101" s="44" t="s">
        <v>857</v>
      </c>
      <c r="C101" s="44" t="s">
        <v>1219</v>
      </c>
      <c r="D101" s="44" t="s">
        <v>1581</v>
      </c>
      <c r="E101" s="44" t="s">
        <v>1943</v>
      </c>
      <c r="F101" s="44" t="s">
        <v>2305</v>
      </c>
      <c r="G101" s="44" t="s">
        <v>2652</v>
      </c>
      <c r="H101" s="44" t="s">
        <v>3014</v>
      </c>
      <c r="I101" s="44" t="s">
        <v>3376</v>
      </c>
      <c r="J101" s="44" t="s">
        <v>4198</v>
      </c>
      <c r="K101" s="44" t="s">
        <v>4538</v>
      </c>
      <c r="L101" s="44" t="s">
        <v>4872</v>
      </c>
      <c r="M101" s="44" t="s">
        <v>5222</v>
      </c>
      <c r="N101" s="44" t="s">
        <v>5577</v>
      </c>
    </row>
    <row r="102" spans="1:14" x14ac:dyDescent="0.3">
      <c r="A102" s="44" t="s">
        <v>3578</v>
      </c>
      <c r="B102" s="44" t="s">
        <v>858</v>
      </c>
      <c r="C102" s="44" t="s">
        <v>1220</v>
      </c>
      <c r="D102" s="44" t="s">
        <v>1582</v>
      </c>
      <c r="E102" s="44" t="s">
        <v>1944</v>
      </c>
      <c r="F102" s="44" t="s">
        <v>2306</v>
      </c>
      <c r="G102" s="44" t="s">
        <v>2653</v>
      </c>
      <c r="H102" s="44" t="s">
        <v>3015</v>
      </c>
      <c r="I102" s="44" t="s">
        <v>3377</v>
      </c>
      <c r="J102" s="44" t="s">
        <v>4199</v>
      </c>
      <c r="K102" s="44" t="s">
        <v>4539</v>
      </c>
      <c r="L102" s="44" t="s">
        <v>4873</v>
      </c>
      <c r="M102" s="44" t="s">
        <v>5223</v>
      </c>
      <c r="N102" s="44" t="s">
        <v>5578</v>
      </c>
    </row>
    <row r="103" spans="1:14" x14ac:dyDescent="0.3">
      <c r="A103" s="44" t="s">
        <v>3579</v>
      </c>
      <c r="B103" s="44" t="s">
        <v>859</v>
      </c>
      <c r="C103" s="44" t="s">
        <v>1221</v>
      </c>
      <c r="D103" s="44" t="s">
        <v>1583</v>
      </c>
      <c r="E103" s="44" t="s">
        <v>1945</v>
      </c>
      <c r="F103" s="44" t="s">
        <v>2307</v>
      </c>
      <c r="G103" s="44" t="s">
        <v>2654</v>
      </c>
      <c r="H103" s="44" t="s">
        <v>3016</v>
      </c>
      <c r="I103" s="44" t="s">
        <v>3378</v>
      </c>
      <c r="J103" s="44" t="s">
        <v>4093</v>
      </c>
      <c r="K103" s="44" t="s">
        <v>4440</v>
      </c>
      <c r="L103" s="44" t="s">
        <v>4874</v>
      </c>
      <c r="M103" s="44" t="s">
        <v>5224</v>
      </c>
      <c r="N103" s="44" t="s">
        <v>5579</v>
      </c>
    </row>
    <row r="104" spans="1:14" x14ac:dyDescent="0.3">
      <c r="A104" s="44" t="s">
        <v>3580</v>
      </c>
      <c r="B104" s="44" t="s">
        <v>860</v>
      </c>
      <c r="C104" s="44" t="s">
        <v>1222</v>
      </c>
      <c r="D104" s="44" t="s">
        <v>1584</v>
      </c>
      <c r="E104" s="44" t="s">
        <v>1946</v>
      </c>
      <c r="F104" s="44" t="s">
        <v>2308</v>
      </c>
      <c r="G104" s="44" t="s">
        <v>2655</v>
      </c>
      <c r="H104" s="44" t="s">
        <v>3017</v>
      </c>
      <c r="I104" s="44" t="s">
        <v>3379</v>
      </c>
      <c r="J104" s="44" t="s">
        <v>4094</v>
      </c>
      <c r="K104" s="44" t="s">
        <v>4540</v>
      </c>
      <c r="L104" s="44" t="s">
        <v>4875</v>
      </c>
      <c r="M104" s="44" t="s">
        <v>5225</v>
      </c>
      <c r="N104" s="44" t="s">
        <v>5580</v>
      </c>
    </row>
    <row r="105" spans="1:14" x14ac:dyDescent="0.3">
      <c r="A105" s="44" t="s">
        <v>3581</v>
      </c>
      <c r="B105" s="44" t="s">
        <v>861</v>
      </c>
      <c r="C105" s="44" t="s">
        <v>1223</v>
      </c>
      <c r="D105" s="44" t="s">
        <v>1585</v>
      </c>
      <c r="E105" s="44" t="s">
        <v>1947</v>
      </c>
      <c r="F105" s="44" t="s">
        <v>2309</v>
      </c>
      <c r="G105" s="44" t="s">
        <v>2656</v>
      </c>
      <c r="H105" s="44" t="s">
        <v>3018</v>
      </c>
      <c r="I105" s="44" t="s">
        <v>3380</v>
      </c>
      <c r="J105" s="44" t="s">
        <v>4200</v>
      </c>
      <c r="K105" s="44" t="s">
        <v>4541</v>
      </c>
      <c r="L105" s="44" t="s">
        <v>4876</v>
      </c>
      <c r="M105" s="44" t="s">
        <v>5226</v>
      </c>
      <c r="N105" s="44" t="s">
        <v>5581</v>
      </c>
    </row>
    <row r="106" spans="1:14" x14ac:dyDescent="0.3">
      <c r="A106" s="44" t="s">
        <v>3582</v>
      </c>
      <c r="B106" s="44" t="s">
        <v>862</v>
      </c>
      <c r="C106" s="44" t="s">
        <v>1224</v>
      </c>
      <c r="D106" s="44" t="s">
        <v>1586</v>
      </c>
      <c r="E106" s="44" t="s">
        <v>1948</v>
      </c>
      <c r="F106" s="44" t="s">
        <v>2310</v>
      </c>
      <c r="G106" s="44" t="s">
        <v>2657</v>
      </c>
      <c r="H106" s="44" t="s">
        <v>3019</v>
      </c>
      <c r="I106" s="44" t="s">
        <v>3381</v>
      </c>
      <c r="J106" s="44" t="s">
        <v>4201</v>
      </c>
      <c r="K106" s="44" t="s">
        <v>4542</v>
      </c>
      <c r="L106" s="44" t="s">
        <v>4877</v>
      </c>
      <c r="M106" s="44" t="s">
        <v>5227</v>
      </c>
      <c r="N106" s="44" t="s">
        <v>5582</v>
      </c>
    </row>
    <row r="107" spans="1:14" x14ac:dyDescent="0.3">
      <c r="A107" s="44" t="s">
        <v>3583</v>
      </c>
      <c r="B107" s="44" t="s">
        <v>863</v>
      </c>
      <c r="C107" s="44" t="s">
        <v>1225</v>
      </c>
      <c r="D107" s="44" t="s">
        <v>1587</v>
      </c>
      <c r="E107" s="44" t="s">
        <v>1949</v>
      </c>
      <c r="F107" s="44" t="s">
        <v>2311</v>
      </c>
      <c r="G107" s="44" t="s">
        <v>2658</v>
      </c>
      <c r="H107" s="44" t="s">
        <v>3020</v>
      </c>
      <c r="I107" s="44" t="s">
        <v>3382</v>
      </c>
      <c r="J107" s="44" t="s">
        <v>4202</v>
      </c>
      <c r="K107" s="44" t="s">
        <v>4543</v>
      </c>
      <c r="L107" s="44" t="s">
        <v>3913</v>
      </c>
      <c r="M107" s="44" t="s">
        <v>5228</v>
      </c>
      <c r="N107" s="44" t="s">
        <v>5583</v>
      </c>
    </row>
    <row r="108" spans="1:14" x14ac:dyDescent="0.3">
      <c r="A108" s="44" t="s">
        <v>3584</v>
      </c>
      <c r="B108" s="44" t="s">
        <v>864</v>
      </c>
      <c r="C108" s="44" t="s">
        <v>1226</v>
      </c>
      <c r="D108" s="44" t="s">
        <v>1588</v>
      </c>
      <c r="E108" s="44" t="s">
        <v>1950</v>
      </c>
      <c r="F108" s="44" t="s">
        <v>2312</v>
      </c>
      <c r="G108" s="44" t="s">
        <v>2659</v>
      </c>
      <c r="H108" s="44" t="s">
        <v>3021</v>
      </c>
      <c r="I108" s="44" t="s">
        <v>3383</v>
      </c>
      <c r="J108" s="44" t="s">
        <v>4203</v>
      </c>
      <c r="K108" s="44" t="s">
        <v>4544</v>
      </c>
      <c r="L108" s="44" t="s">
        <v>4878</v>
      </c>
      <c r="M108" s="44" t="s">
        <v>5229</v>
      </c>
      <c r="N108" s="44" t="s">
        <v>5584</v>
      </c>
    </row>
    <row r="109" spans="1:14" x14ac:dyDescent="0.3">
      <c r="A109" s="44" t="s">
        <v>3585</v>
      </c>
      <c r="B109" s="44" t="s">
        <v>865</v>
      </c>
      <c r="C109" s="44" t="s">
        <v>1227</v>
      </c>
      <c r="D109" s="44" t="s">
        <v>1589</v>
      </c>
      <c r="E109" s="44" t="s">
        <v>1951</v>
      </c>
      <c r="F109" s="44" t="s">
        <v>2313</v>
      </c>
      <c r="G109" s="44" t="s">
        <v>2660</v>
      </c>
      <c r="H109" s="44" t="s">
        <v>3022</v>
      </c>
      <c r="I109" s="44" t="s">
        <v>3384</v>
      </c>
      <c r="J109" s="44" t="s">
        <v>4204</v>
      </c>
      <c r="K109" s="44" t="s">
        <v>4545</v>
      </c>
      <c r="L109" s="44" t="s">
        <v>4879</v>
      </c>
      <c r="M109" s="44" t="s">
        <v>5230</v>
      </c>
      <c r="N109" s="44" t="s">
        <v>5585</v>
      </c>
    </row>
    <row r="110" spans="1:14" x14ac:dyDescent="0.3">
      <c r="A110" s="44" t="s">
        <v>3586</v>
      </c>
      <c r="B110" s="44" t="s">
        <v>866</v>
      </c>
      <c r="C110" s="44" t="s">
        <v>1228</v>
      </c>
      <c r="D110" s="44" t="s">
        <v>1590</v>
      </c>
      <c r="E110" s="44" t="s">
        <v>1952</v>
      </c>
      <c r="F110" s="44" t="s">
        <v>2314</v>
      </c>
      <c r="G110" s="44" t="s">
        <v>2661</v>
      </c>
      <c r="H110" s="44" t="s">
        <v>3023</v>
      </c>
      <c r="I110" s="44" t="s">
        <v>3385</v>
      </c>
      <c r="J110" s="44" t="s">
        <v>4205</v>
      </c>
      <c r="K110" s="44" t="s">
        <v>4546</v>
      </c>
      <c r="L110" s="44" t="s">
        <v>4880</v>
      </c>
      <c r="M110" s="44" t="s">
        <v>5231</v>
      </c>
      <c r="N110" s="44" t="s">
        <v>5586</v>
      </c>
    </row>
    <row r="111" spans="1:14" x14ac:dyDescent="0.3">
      <c r="A111" s="44" t="s">
        <v>3587</v>
      </c>
      <c r="B111" s="44" t="s">
        <v>867</v>
      </c>
      <c r="C111" s="44" t="s">
        <v>1229</v>
      </c>
      <c r="D111" s="44" t="s">
        <v>1591</v>
      </c>
      <c r="E111" s="44" t="s">
        <v>1953</v>
      </c>
      <c r="F111" s="44" t="s">
        <v>2315</v>
      </c>
      <c r="G111" s="44" t="s">
        <v>2662</v>
      </c>
      <c r="H111" s="44" t="s">
        <v>3024</v>
      </c>
      <c r="I111" s="44" t="s">
        <v>3386</v>
      </c>
      <c r="J111" s="44" t="s">
        <v>4206</v>
      </c>
      <c r="K111" s="44" t="s">
        <v>4547</v>
      </c>
      <c r="L111" s="44" t="s">
        <v>4881</v>
      </c>
      <c r="M111" s="44" t="s">
        <v>5232</v>
      </c>
      <c r="N111" s="44" t="s">
        <v>5587</v>
      </c>
    </row>
    <row r="112" spans="1:14" x14ac:dyDescent="0.3">
      <c r="A112" s="44" t="s">
        <v>3588</v>
      </c>
      <c r="B112" s="44" t="s">
        <v>868</v>
      </c>
      <c r="C112" s="44" t="s">
        <v>1230</v>
      </c>
      <c r="D112" s="44" t="s">
        <v>1592</v>
      </c>
      <c r="E112" s="44" t="s">
        <v>1954</v>
      </c>
      <c r="F112" s="44" t="s">
        <v>2316</v>
      </c>
      <c r="G112" s="44" t="s">
        <v>2663</v>
      </c>
      <c r="H112" s="44" t="s">
        <v>3025</v>
      </c>
      <c r="I112" s="44" t="s">
        <v>3387</v>
      </c>
      <c r="J112" s="44" t="s">
        <v>4207</v>
      </c>
      <c r="K112" s="44" t="s">
        <v>4548</v>
      </c>
      <c r="L112" s="44" t="s">
        <v>4882</v>
      </c>
      <c r="M112" s="44" t="s">
        <v>5233</v>
      </c>
      <c r="N112" s="44" t="s">
        <v>5588</v>
      </c>
    </row>
    <row r="113" spans="1:14" x14ac:dyDescent="0.3">
      <c r="A113" s="44" t="s">
        <v>3589</v>
      </c>
      <c r="B113" s="44" t="s">
        <v>869</v>
      </c>
      <c r="C113" s="44" t="s">
        <v>1231</v>
      </c>
      <c r="D113" s="44" t="s">
        <v>1593</v>
      </c>
      <c r="E113" s="44" t="s">
        <v>1955</v>
      </c>
      <c r="F113" s="44" t="s">
        <v>2317</v>
      </c>
      <c r="G113" s="44" t="s">
        <v>2664</v>
      </c>
      <c r="H113" s="44" t="s">
        <v>3026</v>
      </c>
      <c r="I113" s="44" t="s">
        <v>3388</v>
      </c>
      <c r="J113" s="44" t="s">
        <v>4208</v>
      </c>
      <c r="K113" s="44" t="s">
        <v>4549</v>
      </c>
      <c r="L113" s="44" t="s">
        <v>4883</v>
      </c>
      <c r="M113" s="44" t="s">
        <v>5234</v>
      </c>
      <c r="N113" s="44" t="s">
        <v>5589</v>
      </c>
    </row>
    <row r="114" spans="1:14" x14ac:dyDescent="0.3">
      <c r="A114" s="44" t="s">
        <v>3590</v>
      </c>
      <c r="B114" s="44" t="s">
        <v>870</v>
      </c>
      <c r="C114" s="44" t="s">
        <v>1232</v>
      </c>
      <c r="D114" s="44" t="s">
        <v>1594</v>
      </c>
      <c r="E114" s="44" t="s">
        <v>1956</v>
      </c>
      <c r="F114" s="44" t="s">
        <v>2318</v>
      </c>
      <c r="G114" s="44" t="s">
        <v>2665</v>
      </c>
      <c r="H114" s="44" t="s">
        <v>3027</v>
      </c>
      <c r="I114" s="44" t="s">
        <v>3389</v>
      </c>
      <c r="J114" s="44" t="s">
        <v>4209</v>
      </c>
      <c r="K114" s="44" t="s">
        <v>4550</v>
      </c>
      <c r="L114" s="44" t="s">
        <v>4884</v>
      </c>
      <c r="M114" s="44" t="s">
        <v>5235</v>
      </c>
      <c r="N114" s="44" t="s">
        <v>5590</v>
      </c>
    </row>
    <row r="115" spans="1:14" x14ac:dyDescent="0.3">
      <c r="A115" s="44" t="s">
        <v>3591</v>
      </c>
      <c r="B115" s="44" t="s">
        <v>871</v>
      </c>
      <c r="C115" s="44" t="s">
        <v>1233</v>
      </c>
      <c r="D115" s="44" t="s">
        <v>1595</v>
      </c>
      <c r="E115" s="44" t="s">
        <v>1957</v>
      </c>
      <c r="F115" s="44" t="s">
        <v>2319</v>
      </c>
      <c r="G115" s="44" t="s">
        <v>2666</v>
      </c>
      <c r="H115" s="44" t="s">
        <v>3028</v>
      </c>
      <c r="I115" s="44" t="s">
        <v>3390</v>
      </c>
      <c r="J115" s="44" t="s">
        <v>4095</v>
      </c>
      <c r="K115" s="44" t="s">
        <v>4551</v>
      </c>
      <c r="L115" s="44" t="s">
        <v>4885</v>
      </c>
      <c r="M115" s="44" t="s">
        <v>5236</v>
      </c>
      <c r="N115" s="44" t="s">
        <v>5591</v>
      </c>
    </row>
    <row r="116" spans="1:14" x14ac:dyDescent="0.3">
      <c r="A116" s="44" t="s">
        <v>3592</v>
      </c>
      <c r="B116" s="44" t="s">
        <v>872</v>
      </c>
      <c r="C116" s="44" t="s">
        <v>1234</v>
      </c>
      <c r="D116" s="44" t="s">
        <v>1596</v>
      </c>
      <c r="E116" s="44" t="s">
        <v>1958</v>
      </c>
      <c r="F116" s="44" t="s">
        <v>2320</v>
      </c>
      <c r="G116" s="44" t="s">
        <v>2667</v>
      </c>
      <c r="H116" s="44" t="s">
        <v>3029</v>
      </c>
      <c r="I116" s="44" t="s">
        <v>3391</v>
      </c>
      <c r="J116" s="44" t="s">
        <v>4210</v>
      </c>
      <c r="K116" s="44" t="s">
        <v>4552</v>
      </c>
      <c r="L116" s="44" t="s">
        <v>4886</v>
      </c>
      <c r="M116" s="44" t="s">
        <v>5237</v>
      </c>
      <c r="N116" s="44" t="s">
        <v>5592</v>
      </c>
    </row>
    <row r="117" spans="1:14" x14ac:dyDescent="0.3">
      <c r="A117" s="44" t="s">
        <v>3593</v>
      </c>
      <c r="B117" s="44" t="s">
        <v>873</v>
      </c>
      <c r="C117" s="44" t="s">
        <v>1235</v>
      </c>
      <c r="D117" s="44" t="s">
        <v>1597</v>
      </c>
      <c r="E117" s="44" t="s">
        <v>1959</v>
      </c>
      <c r="F117" s="44" t="s">
        <v>2321</v>
      </c>
      <c r="G117" s="44" t="s">
        <v>2668</v>
      </c>
      <c r="H117" s="44" t="s">
        <v>3030</v>
      </c>
      <c r="I117" s="44" t="s">
        <v>3392</v>
      </c>
      <c r="J117" s="44" t="s">
        <v>3868</v>
      </c>
      <c r="K117" s="44" t="s">
        <v>4553</v>
      </c>
      <c r="L117" s="44" t="s">
        <v>3914</v>
      </c>
      <c r="M117" s="44" t="s">
        <v>5238</v>
      </c>
      <c r="N117" s="44" t="s">
        <v>5593</v>
      </c>
    </row>
    <row r="118" spans="1:14" x14ac:dyDescent="0.3">
      <c r="A118" s="44" t="s">
        <v>3594</v>
      </c>
      <c r="B118" s="44" t="s">
        <v>874</v>
      </c>
      <c r="C118" s="44" t="s">
        <v>1236</v>
      </c>
      <c r="D118" s="44" t="s">
        <v>1598</v>
      </c>
      <c r="E118" s="44" t="s">
        <v>1960</v>
      </c>
      <c r="F118" s="44" t="s">
        <v>2322</v>
      </c>
      <c r="G118" s="44" t="s">
        <v>2669</v>
      </c>
      <c r="H118" s="44" t="s">
        <v>3031</v>
      </c>
      <c r="I118" s="44" t="s">
        <v>3393</v>
      </c>
      <c r="J118" s="44" t="s">
        <v>4211</v>
      </c>
      <c r="K118" s="44" t="s">
        <v>4554</v>
      </c>
      <c r="L118" s="44" t="s">
        <v>4887</v>
      </c>
      <c r="M118" s="44" t="s">
        <v>5239</v>
      </c>
      <c r="N118" s="44" t="s">
        <v>5594</v>
      </c>
    </row>
    <row r="119" spans="1:14" x14ac:dyDescent="0.3">
      <c r="A119" s="44" t="s">
        <v>3595</v>
      </c>
      <c r="B119" s="44" t="s">
        <v>875</v>
      </c>
      <c r="C119" s="44" t="s">
        <v>1237</v>
      </c>
      <c r="D119" s="44" t="s">
        <v>1599</v>
      </c>
      <c r="E119" s="44" t="s">
        <v>1961</v>
      </c>
      <c r="F119" s="44" t="s">
        <v>2323</v>
      </c>
      <c r="G119" s="44" t="s">
        <v>2670</v>
      </c>
      <c r="H119" s="44" t="s">
        <v>3032</v>
      </c>
      <c r="I119" s="44" t="s">
        <v>3394</v>
      </c>
      <c r="J119" s="44" t="s">
        <v>4212</v>
      </c>
      <c r="K119" s="44" t="s">
        <v>3887</v>
      </c>
      <c r="L119" s="44" t="s">
        <v>4888</v>
      </c>
      <c r="M119" s="44" t="s">
        <v>5240</v>
      </c>
      <c r="N119" s="44" t="s">
        <v>5595</v>
      </c>
    </row>
    <row r="120" spans="1:14" x14ac:dyDescent="0.3">
      <c r="A120" s="44" t="s">
        <v>3596</v>
      </c>
      <c r="B120" s="44" t="s">
        <v>876</v>
      </c>
      <c r="C120" s="44" t="s">
        <v>1238</v>
      </c>
      <c r="D120" s="44" t="s">
        <v>1600</v>
      </c>
      <c r="E120" s="44" t="s">
        <v>1962</v>
      </c>
      <c r="F120" s="44" t="s">
        <v>2324</v>
      </c>
      <c r="G120" s="44" t="s">
        <v>2671</v>
      </c>
      <c r="H120" s="44" t="s">
        <v>3033</v>
      </c>
      <c r="I120" s="44" t="s">
        <v>3395</v>
      </c>
      <c r="J120" s="44" t="s">
        <v>4213</v>
      </c>
      <c r="K120" s="44" t="s">
        <v>4555</v>
      </c>
      <c r="L120" s="44" t="s">
        <v>4889</v>
      </c>
      <c r="M120" s="44" t="s">
        <v>5241</v>
      </c>
      <c r="N120" s="44" t="s">
        <v>5596</v>
      </c>
    </row>
    <row r="121" spans="1:14" x14ac:dyDescent="0.3">
      <c r="A121" s="44" t="s">
        <v>3597</v>
      </c>
      <c r="B121" s="44" t="s">
        <v>877</v>
      </c>
      <c r="C121" s="44" t="s">
        <v>1239</v>
      </c>
      <c r="D121" s="44" t="s">
        <v>1601</v>
      </c>
      <c r="E121" s="44" t="s">
        <v>1963</v>
      </c>
      <c r="F121" s="44" t="s">
        <v>2325</v>
      </c>
      <c r="G121" s="44" t="s">
        <v>2672</v>
      </c>
      <c r="H121" s="44" t="s">
        <v>3034</v>
      </c>
      <c r="I121" s="44" t="s">
        <v>3396</v>
      </c>
      <c r="J121" s="44" t="s">
        <v>4214</v>
      </c>
      <c r="K121" s="44" t="s">
        <v>4556</v>
      </c>
      <c r="L121" s="44" t="s">
        <v>4890</v>
      </c>
      <c r="M121" s="44" t="s">
        <v>5242</v>
      </c>
      <c r="N121" s="44" t="s">
        <v>5597</v>
      </c>
    </row>
    <row r="122" spans="1:14" x14ac:dyDescent="0.3">
      <c r="A122" s="44" t="s">
        <v>3598</v>
      </c>
      <c r="B122" s="44" t="s">
        <v>878</v>
      </c>
      <c r="C122" s="44" t="s">
        <v>1240</v>
      </c>
      <c r="D122" s="44" t="s">
        <v>1602</v>
      </c>
      <c r="E122" s="44" t="s">
        <v>1964</v>
      </c>
      <c r="F122" s="44" t="s">
        <v>2326</v>
      </c>
      <c r="G122" s="44" t="s">
        <v>2673</v>
      </c>
      <c r="H122" s="44" t="s">
        <v>3035</v>
      </c>
      <c r="I122" s="44" t="s">
        <v>3397</v>
      </c>
      <c r="J122" s="44" t="s">
        <v>4215</v>
      </c>
      <c r="K122" s="44" t="s">
        <v>4557</v>
      </c>
      <c r="L122" s="44" t="s">
        <v>4891</v>
      </c>
      <c r="M122" s="44" t="s">
        <v>5243</v>
      </c>
      <c r="N122" s="44" t="s">
        <v>5598</v>
      </c>
    </row>
    <row r="123" spans="1:14" x14ac:dyDescent="0.3">
      <c r="A123" s="44" t="s">
        <v>3599</v>
      </c>
      <c r="B123" s="44" t="s">
        <v>879</v>
      </c>
      <c r="C123" s="44" t="s">
        <v>1241</v>
      </c>
      <c r="D123" s="44" t="s">
        <v>1603</v>
      </c>
      <c r="E123" s="44" t="s">
        <v>1965</v>
      </c>
      <c r="F123" s="44" t="s">
        <v>2327</v>
      </c>
      <c r="G123" s="44" t="s">
        <v>2674</v>
      </c>
      <c r="H123" s="44" t="s">
        <v>3036</v>
      </c>
      <c r="I123" s="44" t="s">
        <v>3398</v>
      </c>
      <c r="J123" s="44" t="s">
        <v>4216</v>
      </c>
      <c r="K123" s="44" t="s">
        <v>4558</v>
      </c>
      <c r="L123" s="44" t="s">
        <v>4892</v>
      </c>
      <c r="M123" s="44" t="s">
        <v>5244</v>
      </c>
      <c r="N123" s="44" t="s">
        <v>5599</v>
      </c>
    </row>
    <row r="124" spans="1:14" x14ac:dyDescent="0.3">
      <c r="A124" s="44" t="s">
        <v>3600</v>
      </c>
      <c r="B124" s="44" t="s">
        <v>880</v>
      </c>
      <c r="C124" s="44" t="s">
        <v>1242</v>
      </c>
      <c r="D124" s="44" t="s">
        <v>1604</v>
      </c>
      <c r="E124" s="44" t="s">
        <v>1966</v>
      </c>
      <c r="F124" s="44" t="s">
        <v>2328</v>
      </c>
      <c r="G124" s="44" t="s">
        <v>2675</v>
      </c>
      <c r="H124" s="44" t="s">
        <v>3037</v>
      </c>
      <c r="I124" s="44" t="s">
        <v>3399</v>
      </c>
      <c r="J124" s="44" t="s">
        <v>4217</v>
      </c>
      <c r="K124" s="44" t="s">
        <v>4559</v>
      </c>
      <c r="L124" s="44" t="s">
        <v>4893</v>
      </c>
      <c r="M124" s="44" t="s">
        <v>5245</v>
      </c>
      <c r="N124" s="44" t="s">
        <v>5600</v>
      </c>
    </row>
    <row r="125" spans="1:14" x14ac:dyDescent="0.3">
      <c r="A125" s="44" t="s">
        <v>3601</v>
      </c>
      <c r="B125" s="44" t="s">
        <v>881</v>
      </c>
      <c r="C125" s="44" t="s">
        <v>1243</v>
      </c>
      <c r="D125" s="44" t="s">
        <v>1605</v>
      </c>
      <c r="E125" s="44" t="s">
        <v>1967</v>
      </c>
      <c r="F125" s="44" t="s">
        <v>2329</v>
      </c>
      <c r="G125" s="44" t="s">
        <v>2676</v>
      </c>
      <c r="H125" s="44" t="s">
        <v>3038</v>
      </c>
      <c r="I125" s="44" t="s">
        <v>3400</v>
      </c>
      <c r="J125" s="44" t="s">
        <v>4218</v>
      </c>
      <c r="K125" s="44" t="s">
        <v>4560</v>
      </c>
      <c r="L125" s="44" t="s">
        <v>4894</v>
      </c>
      <c r="M125" s="44" t="s">
        <v>5246</v>
      </c>
      <c r="N125" s="44" t="s">
        <v>5601</v>
      </c>
    </row>
    <row r="126" spans="1:14" x14ac:dyDescent="0.3">
      <c r="A126" s="44" t="s">
        <v>3602</v>
      </c>
      <c r="B126" s="44" t="s">
        <v>882</v>
      </c>
      <c r="C126" s="44" t="s">
        <v>1244</v>
      </c>
      <c r="D126" s="44" t="s">
        <v>1606</v>
      </c>
      <c r="E126" s="44" t="s">
        <v>1968</v>
      </c>
      <c r="F126" s="44" t="s">
        <v>2330</v>
      </c>
      <c r="G126" s="44" t="s">
        <v>2677</v>
      </c>
      <c r="H126" s="44" t="s">
        <v>3039</v>
      </c>
      <c r="I126" s="44" t="s">
        <v>3401</v>
      </c>
      <c r="J126" s="44" t="s">
        <v>4096</v>
      </c>
      <c r="K126" s="44" t="s">
        <v>4561</v>
      </c>
      <c r="L126" s="44" t="s">
        <v>4895</v>
      </c>
      <c r="M126" s="44" t="s">
        <v>5247</v>
      </c>
      <c r="N126" s="44" t="s">
        <v>5602</v>
      </c>
    </row>
    <row r="127" spans="1:14" x14ac:dyDescent="0.3">
      <c r="A127" s="44" t="s">
        <v>3603</v>
      </c>
      <c r="B127" s="44" t="s">
        <v>883</v>
      </c>
      <c r="C127" s="44" t="s">
        <v>1245</v>
      </c>
      <c r="D127" s="44" t="s">
        <v>1607</v>
      </c>
      <c r="E127" s="44" t="s">
        <v>1969</v>
      </c>
      <c r="F127" s="44" t="s">
        <v>2331</v>
      </c>
      <c r="G127" s="44" t="s">
        <v>2678</v>
      </c>
      <c r="H127" s="44" t="s">
        <v>3040</v>
      </c>
      <c r="I127" s="44" t="s">
        <v>3402</v>
      </c>
      <c r="J127" s="44" t="s">
        <v>4219</v>
      </c>
      <c r="K127" s="44" t="s">
        <v>4562</v>
      </c>
      <c r="L127" s="44" t="s">
        <v>4896</v>
      </c>
      <c r="M127" s="44" t="s">
        <v>5248</v>
      </c>
      <c r="N127" s="44" t="s">
        <v>5603</v>
      </c>
    </row>
    <row r="128" spans="1:14" x14ac:dyDescent="0.3">
      <c r="A128" s="44" t="s">
        <v>3604</v>
      </c>
      <c r="B128" s="44" t="s">
        <v>884</v>
      </c>
      <c r="C128" s="44" t="s">
        <v>1246</v>
      </c>
      <c r="D128" s="44" t="s">
        <v>1608</v>
      </c>
      <c r="E128" s="44" t="s">
        <v>1970</v>
      </c>
      <c r="F128" s="44" t="s">
        <v>2332</v>
      </c>
      <c r="G128" s="44" t="s">
        <v>2679</v>
      </c>
      <c r="H128" s="44" t="s">
        <v>3041</v>
      </c>
      <c r="I128" s="44" t="s">
        <v>3403</v>
      </c>
      <c r="J128" s="44" t="s">
        <v>4220</v>
      </c>
      <c r="K128" s="44" t="s">
        <v>4563</v>
      </c>
      <c r="L128" s="44" t="s">
        <v>4897</v>
      </c>
      <c r="M128" s="44" t="s">
        <v>5249</v>
      </c>
      <c r="N128" s="44" t="s">
        <v>5604</v>
      </c>
    </row>
    <row r="129" spans="1:14" x14ac:dyDescent="0.3">
      <c r="A129" s="44" t="s">
        <v>3605</v>
      </c>
      <c r="B129" s="44" t="s">
        <v>885</v>
      </c>
      <c r="C129" s="44" t="s">
        <v>1247</v>
      </c>
      <c r="D129" s="44" t="s">
        <v>1609</v>
      </c>
      <c r="E129" s="44" t="s">
        <v>1971</v>
      </c>
      <c r="F129" s="44" t="s">
        <v>2333</v>
      </c>
      <c r="G129" s="44" t="s">
        <v>2680</v>
      </c>
      <c r="H129" s="44" t="s">
        <v>3042</v>
      </c>
      <c r="I129" s="44" t="s">
        <v>3404</v>
      </c>
      <c r="J129" s="44" t="s">
        <v>4221</v>
      </c>
      <c r="K129" s="44" t="s">
        <v>4564</v>
      </c>
      <c r="L129" s="44" t="s">
        <v>4898</v>
      </c>
      <c r="M129" s="44" t="s">
        <v>5250</v>
      </c>
      <c r="N129" s="44" t="s">
        <v>5605</v>
      </c>
    </row>
    <row r="130" spans="1:14" x14ac:dyDescent="0.3">
      <c r="A130" s="44" t="s">
        <v>3606</v>
      </c>
      <c r="B130" s="44" t="s">
        <v>886</v>
      </c>
      <c r="C130" s="44" t="s">
        <v>1248</v>
      </c>
      <c r="D130" s="44" t="s">
        <v>1610</v>
      </c>
      <c r="E130" s="44" t="s">
        <v>1972</v>
      </c>
      <c r="F130" s="44" t="s">
        <v>2334</v>
      </c>
      <c r="G130" s="44" t="s">
        <v>2681</v>
      </c>
      <c r="H130" s="44" t="s">
        <v>3043</v>
      </c>
      <c r="I130" s="44" t="s">
        <v>3405</v>
      </c>
      <c r="J130" s="44" t="s">
        <v>4222</v>
      </c>
      <c r="K130" s="44" t="s">
        <v>4565</v>
      </c>
      <c r="L130" s="44" t="s">
        <v>4899</v>
      </c>
      <c r="M130" s="44" t="s">
        <v>5251</v>
      </c>
      <c r="N130" s="44" t="s">
        <v>5606</v>
      </c>
    </row>
    <row r="131" spans="1:14" x14ac:dyDescent="0.3">
      <c r="A131" s="44" t="s">
        <v>3607</v>
      </c>
      <c r="B131" s="44" t="s">
        <v>887</v>
      </c>
      <c r="C131" s="44" t="s">
        <v>1249</v>
      </c>
      <c r="D131" s="44" t="s">
        <v>1611</v>
      </c>
      <c r="E131" s="44" t="s">
        <v>1973</v>
      </c>
      <c r="F131" s="44" t="s">
        <v>2335</v>
      </c>
      <c r="G131" s="44" t="s">
        <v>2682</v>
      </c>
      <c r="H131" s="44" t="s">
        <v>3044</v>
      </c>
      <c r="I131" s="44" t="s">
        <v>3406</v>
      </c>
      <c r="J131" s="44" t="s">
        <v>4223</v>
      </c>
      <c r="K131" s="44" t="s">
        <v>4566</v>
      </c>
      <c r="L131" s="44" t="s">
        <v>4900</v>
      </c>
      <c r="M131" s="44" t="s">
        <v>3879</v>
      </c>
      <c r="N131" s="44" t="s">
        <v>5607</v>
      </c>
    </row>
    <row r="132" spans="1:14" x14ac:dyDescent="0.3">
      <c r="A132" s="44" t="s">
        <v>3608</v>
      </c>
      <c r="B132" s="44" t="s">
        <v>888</v>
      </c>
      <c r="C132" s="44" t="s">
        <v>1250</v>
      </c>
      <c r="D132" s="44" t="s">
        <v>1612</v>
      </c>
      <c r="E132" s="44" t="s">
        <v>1974</v>
      </c>
      <c r="F132" s="44" t="s">
        <v>2336</v>
      </c>
      <c r="G132" s="44" t="s">
        <v>2683</v>
      </c>
      <c r="H132" s="44" t="s">
        <v>3045</v>
      </c>
      <c r="I132" s="44" t="s">
        <v>3407</v>
      </c>
      <c r="J132" s="44" t="s">
        <v>4224</v>
      </c>
      <c r="K132" s="44" t="s">
        <v>4567</v>
      </c>
      <c r="L132" s="44" t="s">
        <v>4901</v>
      </c>
      <c r="M132" s="44" t="s">
        <v>5252</v>
      </c>
      <c r="N132" s="44" t="s">
        <v>5608</v>
      </c>
    </row>
    <row r="133" spans="1:14" x14ac:dyDescent="0.3">
      <c r="A133" s="44" t="s">
        <v>3609</v>
      </c>
      <c r="B133" s="44" t="s">
        <v>889</v>
      </c>
      <c r="C133" s="44" t="s">
        <v>1251</v>
      </c>
      <c r="D133" s="44" t="s">
        <v>1613</v>
      </c>
      <c r="E133" s="44" t="s">
        <v>1975</v>
      </c>
      <c r="F133" s="44" t="s">
        <v>2337</v>
      </c>
      <c r="G133" s="44" t="s">
        <v>2684</v>
      </c>
      <c r="H133" s="44" t="s">
        <v>3046</v>
      </c>
      <c r="I133" s="44" t="s">
        <v>3408</v>
      </c>
      <c r="J133" s="44" t="s">
        <v>4225</v>
      </c>
      <c r="K133" s="44" t="s">
        <v>4568</v>
      </c>
      <c r="L133" s="44" t="s">
        <v>4902</v>
      </c>
      <c r="M133" s="44" t="s">
        <v>5253</v>
      </c>
      <c r="N133" s="44" t="s">
        <v>5609</v>
      </c>
    </row>
    <row r="134" spans="1:14" x14ac:dyDescent="0.3">
      <c r="A134" s="44" t="s">
        <v>3610</v>
      </c>
      <c r="B134" s="44" t="s">
        <v>890</v>
      </c>
      <c r="C134" s="44" t="s">
        <v>1252</v>
      </c>
      <c r="D134" s="44" t="s">
        <v>1614</v>
      </c>
      <c r="E134" s="44" t="s">
        <v>1976</v>
      </c>
      <c r="F134" s="44" t="s">
        <v>2338</v>
      </c>
      <c r="G134" s="44" t="s">
        <v>2685</v>
      </c>
      <c r="H134" s="44" t="s">
        <v>3047</v>
      </c>
      <c r="I134" s="44" t="s">
        <v>3409</v>
      </c>
      <c r="J134" s="44" t="s">
        <v>4226</v>
      </c>
      <c r="K134" s="44" t="s">
        <v>4569</v>
      </c>
      <c r="L134" s="44" t="s">
        <v>4903</v>
      </c>
      <c r="M134" s="44" t="s">
        <v>5254</v>
      </c>
      <c r="N134" s="44" t="s">
        <v>3898</v>
      </c>
    </row>
    <row r="135" spans="1:14" x14ac:dyDescent="0.3">
      <c r="A135" s="44" t="s">
        <v>3611</v>
      </c>
      <c r="B135" s="44" t="s">
        <v>891</v>
      </c>
      <c r="C135" s="44" t="s">
        <v>1253</v>
      </c>
      <c r="D135" s="44" t="s">
        <v>1615</v>
      </c>
      <c r="E135" s="44" t="s">
        <v>1977</v>
      </c>
      <c r="F135" s="44" t="s">
        <v>2339</v>
      </c>
      <c r="G135" s="44" t="s">
        <v>2686</v>
      </c>
      <c r="H135" s="44" t="s">
        <v>3048</v>
      </c>
      <c r="I135" s="44" t="s">
        <v>3410</v>
      </c>
      <c r="J135" s="44" t="s">
        <v>4227</v>
      </c>
      <c r="K135" s="44" t="s">
        <v>4570</v>
      </c>
      <c r="L135" s="44" t="s">
        <v>4904</v>
      </c>
      <c r="M135" s="44" t="s">
        <v>5255</v>
      </c>
      <c r="N135" s="44" t="s">
        <v>5610</v>
      </c>
    </row>
    <row r="136" spans="1:14" x14ac:dyDescent="0.3">
      <c r="A136" s="44" t="s">
        <v>3612</v>
      </c>
      <c r="B136" s="44" t="s">
        <v>892</v>
      </c>
      <c r="C136" s="44" t="s">
        <v>1254</v>
      </c>
      <c r="D136" s="44" t="s">
        <v>1616</v>
      </c>
      <c r="E136" s="44" t="s">
        <v>1978</v>
      </c>
      <c r="F136" s="44" t="s">
        <v>2340</v>
      </c>
      <c r="G136" s="44" t="s">
        <v>2687</v>
      </c>
      <c r="H136" s="44" t="s">
        <v>3049</v>
      </c>
      <c r="I136" s="44" t="s">
        <v>3411</v>
      </c>
      <c r="J136" s="44" t="s">
        <v>4228</v>
      </c>
      <c r="K136" s="44" t="s">
        <v>4571</v>
      </c>
      <c r="L136" s="44" t="s">
        <v>4905</v>
      </c>
      <c r="M136" s="44" t="s">
        <v>5256</v>
      </c>
      <c r="N136" s="44" t="s">
        <v>5611</v>
      </c>
    </row>
    <row r="137" spans="1:14" x14ac:dyDescent="0.3">
      <c r="A137" s="44" t="s">
        <v>3613</v>
      </c>
      <c r="B137" s="44" t="s">
        <v>893</v>
      </c>
      <c r="C137" s="44" t="s">
        <v>1255</v>
      </c>
      <c r="D137" s="44" t="s">
        <v>1617</v>
      </c>
      <c r="E137" s="44" t="s">
        <v>1979</v>
      </c>
      <c r="F137" s="44" t="s">
        <v>2341</v>
      </c>
      <c r="G137" s="44" t="s">
        <v>2688</v>
      </c>
      <c r="H137" s="44" t="s">
        <v>3050</v>
      </c>
      <c r="I137" s="44" t="s">
        <v>3412</v>
      </c>
      <c r="J137" s="44" t="s">
        <v>4097</v>
      </c>
      <c r="K137" s="44" t="s">
        <v>4572</v>
      </c>
      <c r="L137" s="44" t="s">
        <v>4906</v>
      </c>
      <c r="M137" s="44" t="s">
        <v>5257</v>
      </c>
      <c r="N137" s="44" t="s">
        <v>5612</v>
      </c>
    </row>
    <row r="138" spans="1:14" x14ac:dyDescent="0.3">
      <c r="A138" s="44" t="s">
        <v>3614</v>
      </c>
      <c r="B138" s="44" t="s">
        <v>894</v>
      </c>
      <c r="C138" s="44" t="s">
        <v>1256</v>
      </c>
      <c r="D138" s="44" t="s">
        <v>1618</v>
      </c>
      <c r="E138" s="44" t="s">
        <v>1980</v>
      </c>
      <c r="F138" s="44" t="s">
        <v>2342</v>
      </c>
      <c r="G138" s="44" t="s">
        <v>2689</v>
      </c>
      <c r="H138" s="44" t="s">
        <v>3051</v>
      </c>
      <c r="I138" s="44" t="s">
        <v>3413</v>
      </c>
      <c r="J138" s="44" t="s">
        <v>4229</v>
      </c>
      <c r="K138" s="44" t="s">
        <v>4573</v>
      </c>
      <c r="L138" s="44" t="s">
        <v>4907</v>
      </c>
      <c r="M138" s="44" t="s">
        <v>5258</v>
      </c>
      <c r="N138" s="44" t="s">
        <v>5613</v>
      </c>
    </row>
    <row r="139" spans="1:14" x14ac:dyDescent="0.3">
      <c r="A139" s="44" t="s">
        <v>3615</v>
      </c>
      <c r="B139" s="44" t="s">
        <v>895</v>
      </c>
      <c r="C139" s="44" t="s">
        <v>1257</v>
      </c>
      <c r="D139" s="44" t="s">
        <v>1619</v>
      </c>
      <c r="E139" s="44" t="s">
        <v>1981</v>
      </c>
      <c r="F139" s="44" t="s">
        <v>2343</v>
      </c>
      <c r="G139" s="44" t="s">
        <v>2690</v>
      </c>
      <c r="H139" s="44" t="s">
        <v>3052</v>
      </c>
      <c r="I139" s="44" t="s">
        <v>3414</v>
      </c>
      <c r="J139" s="44" t="s">
        <v>4230</v>
      </c>
      <c r="K139" s="44" t="s">
        <v>4574</v>
      </c>
      <c r="L139" s="44" t="s">
        <v>4908</v>
      </c>
      <c r="M139" s="44" t="s">
        <v>5259</v>
      </c>
      <c r="N139" s="44" t="s">
        <v>5614</v>
      </c>
    </row>
    <row r="140" spans="1:14" x14ac:dyDescent="0.3">
      <c r="A140" s="44" t="s">
        <v>3616</v>
      </c>
      <c r="B140" s="44" t="s">
        <v>896</v>
      </c>
      <c r="C140" s="44" t="s">
        <v>1258</v>
      </c>
      <c r="D140" s="44" t="s">
        <v>1620</v>
      </c>
      <c r="E140" s="44" t="s">
        <v>1982</v>
      </c>
      <c r="F140" s="44" t="s">
        <v>2344</v>
      </c>
      <c r="G140" s="44" t="s">
        <v>2691</v>
      </c>
      <c r="H140" s="44" t="s">
        <v>3053</v>
      </c>
      <c r="I140" s="44" t="s">
        <v>3415</v>
      </c>
      <c r="J140" s="44" t="s">
        <v>4231</v>
      </c>
      <c r="K140" s="44" t="s">
        <v>4575</v>
      </c>
      <c r="L140" s="44" t="s">
        <v>4909</v>
      </c>
      <c r="M140" s="44" t="s">
        <v>5260</v>
      </c>
      <c r="N140" s="44" t="s">
        <v>5615</v>
      </c>
    </row>
    <row r="141" spans="1:14" x14ac:dyDescent="0.3">
      <c r="A141" s="44" t="s">
        <v>3617</v>
      </c>
      <c r="B141" s="44" t="s">
        <v>897</v>
      </c>
      <c r="C141" s="44" t="s">
        <v>1259</v>
      </c>
      <c r="D141" s="44" t="s">
        <v>1621</v>
      </c>
      <c r="E141" s="44" t="s">
        <v>1983</v>
      </c>
      <c r="F141" s="44" t="s">
        <v>2345</v>
      </c>
      <c r="G141" s="44" t="s">
        <v>2692</v>
      </c>
      <c r="H141" s="44" t="s">
        <v>3054</v>
      </c>
      <c r="I141" s="44" t="s">
        <v>3416</v>
      </c>
      <c r="J141" s="44" t="s">
        <v>4232</v>
      </c>
      <c r="K141" s="44" t="s">
        <v>4576</v>
      </c>
      <c r="L141" s="44" t="s">
        <v>4910</v>
      </c>
      <c r="M141" s="44" t="s">
        <v>5261</v>
      </c>
      <c r="N141" s="44" t="s">
        <v>5616</v>
      </c>
    </row>
    <row r="142" spans="1:14" x14ac:dyDescent="0.3">
      <c r="A142" s="44" t="s">
        <v>3618</v>
      </c>
      <c r="B142" s="44" t="s">
        <v>898</v>
      </c>
      <c r="C142" s="44" t="s">
        <v>1260</v>
      </c>
      <c r="D142" s="44" t="s">
        <v>1622</v>
      </c>
      <c r="E142" s="44" t="s">
        <v>1984</v>
      </c>
      <c r="F142" s="44" t="s">
        <v>2346</v>
      </c>
      <c r="G142" s="44" t="s">
        <v>2693</v>
      </c>
      <c r="H142" s="44" t="s">
        <v>3055</v>
      </c>
      <c r="I142" s="44" t="s">
        <v>3417</v>
      </c>
      <c r="J142" s="44" t="s">
        <v>4233</v>
      </c>
      <c r="K142" s="44" t="s">
        <v>4577</v>
      </c>
      <c r="L142" s="44" t="s">
        <v>4911</v>
      </c>
      <c r="M142" s="44" t="s">
        <v>5262</v>
      </c>
      <c r="N142" s="44" t="s">
        <v>5617</v>
      </c>
    </row>
    <row r="143" spans="1:14" x14ac:dyDescent="0.3">
      <c r="A143" s="44" t="s">
        <v>3619</v>
      </c>
      <c r="B143" s="44" t="s">
        <v>899</v>
      </c>
      <c r="C143" s="44" t="s">
        <v>1261</v>
      </c>
      <c r="D143" s="44" t="s">
        <v>1623</v>
      </c>
      <c r="E143" s="44" t="s">
        <v>1985</v>
      </c>
      <c r="F143" s="44" t="s">
        <v>2347</v>
      </c>
      <c r="G143" s="44" t="s">
        <v>2694</v>
      </c>
      <c r="H143" s="44" t="s">
        <v>3056</v>
      </c>
      <c r="I143" s="44" t="s">
        <v>3418</v>
      </c>
      <c r="J143" s="44" t="s">
        <v>4234</v>
      </c>
      <c r="K143" s="44" t="s">
        <v>4578</v>
      </c>
      <c r="L143" s="44" t="s">
        <v>4912</v>
      </c>
      <c r="M143" s="44" t="s">
        <v>5263</v>
      </c>
      <c r="N143" s="44" t="s">
        <v>5618</v>
      </c>
    </row>
    <row r="144" spans="1:14" x14ac:dyDescent="0.3">
      <c r="A144" s="44" t="s">
        <v>3620</v>
      </c>
      <c r="B144" s="44" t="s">
        <v>900</v>
      </c>
      <c r="C144" s="44" t="s">
        <v>1262</v>
      </c>
      <c r="D144" s="44" t="s">
        <v>1624</v>
      </c>
      <c r="E144" s="44" t="s">
        <v>1986</v>
      </c>
      <c r="F144" s="44" t="s">
        <v>2348</v>
      </c>
      <c r="G144" s="44" t="s">
        <v>2695</v>
      </c>
      <c r="H144" s="44" t="s">
        <v>3057</v>
      </c>
      <c r="I144" s="44" t="s">
        <v>3419</v>
      </c>
      <c r="J144" s="44" t="s">
        <v>4235</v>
      </c>
      <c r="K144" s="44" t="s">
        <v>4579</v>
      </c>
      <c r="L144" s="44" t="s">
        <v>4913</v>
      </c>
      <c r="M144" s="44" t="s">
        <v>5264</v>
      </c>
      <c r="N144" s="44" t="s">
        <v>5619</v>
      </c>
    </row>
    <row r="145" spans="1:14" x14ac:dyDescent="0.3">
      <c r="A145" s="44" t="s">
        <v>3621</v>
      </c>
      <c r="B145" s="44" t="s">
        <v>901</v>
      </c>
      <c r="C145" s="44" t="s">
        <v>1263</v>
      </c>
      <c r="D145" s="44" t="s">
        <v>1625</v>
      </c>
      <c r="E145" s="44" t="s">
        <v>1987</v>
      </c>
      <c r="F145" s="44" t="s">
        <v>2349</v>
      </c>
      <c r="G145" s="44" t="s">
        <v>2696</v>
      </c>
      <c r="H145" s="44" t="s">
        <v>3058</v>
      </c>
      <c r="I145" s="44" t="s">
        <v>3420</v>
      </c>
      <c r="J145" s="44" t="s">
        <v>4236</v>
      </c>
      <c r="K145" s="44" t="s">
        <v>4580</v>
      </c>
      <c r="L145" s="44" t="s">
        <v>4914</v>
      </c>
      <c r="M145" s="44" t="s">
        <v>5265</v>
      </c>
      <c r="N145" s="44" t="s">
        <v>5620</v>
      </c>
    </row>
    <row r="146" spans="1:14" x14ac:dyDescent="0.3">
      <c r="A146" s="44" t="s">
        <v>3622</v>
      </c>
      <c r="B146" s="44" t="s">
        <v>902</v>
      </c>
      <c r="C146" s="44" t="s">
        <v>1264</v>
      </c>
      <c r="D146" s="44" t="s">
        <v>1626</v>
      </c>
      <c r="E146" s="44" t="s">
        <v>1988</v>
      </c>
      <c r="F146" s="44" t="s">
        <v>2350</v>
      </c>
      <c r="G146" s="44" t="s">
        <v>2697</v>
      </c>
      <c r="H146" s="44" t="s">
        <v>3059</v>
      </c>
      <c r="I146" s="44" t="s">
        <v>3421</v>
      </c>
      <c r="J146" s="44" t="s">
        <v>4237</v>
      </c>
      <c r="K146" s="44" t="s">
        <v>4581</v>
      </c>
      <c r="L146" s="44" t="s">
        <v>4915</v>
      </c>
      <c r="M146" s="44" t="s">
        <v>5266</v>
      </c>
      <c r="N146" s="44" t="s">
        <v>5621</v>
      </c>
    </row>
    <row r="147" spans="1:14" x14ac:dyDescent="0.3">
      <c r="A147" s="44" t="s">
        <v>3623</v>
      </c>
      <c r="B147" s="44" t="s">
        <v>903</v>
      </c>
      <c r="C147" s="44" t="s">
        <v>1265</v>
      </c>
      <c r="D147" s="44" t="s">
        <v>1627</v>
      </c>
      <c r="E147" s="44" t="s">
        <v>1989</v>
      </c>
      <c r="F147" s="44" t="s">
        <v>2351</v>
      </c>
      <c r="G147" s="44" t="s">
        <v>2698</v>
      </c>
      <c r="H147" s="44" t="s">
        <v>3060</v>
      </c>
      <c r="I147" s="44" t="s">
        <v>3422</v>
      </c>
      <c r="J147" s="44" t="s">
        <v>4238</v>
      </c>
      <c r="K147" s="44" t="s">
        <v>4582</v>
      </c>
      <c r="L147" s="44" t="s">
        <v>3917</v>
      </c>
      <c r="M147" s="44" t="s">
        <v>5267</v>
      </c>
      <c r="N147" s="44" t="s">
        <v>5622</v>
      </c>
    </row>
    <row r="148" spans="1:14" x14ac:dyDescent="0.3">
      <c r="A148" s="44" t="s">
        <v>3624</v>
      </c>
      <c r="B148" s="44" t="s">
        <v>904</v>
      </c>
      <c r="C148" s="44" t="s">
        <v>1266</v>
      </c>
      <c r="D148" s="44" t="s">
        <v>1628</v>
      </c>
      <c r="E148" s="44" t="s">
        <v>1990</v>
      </c>
      <c r="F148" s="44" t="s">
        <v>2352</v>
      </c>
      <c r="G148" s="44" t="s">
        <v>2699</v>
      </c>
      <c r="H148" s="44" t="s">
        <v>3061</v>
      </c>
      <c r="I148" s="44" t="s">
        <v>3423</v>
      </c>
      <c r="J148" s="44" t="s">
        <v>4098</v>
      </c>
      <c r="K148" s="44" t="s">
        <v>4583</v>
      </c>
      <c r="L148" s="44" t="s">
        <v>4916</v>
      </c>
      <c r="M148" s="44" t="s">
        <v>5268</v>
      </c>
      <c r="N148" s="44" t="s">
        <v>5623</v>
      </c>
    </row>
    <row r="149" spans="1:14" x14ac:dyDescent="0.3">
      <c r="A149" s="44" t="s">
        <v>3625</v>
      </c>
      <c r="B149" s="44" t="s">
        <v>905</v>
      </c>
      <c r="C149" s="44" t="s">
        <v>1267</v>
      </c>
      <c r="D149" s="44" t="s">
        <v>1629</v>
      </c>
      <c r="E149" s="44" t="s">
        <v>1991</v>
      </c>
      <c r="F149" s="44" t="s">
        <v>2353</v>
      </c>
      <c r="G149" s="44" t="s">
        <v>2700</v>
      </c>
      <c r="H149" s="44" t="s">
        <v>3062</v>
      </c>
      <c r="I149" s="44" t="s">
        <v>3424</v>
      </c>
      <c r="J149" s="44" t="s">
        <v>4239</v>
      </c>
      <c r="K149" s="44" t="s">
        <v>4584</v>
      </c>
      <c r="L149" s="44" t="s">
        <v>4917</v>
      </c>
      <c r="M149" s="44" t="s">
        <v>5269</v>
      </c>
      <c r="N149" s="44" t="s">
        <v>5624</v>
      </c>
    </row>
    <row r="150" spans="1:14" x14ac:dyDescent="0.3">
      <c r="A150" s="44" t="s">
        <v>3626</v>
      </c>
      <c r="B150" s="44" t="s">
        <v>906</v>
      </c>
      <c r="C150" s="44" t="s">
        <v>1268</v>
      </c>
      <c r="D150" s="44" t="s">
        <v>1630</v>
      </c>
      <c r="E150" s="44" t="s">
        <v>1992</v>
      </c>
      <c r="F150" s="44" t="s">
        <v>2354</v>
      </c>
      <c r="G150" s="44" t="s">
        <v>2701</v>
      </c>
      <c r="H150" s="44" t="s">
        <v>3063</v>
      </c>
      <c r="I150" s="44" t="s">
        <v>3425</v>
      </c>
      <c r="J150" s="44" t="s">
        <v>4240</v>
      </c>
      <c r="K150" s="44" t="s">
        <v>4585</v>
      </c>
      <c r="L150" s="44" t="s">
        <v>4918</v>
      </c>
      <c r="M150" s="44" t="s">
        <v>5270</v>
      </c>
      <c r="N150" s="44" t="s">
        <v>5625</v>
      </c>
    </row>
    <row r="151" spans="1:14" x14ac:dyDescent="0.3">
      <c r="A151" s="44" t="s">
        <v>3627</v>
      </c>
      <c r="B151" s="44" t="s">
        <v>907</v>
      </c>
      <c r="C151" s="44" t="s">
        <v>1269</v>
      </c>
      <c r="D151" s="44" t="s">
        <v>1631</v>
      </c>
      <c r="E151" s="44" t="s">
        <v>1993</v>
      </c>
      <c r="F151" s="44" t="s">
        <v>2355</v>
      </c>
      <c r="G151" s="44" t="s">
        <v>2702</v>
      </c>
      <c r="H151" s="44" t="s">
        <v>3064</v>
      </c>
      <c r="I151" s="44" t="s">
        <v>3426</v>
      </c>
      <c r="J151" s="44" t="s">
        <v>4241</v>
      </c>
      <c r="K151" s="44" t="s">
        <v>4586</v>
      </c>
      <c r="L151" s="44" t="s">
        <v>3891</v>
      </c>
      <c r="M151" s="44" t="s">
        <v>5271</v>
      </c>
      <c r="N151" s="44" t="s">
        <v>5626</v>
      </c>
    </row>
    <row r="152" spans="1:14" x14ac:dyDescent="0.3">
      <c r="A152" s="44" t="s">
        <v>3628</v>
      </c>
      <c r="B152" s="44" t="s">
        <v>908</v>
      </c>
      <c r="C152" s="44" t="s">
        <v>1270</v>
      </c>
      <c r="D152" s="44" t="s">
        <v>1632</v>
      </c>
      <c r="E152" s="44" t="s">
        <v>1994</v>
      </c>
      <c r="F152" s="44" t="s">
        <v>2356</v>
      </c>
      <c r="G152" s="44" t="s">
        <v>2703</v>
      </c>
      <c r="H152" s="44" t="s">
        <v>3065</v>
      </c>
      <c r="I152" s="44" t="s">
        <v>3427</v>
      </c>
      <c r="J152" s="44" t="s">
        <v>4242</v>
      </c>
      <c r="K152" s="44" t="s">
        <v>4587</v>
      </c>
      <c r="L152" s="44" t="s">
        <v>4919</v>
      </c>
      <c r="M152" s="44" t="s">
        <v>5272</v>
      </c>
      <c r="N152" s="44" t="s">
        <v>5627</v>
      </c>
    </row>
    <row r="153" spans="1:14" x14ac:dyDescent="0.3">
      <c r="A153" s="44" t="s">
        <v>3629</v>
      </c>
      <c r="B153" s="44" t="s">
        <v>909</v>
      </c>
      <c r="C153" s="44" t="s">
        <v>1271</v>
      </c>
      <c r="D153" s="44" t="s">
        <v>1633</v>
      </c>
      <c r="E153" s="44" t="s">
        <v>1995</v>
      </c>
      <c r="F153" s="44" t="s">
        <v>2357</v>
      </c>
      <c r="G153" s="44" t="s">
        <v>2704</v>
      </c>
      <c r="H153" s="44" t="s">
        <v>3066</v>
      </c>
      <c r="I153" s="44" t="s">
        <v>3428</v>
      </c>
      <c r="J153" s="44" t="s">
        <v>4243</v>
      </c>
      <c r="K153" s="44" t="s">
        <v>4588</v>
      </c>
      <c r="L153" s="44" t="s">
        <v>4920</v>
      </c>
      <c r="M153" s="44" t="s">
        <v>5273</v>
      </c>
      <c r="N153" s="44" t="s">
        <v>5628</v>
      </c>
    </row>
    <row r="154" spans="1:14" x14ac:dyDescent="0.3">
      <c r="A154" s="44" t="s">
        <v>3630</v>
      </c>
      <c r="B154" s="44" t="s">
        <v>910</v>
      </c>
      <c r="C154" s="44" t="s">
        <v>1272</v>
      </c>
      <c r="D154" s="44" t="s">
        <v>1634</v>
      </c>
      <c r="E154" s="44" t="s">
        <v>1996</v>
      </c>
      <c r="F154" s="44" t="s">
        <v>2358</v>
      </c>
      <c r="G154" s="44" t="s">
        <v>2705</v>
      </c>
      <c r="H154" s="44" t="s">
        <v>3067</v>
      </c>
      <c r="I154" s="44" t="s">
        <v>3429</v>
      </c>
      <c r="J154" s="44" t="s">
        <v>4244</v>
      </c>
      <c r="K154" s="44" t="s">
        <v>4589</v>
      </c>
      <c r="L154" s="44" t="s">
        <v>4921</v>
      </c>
      <c r="M154" s="44" t="s">
        <v>5274</v>
      </c>
      <c r="N154" s="44" t="s">
        <v>5629</v>
      </c>
    </row>
    <row r="155" spans="1:14" x14ac:dyDescent="0.3">
      <c r="A155" s="44" t="s">
        <v>3631</v>
      </c>
      <c r="B155" s="44" t="s">
        <v>911</v>
      </c>
      <c r="C155" s="44" t="s">
        <v>1273</v>
      </c>
      <c r="D155" s="44" t="s">
        <v>1635</v>
      </c>
      <c r="E155" s="44" t="s">
        <v>1997</v>
      </c>
      <c r="F155" s="44" t="s">
        <v>2359</v>
      </c>
      <c r="G155" s="44" t="s">
        <v>2706</v>
      </c>
      <c r="H155" s="44" t="s">
        <v>3068</v>
      </c>
      <c r="I155" s="44" t="s">
        <v>3430</v>
      </c>
      <c r="J155" s="44" t="s">
        <v>4245</v>
      </c>
      <c r="K155" s="44" t="s">
        <v>3863</v>
      </c>
      <c r="L155" s="44" t="s">
        <v>4922</v>
      </c>
      <c r="M155" s="44" t="s">
        <v>5275</v>
      </c>
      <c r="N155" s="44" t="s">
        <v>5630</v>
      </c>
    </row>
    <row r="156" spans="1:14" x14ac:dyDescent="0.3">
      <c r="A156" s="44" t="s">
        <v>3632</v>
      </c>
      <c r="B156" s="44" t="s">
        <v>912</v>
      </c>
      <c r="C156" s="44" t="s">
        <v>1274</v>
      </c>
      <c r="D156" s="44" t="s">
        <v>1636</v>
      </c>
      <c r="E156" s="44" t="s">
        <v>1998</v>
      </c>
      <c r="F156" s="44" t="s">
        <v>2360</v>
      </c>
      <c r="G156" s="44" t="s">
        <v>2707</v>
      </c>
      <c r="H156" s="44" t="s">
        <v>3069</v>
      </c>
      <c r="I156" s="44" t="s">
        <v>3431</v>
      </c>
      <c r="J156" s="44" t="s">
        <v>4246</v>
      </c>
      <c r="K156" s="44" t="s">
        <v>4590</v>
      </c>
      <c r="L156" s="44" t="s">
        <v>4923</v>
      </c>
      <c r="M156" s="44" t="s">
        <v>5276</v>
      </c>
      <c r="N156" s="44" t="s">
        <v>5631</v>
      </c>
    </row>
    <row r="157" spans="1:14" x14ac:dyDescent="0.3">
      <c r="A157" s="44" t="s">
        <v>3633</v>
      </c>
      <c r="B157" s="44" t="s">
        <v>913</v>
      </c>
      <c r="C157" s="44" t="s">
        <v>1275</v>
      </c>
      <c r="D157" s="44" t="s">
        <v>1637</v>
      </c>
      <c r="E157" s="44" t="s">
        <v>1999</v>
      </c>
      <c r="F157" s="44" t="s">
        <v>2361</v>
      </c>
      <c r="G157" s="44" t="s">
        <v>2708</v>
      </c>
      <c r="H157" s="44" t="s">
        <v>3070</v>
      </c>
      <c r="I157" s="44" t="s">
        <v>3432</v>
      </c>
      <c r="J157" s="44" t="s">
        <v>4247</v>
      </c>
      <c r="K157" s="44" t="s">
        <v>4591</v>
      </c>
      <c r="L157" s="44" t="s">
        <v>3918</v>
      </c>
      <c r="M157" s="44" t="s">
        <v>5277</v>
      </c>
      <c r="N157" s="44" t="s">
        <v>5632</v>
      </c>
    </row>
    <row r="158" spans="1:14" x14ac:dyDescent="0.3">
      <c r="A158" s="44" t="s">
        <v>3634</v>
      </c>
      <c r="B158" s="44" t="s">
        <v>914</v>
      </c>
      <c r="C158" s="44" t="s">
        <v>1276</v>
      </c>
      <c r="D158" s="44" t="s">
        <v>1638</v>
      </c>
      <c r="E158" s="44" t="s">
        <v>2000</v>
      </c>
      <c r="F158" s="44" t="s">
        <v>2362</v>
      </c>
      <c r="G158" s="44" t="s">
        <v>2709</v>
      </c>
      <c r="H158" s="44" t="s">
        <v>3071</v>
      </c>
      <c r="I158" s="44" t="s">
        <v>3433</v>
      </c>
      <c r="J158" s="44" t="s">
        <v>4248</v>
      </c>
      <c r="K158" s="44" t="s">
        <v>4592</v>
      </c>
      <c r="L158" s="44" t="s">
        <v>4924</v>
      </c>
      <c r="M158" s="44" t="s">
        <v>5278</v>
      </c>
      <c r="N158" s="44" t="s">
        <v>5633</v>
      </c>
    </row>
    <row r="159" spans="1:14" x14ac:dyDescent="0.3">
      <c r="A159" s="44" t="s">
        <v>3635</v>
      </c>
      <c r="B159" s="44" t="s">
        <v>915</v>
      </c>
      <c r="C159" s="44" t="s">
        <v>1277</v>
      </c>
      <c r="D159" s="44" t="s">
        <v>1639</v>
      </c>
      <c r="E159" s="44" t="s">
        <v>2001</v>
      </c>
      <c r="F159" s="44" t="s">
        <v>2363</v>
      </c>
      <c r="G159" s="44" t="s">
        <v>2710</v>
      </c>
      <c r="H159" s="44" t="s">
        <v>3072</v>
      </c>
      <c r="I159" s="44" t="s">
        <v>3434</v>
      </c>
      <c r="J159" s="44" t="s">
        <v>4099</v>
      </c>
      <c r="K159" s="44" t="s">
        <v>4593</v>
      </c>
      <c r="L159" s="44" t="s">
        <v>4925</v>
      </c>
      <c r="M159" s="44" t="s">
        <v>5279</v>
      </c>
      <c r="N159" s="44" t="s">
        <v>5634</v>
      </c>
    </row>
    <row r="160" spans="1:14" x14ac:dyDescent="0.3">
      <c r="A160" s="44" t="s">
        <v>3636</v>
      </c>
      <c r="B160" s="44" t="s">
        <v>916</v>
      </c>
      <c r="C160" s="44" t="s">
        <v>1278</v>
      </c>
      <c r="D160" s="44" t="s">
        <v>1640</v>
      </c>
      <c r="E160" s="44" t="s">
        <v>2002</v>
      </c>
      <c r="F160" s="44" t="s">
        <v>2364</v>
      </c>
      <c r="G160" s="44" t="s">
        <v>2711</v>
      </c>
      <c r="H160" s="44" t="s">
        <v>3073</v>
      </c>
      <c r="I160" s="44" t="s">
        <v>3435</v>
      </c>
      <c r="J160" s="44" t="s">
        <v>4249</v>
      </c>
      <c r="K160" s="44" t="s">
        <v>4594</v>
      </c>
      <c r="L160" s="44" t="s">
        <v>4926</v>
      </c>
      <c r="M160" s="44" t="s">
        <v>5280</v>
      </c>
      <c r="N160" s="44" t="s">
        <v>5635</v>
      </c>
    </row>
    <row r="161" spans="1:14" x14ac:dyDescent="0.3">
      <c r="A161" s="44" t="s">
        <v>3637</v>
      </c>
      <c r="B161" s="44" t="s">
        <v>917</v>
      </c>
      <c r="C161" s="44" t="s">
        <v>1279</v>
      </c>
      <c r="D161" s="44" t="s">
        <v>1641</v>
      </c>
      <c r="E161" s="44" t="s">
        <v>2003</v>
      </c>
      <c r="F161" s="44" t="s">
        <v>2365</v>
      </c>
      <c r="G161" s="44" t="s">
        <v>2712</v>
      </c>
      <c r="H161" s="44" t="s">
        <v>3074</v>
      </c>
      <c r="I161" s="44" t="s">
        <v>3436</v>
      </c>
      <c r="J161" s="44" t="s">
        <v>4250</v>
      </c>
      <c r="K161" s="44" t="s">
        <v>4595</v>
      </c>
      <c r="L161" s="44" t="s">
        <v>4927</v>
      </c>
      <c r="M161" s="44" t="s">
        <v>5281</v>
      </c>
      <c r="N161" s="44" t="s">
        <v>5636</v>
      </c>
    </row>
    <row r="162" spans="1:14" x14ac:dyDescent="0.3">
      <c r="A162" s="44" t="s">
        <v>3638</v>
      </c>
      <c r="B162" s="44" t="s">
        <v>918</v>
      </c>
      <c r="C162" s="44" t="s">
        <v>1280</v>
      </c>
      <c r="D162" s="44" t="s">
        <v>1642</v>
      </c>
      <c r="E162" s="44" t="s">
        <v>2004</v>
      </c>
      <c r="F162" s="44" t="s">
        <v>2366</v>
      </c>
      <c r="G162" s="44" t="s">
        <v>2713</v>
      </c>
      <c r="H162" s="44" t="s">
        <v>3075</v>
      </c>
      <c r="I162" s="44" t="s">
        <v>3437</v>
      </c>
      <c r="J162" s="44" t="s">
        <v>4251</v>
      </c>
      <c r="K162" s="44" t="s">
        <v>4596</v>
      </c>
      <c r="L162" s="44" t="s">
        <v>4928</v>
      </c>
      <c r="M162" s="44" t="s">
        <v>5282</v>
      </c>
      <c r="N162" s="44" t="s">
        <v>5637</v>
      </c>
    </row>
    <row r="163" spans="1:14" x14ac:dyDescent="0.3">
      <c r="A163" s="44" t="s">
        <v>3639</v>
      </c>
      <c r="B163" s="44" t="s">
        <v>919</v>
      </c>
      <c r="C163" s="44" t="s">
        <v>1281</v>
      </c>
      <c r="D163" s="44" t="s">
        <v>1643</v>
      </c>
      <c r="E163" s="44" t="s">
        <v>2005</v>
      </c>
      <c r="F163" s="44" t="s">
        <v>2367</v>
      </c>
      <c r="G163" s="44" t="s">
        <v>2714</v>
      </c>
      <c r="H163" s="44" t="s">
        <v>3076</v>
      </c>
      <c r="I163" s="44" t="s">
        <v>3438</v>
      </c>
      <c r="J163" s="44" t="s">
        <v>4252</v>
      </c>
      <c r="K163" s="44" t="s">
        <v>4597</v>
      </c>
      <c r="L163" s="44" t="s">
        <v>4929</v>
      </c>
      <c r="M163" s="44" t="s">
        <v>5283</v>
      </c>
      <c r="N163" s="44" t="s">
        <v>5638</v>
      </c>
    </row>
    <row r="164" spans="1:14" x14ac:dyDescent="0.3">
      <c r="A164" s="44" t="s">
        <v>3640</v>
      </c>
      <c r="B164" s="44" t="s">
        <v>920</v>
      </c>
      <c r="C164" s="44" t="s">
        <v>1282</v>
      </c>
      <c r="D164" s="44" t="s">
        <v>1644</v>
      </c>
      <c r="E164" s="44" t="s">
        <v>2006</v>
      </c>
      <c r="F164" s="44" t="s">
        <v>2368</v>
      </c>
      <c r="G164" s="44" t="s">
        <v>2715</v>
      </c>
      <c r="H164" s="44" t="s">
        <v>3077</v>
      </c>
      <c r="I164" s="44" t="s">
        <v>3439</v>
      </c>
      <c r="J164" s="44" t="s">
        <v>4253</v>
      </c>
      <c r="K164" s="44" t="s">
        <v>4598</v>
      </c>
      <c r="L164" s="44" t="s">
        <v>3846</v>
      </c>
      <c r="M164" s="44" t="s">
        <v>5284</v>
      </c>
      <c r="N164" s="44" t="s">
        <v>5639</v>
      </c>
    </row>
    <row r="165" spans="1:14" x14ac:dyDescent="0.3">
      <c r="A165" s="44" t="s">
        <v>3641</v>
      </c>
      <c r="B165" s="44" t="s">
        <v>921</v>
      </c>
      <c r="C165" s="44" t="s">
        <v>1283</v>
      </c>
      <c r="D165" s="44" t="s">
        <v>1645</v>
      </c>
      <c r="E165" s="44" t="s">
        <v>2007</v>
      </c>
      <c r="F165" s="44" t="s">
        <v>2369</v>
      </c>
      <c r="G165" s="44" t="s">
        <v>2716</v>
      </c>
      <c r="H165" s="44" t="s">
        <v>3078</v>
      </c>
      <c r="I165" s="44" t="s">
        <v>3440</v>
      </c>
      <c r="J165" s="44" t="s">
        <v>4254</v>
      </c>
      <c r="K165" s="44" t="s">
        <v>4599</v>
      </c>
      <c r="L165" s="44" t="s">
        <v>4930</v>
      </c>
      <c r="M165" s="44" t="s">
        <v>5285</v>
      </c>
      <c r="N165" s="44" t="s">
        <v>5640</v>
      </c>
    </row>
    <row r="166" spans="1:14" x14ac:dyDescent="0.3">
      <c r="A166" s="44" t="s">
        <v>3642</v>
      </c>
      <c r="B166" s="44" t="s">
        <v>922</v>
      </c>
      <c r="C166" s="44" t="s">
        <v>1284</v>
      </c>
      <c r="D166" s="44" t="s">
        <v>1646</v>
      </c>
      <c r="E166" s="44" t="s">
        <v>2008</v>
      </c>
      <c r="F166" s="44" t="s">
        <v>2370</v>
      </c>
      <c r="G166" s="44" t="s">
        <v>2717</v>
      </c>
      <c r="H166" s="44" t="s">
        <v>3079</v>
      </c>
      <c r="I166" s="44" t="s">
        <v>3441</v>
      </c>
      <c r="J166" s="44" t="s">
        <v>4255</v>
      </c>
      <c r="K166" s="44" t="s">
        <v>4600</v>
      </c>
      <c r="L166" s="44" t="s">
        <v>4931</v>
      </c>
      <c r="M166" s="44" t="s">
        <v>5286</v>
      </c>
      <c r="N166" s="44" t="s">
        <v>5641</v>
      </c>
    </row>
    <row r="167" spans="1:14" x14ac:dyDescent="0.3">
      <c r="A167" s="44" t="s">
        <v>3643</v>
      </c>
      <c r="B167" s="44" t="s">
        <v>923</v>
      </c>
      <c r="C167" s="44" t="s">
        <v>1285</v>
      </c>
      <c r="D167" s="44" t="s">
        <v>1647</v>
      </c>
      <c r="E167" s="44" t="s">
        <v>2009</v>
      </c>
      <c r="F167" s="44" t="s">
        <v>2371</v>
      </c>
      <c r="G167" s="44" t="s">
        <v>2718</v>
      </c>
      <c r="H167" s="44" t="s">
        <v>3080</v>
      </c>
      <c r="I167" s="44" t="s">
        <v>3442</v>
      </c>
      <c r="J167" s="44" t="s">
        <v>4256</v>
      </c>
      <c r="K167" s="44" t="s">
        <v>4601</v>
      </c>
      <c r="L167" s="44" t="s">
        <v>4932</v>
      </c>
      <c r="M167" s="44" t="s">
        <v>5287</v>
      </c>
      <c r="N167" s="44" t="s">
        <v>5642</v>
      </c>
    </row>
    <row r="168" spans="1:14" x14ac:dyDescent="0.3">
      <c r="A168" s="44" t="s">
        <v>3644</v>
      </c>
      <c r="B168" s="44" t="s">
        <v>924</v>
      </c>
      <c r="C168" s="44" t="s">
        <v>1286</v>
      </c>
      <c r="D168" s="44" t="s">
        <v>1648</v>
      </c>
      <c r="E168" s="44" t="s">
        <v>2010</v>
      </c>
      <c r="F168" s="44" t="s">
        <v>2372</v>
      </c>
      <c r="G168" s="44" t="s">
        <v>2719</v>
      </c>
      <c r="H168" s="44" t="s">
        <v>3081</v>
      </c>
      <c r="I168" s="44" t="s">
        <v>3443</v>
      </c>
      <c r="J168" s="44" t="s">
        <v>4257</v>
      </c>
      <c r="K168" s="44" t="s">
        <v>4602</v>
      </c>
      <c r="L168" s="44" t="s">
        <v>4933</v>
      </c>
      <c r="M168" s="44" t="s">
        <v>5288</v>
      </c>
      <c r="N168" s="44" t="s">
        <v>5643</v>
      </c>
    </row>
    <row r="169" spans="1:14" x14ac:dyDescent="0.3">
      <c r="A169" s="44" t="s">
        <v>3645</v>
      </c>
      <c r="B169" s="44" t="s">
        <v>925</v>
      </c>
      <c r="C169" s="44" t="s">
        <v>1287</v>
      </c>
      <c r="D169" s="44" t="s">
        <v>1649</v>
      </c>
      <c r="E169" s="44" t="s">
        <v>2011</v>
      </c>
      <c r="F169" s="44" t="s">
        <v>2373</v>
      </c>
      <c r="G169" s="44" t="s">
        <v>2720</v>
      </c>
      <c r="H169" s="44" t="s">
        <v>3082</v>
      </c>
      <c r="I169" s="44" t="s">
        <v>3444</v>
      </c>
      <c r="J169" s="44" t="s">
        <v>4258</v>
      </c>
      <c r="K169" s="44" t="s">
        <v>4603</v>
      </c>
      <c r="L169" s="44" t="s">
        <v>4934</v>
      </c>
      <c r="M169" s="44" t="s">
        <v>5289</v>
      </c>
      <c r="N169" s="44" t="s">
        <v>3873</v>
      </c>
    </row>
    <row r="170" spans="1:14" x14ac:dyDescent="0.3">
      <c r="A170" s="44" t="s">
        <v>3646</v>
      </c>
      <c r="B170" s="44" t="s">
        <v>926</v>
      </c>
      <c r="C170" s="44" t="s">
        <v>1288</v>
      </c>
      <c r="D170" s="44" t="s">
        <v>1650</v>
      </c>
      <c r="E170" s="44" t="s">
        <v>2012</v>
      </c>
      <c r="F170" s="44" t="s">
        <v>2374</v>
      </c>
      <c r="G170" s="44" t="s">
        <v>2721</v>
      </c>
      <c r="H170" s="44" t="s">
        <v>3083</v>
      </c>
      <c r="I170" s="44" t="s">
        <v>3445</v>
      </c>
      <c r="J170" s="44" t="s">
        <v>4100</v>
      </c>
      <c r="K170" s="44" t="s">
        <v>4604</v>
      </c>
      <c r="L170" s="44" t="s">
        <v>4935</v>
      </c>
      <c r="M170" s="44" t="s">
        <v>5290</v>
      </c>
      <c r="N170" s="44" t="s">
        <v>5644</v>
      </c>
    </row>
    <row r="171" spans="1:14" x14ac:dyDescent="0.3">
      <c r="A171" s="44" t="s">
        <v>3647</v>
      </c>
      <c r="B171" s="44" t="s">
        <v>927</v>
      </c>
      <c r="C171" s="44" t="s">
        <v>1289</v>
      </c>
      <c r="D171" s="44" t="s">
        <v>1651</v>
      </c>
      <c r="E171" s="44" t="s">
        <v>2013</v>
      </c>
      <c r="F171" s="44" t="s">
        <v>2375</v>
      </c>
      <c r="G171" s="44" t="s">
        <v>2722</v>
      </c>
      <c r="H171" s="44" t="s">
        <v>3084</v>
      </c>
      <c r="I171" s="44" t="s">
        <v>3446</v>
      </c>
      <c r="J171" s="44" t="s">
        <v>4259</v>
      </c>
      <c r="K171" s="44" t="s">
        <v>4605</v>
      </c>
      <c r="L171" s="44" t="s">
        <v>4936</v>
      </c>
      <c r="M171" s="44" t="s">
        <v>5291</v>
      </c>
      <c r="N171" s="44" t="s">
        <v>5645</v>
      </c>
    </row>
    <row r="172" spans="1:14" x14ac:dyDescent="0.3">
      <c r="A172" s="44" t="s">
        <v>3648</v>
      </c>
      <c r="B172" s="44" t="s">
        <v>928</v>
      </c>
      <c r="C172" s="44" t="s">
        <v>1290</v>
      </c>
      <c r="D172" s="44" t="s">
        <v>1652</v>
      </c>
      <c r="E172" s="44" t="s">
        <v>2014</v>
      </c>
      <c r="F172" s="44" t="s">
        <v>2376</v>
      </c>
      <c r="G172" s="44" t="s">
        <v>2723</v>
      </c>
      <c r="H172" s="44" t="s">
        <v>3085</v>
      </c>
      <c r="I172" s="44" t="s">
        <v>3447</v>
      </c>
      <c r="J172" s="44" t="s">
        <v>4260</v>
      </c>
      <c r="K172" s="44" t="s">
        <v>4606</v>
      </c>
      <c r="L172" s="44" t="s">
        <v>4937</v>
      </c>
      <c r="M172" s="44" t="s">
        <v>5292</v>
      </c>
      <c r="N172" s="44" t="s">
        <v>5646</v>
      </c>
    </row>
    <row r="173" spans="1:14" x14ac:dyDescent="0.3">
      <c r="A173" s="44" t="s">
        <v>3649</v>
      </c>
      <c r="B173" s="44" t="s">
        <v>929</v>
      </c>
      <c r="C173" s="44" t="s">
        <v>1291</v>
      </c>
      <c r="D173" s="44" t="s">
        <v>1653</v>
      </c>
      <c r="E173" s="44" t="s">
        <v>2015</v>
      </c>
      <c r="F173" s="44" t="s">
        <v>2377</v>
      </c>
      <c r="G173" s="44" t="s">
        <v>2724</v>
      </c>
      <c r="H173" s="44" t="s">
        <v>3086</v>
      </c>
      <c r="I173" s="44" t="s">
        <v>3448</v>
      </c>
      <c r="J173" s="44" t="s">
        <v>4261</v>
      </c>
      <c r="K173" s="44" t="s">
        <v>4607</v>
      </c>
      <c r="L173" s="44" t="s">
        <v>4938</v>
      </c>
      <c r="M173" s="44" t="s">
        <v>5293</v>
      </c>
      <c r="N173" s="44" t="s">
        <v>5647</v>
      </c>
    </row>
    <row r="174" spans="1:14" x14ac:dyDescent="0.3">
      <c r="A174" s="44" t="s">
        <v>3650</v>
      </c>
      <c r="B174" s="44" t="s">
        <v>930</v>
      </c>
      <c r="C174" s="44" t="s">
        <v>1292</v>
      </c>
      <c r="D174" s="44" t="s">
        <v>1654</v>
      </c>
      <c r="E174" s="44" t="s">
        <v>2016</v>
      </c>
      <c r="F174" s="44" t="s">
        <v>2378</v>
      </c>
      <c r="G174" s="44" t="s">
        <v>2725</v>
      </c>
      <c r="H174" s="44" t="s">
        <v>3087</v>
      </c>
      <c r="I174" s="44" t="s">
        <v>3449</v>
      </c>
      <c r="J174" s="44" t="s">
        <v>4262</v>
      </c>
      <c r="K174" s="44" t="s">
        <v>4608</v>
      </c>
      <c r="L174" s="44" t="s">
        <v>4939</v>
      </c>
      <c r="M174" s="44" t="s">
        <v>5294</v>
      </c>
      <c r="N174" s="44" t="s">
        <v>5648</v>
      </c>
    </row>
    <row r="175" spans="1:14" x14ac:dyDescent="0.3">
      <c r="A175" s="44" t="s">
        <v>3651</v>
      </c>
      <c r="B175" s="44" t="s">
        <v>931</v>
      </c>
      <c r="C175" s="44" t="s">
        <v>1293</v>
      </c>
      <c r="D175" s="44" t="s">
        <v>1655</v>
      </c>
      <c r="E175" s="44" t="s">
        <v>2017</v>
      </c>
      <c r="F175" s="44" t="s">
        <v>2379</v>
      </c>
      <c r="G175" s="44" t="s">
        <v>2726</v>
      </c>
      <c r="H175" s="44" t="s">
        <v>3088</v>
      </c>
      <c r="I175" s="44" t="s">
        <v>3450</v>
      </c>
      <c r="J175" s="44" t="s">
        <v>4263</v>
      </c>
      <c r="K175" s="44" t="s">
        <v>4609</v>
      </c>
      <c r="L175" s="44" t="s">
        <v>4940</v>
      </c>
      <c r="M175" s="44" t="s">
        <v>5295</v>
      </c>
      <c r="N175" s="44" t="s">
        <v>5649</v>
      </c>
    </row>
    <row r="176" spans="1:14" x14ac:dyDescent="0.3">
      <c r="A176" s="44" t="s">
        <v>3652</v>
      </c>
      <c r="B176" s="44" t="s">
        <v>932</v>
      </c>
      <c r="C176" s="44" t="s">
        <v>1294</v>
      </c>
      <c r="D176" s="44" t="s">
        <v>1656</v>
      </c>
      <c r="E176" s="44" t="s">
        <v>2018</v>
      </c>
      <c r="F176" s="44" t="s">
        <v>2380</v>
      </c>
      <c r="G176" s="44" t="s">
        <v>2727</v>
      </c>
      <c r="H176" s="44" t="s">
        <v>3089</v>
      </c>
      <c r="I176" s="44" t="s">
        <v>3451</v>
      </c>
      <c r="J176" s="44" t="s">
        <v>4264</v>
      </c>
      <c r="K176" s="44" t="s">
        <v>4610</v>
      </c>
      <c r="L176" s="44" t="s">
        <v>4941</v>
      </c>
      <c r="M176" s="44" t="s">
        <v>5296</v>
      </c>
      <c r="N176" s="44" t="s">
        <v>5650</v>
      </c>
    </row>
    <row r="177" spans="1:14" x14ac:dyDescent="0.3">
      <c r="A177" s="44" t="s">
        <v>3653</v>
      </c>
      <c r="B177" s="44" t="s">
        <v>933</v>
      </c>
      <c r="C177" s="44" t="s">
        <v>1295</v>
      </c>
      <c r="D177" s="44" t="s">
        <v>1657</v>
      </c>
      <c r="E177" s="44" t="s">
        <v>2019</v>
      </c>
      <c r="F177" s="44" t="s">
        <v>2381</v>
      </c>
      <c r="G177" s="44" t="s">
        <v>2728</v>
      </c>
      <c r="H177" s="44" t="s">
        <v>3090</v>
      </c>
      <c r="I177" s="44" t="s">
        <v>3452</v>
      </c>
      <c r="J177" s="44" t="s">
        <v>4265</v>
      </c>
      <c r="K177" s="44" t="s">
        <v>4611</v>
      </c>
      <c r="L177" s="44" t="s">
        <v>4942</v>
      </c>
      <c r="M177" s="44" t="s">
        <v>5297</v>
      </c>
      <c r="N177" s="44" t="s">
        <v>5651</v>
      </c>
    </row>
    <row r="178" spans="1:14" x14ac:dyDescent="0.3">
      <c r="A178" s="44" t="s">
        <v>3654</v>
      </c>
      <c r="B178" s="44" t="s">
        <v>934</v>
      </c>
      <c r="C178" s="44" t="s">
        <v>1296</v>
      </c>
      <c r="D178" s="44" t="s">
        <v>1658</v>
      </c>
      <c r="E178" s="44" t="s">
        <v>2020</v>
      </c>
      <c r="F178" s="44" t="s">
        <v>2382</v>
      </c>
      <c r="G178" s="44" t="s">
        <v>2729</v>
      </c>
      <c r="H178" s="44" t="s">
        <v>3091</v>
      </c>
      <c r="I178" s="44" t="s">
        <v>3453</v>
      </c>
      <c r="J178" s="44" t="s">
        <v>3884</v>
      </c>
      <c r="K178" s="44" t="s">
        <v>4612</v>
      </c>
      <c r="L178" s="44" t="s">
        <v>4943</v>
      </c>
      <c r="M178" s="44" t="s">
        <v>5298</v>
      </c>
      <c r="N178" s="44" t="s">
        <v>5652</v>
      </c>
    </row>
    <row r="179" spans="1:14" x14ac:dyDescent="0.3">
      <c r="A179" s="44" t="s">
        <v>3655</v>
      </c>
      <c r="B179" s="44" t="s">
        <v>935</v>
      </c>
      <c r="C179" s="44" t="s">
        <v>1297</v>
      </c>
      <c r="D179" s="44" t="s">
        <v>1659</v>
      </c>
      <c r="E179" s="44" t="s">
        <v>2021</v>
      </c>
      <c r="F179" s="44" t="s">
        <v>2383</v>
      </c>
      <c r="G179" s="44" t="s">
        <v>2730</v>
      </c>
      <c r="H179" s="44" t="s">
        <v>3092</v>
      </c>
      <c r="I179" s="44" t="s">
        <v>3454</v>
      </c>
      <c r="J179" s="44" t="s">
        <v>4266</v>
      </c>
      <c r="K179" s="44" t="s">
        <v>4613</v>
      </c>
      <c r="L179" s="44" t="s">
        <v>4944</v>
      </c>
      <c r="M179" s="44" t="s">
        <v>5299</v>
      </c>
      <c r="N179" s="44" t="s">
        <v>5653</v>
      </c>
    </row>
    <row r="180" spans="1:14" x14ac:dyDescent="0.3">
      <c r="A180" s="44" t="s">
        <v>3656</v>
      </c>
      <c r="B180" s="44" t="s">
        <v>936</v>
      </c>
      <c r="C180" s="44" t="s">
        <v>1298</v>
      </c>
      <c r="D180" s="44" t="s">
        <v>1660</v>
      </c>
      <c r="E180" s="44" t="s">
        <v>2022</v>
      </c>
      <c r="F180" s="44" t="s">
        <v>2384</v>
      </c>
      <c r="G180" s="44" t="s">
        <v>2731</v>
      </c>
      <c r="H180" s="44" t="s">
        <v>3093</v>
      </c>
      <c r="I180" s="44" t="s">
        <v>3455</v>
      </c>
      <c r="J180" s="44" t="s">
        <v>4267</v>
      </c>
      <c r="K180" s="44" t="s">
        <v>4614</v>
      </c>
      <c r="L180" s="44" t="s">
        <v>4945</v>
      </c>
      <c r="M180" s="44" t="s">
        <v>5300</v>
      </c>
      <c r="N180" s="44" t="s">
        <v>5654</v>
      </c>
    </row>
    <row r="181" spans="1:14" x14ac:dyDescent="0.3">
      <c r="A181" s="44" t="s">
        <v>3657</v>
      </c>
      <c r="B181" s="44" t="s">
        <v>937</v>
      </c>
      <c r="C181" s="44" t="s">
        <v>1299</v>
      </c>
      <c r="D181" s="44" t="s">
        <v>1661</v>
      </c>
      <c r="E181" s="44" t="s">
        <v>2023</v>
      </c>
      <c r="F181" s="44" t="s">
        <v>2385</v>
      </c>
      <c r="G181" s="44" t="s">
        <v>2732</v>
      </c>
      <c r="H181" s="44" t="s">
        <v>3094</v>
      </c>
      <c r="I181" s="44" t="s">
        <v>3456</v>
      </c>
      <c r="J181" s="44" t="s">
        <v>4101</v>
      </c>
      <c r="K181" s="44" t="s">
        <v>4615</v>
      </c>
      <c r="L181" s="44" t="s">
        <v>4946</v>
      </c>
      <c r="M181" s="44" t="s">
        <v>5301</v>
      </c>
      <c r="N181" s="44" t="s">
        <v>5655</v>
      </c>
    </row>
    <row r="182" spans="1:14" x14ac:dyDescent="0.3">
      <c r="A182" s="44" t="s">
        <v>3658</v>
      </c>
      <c r="B182" s="44" t="s">
        <v>938</v>
      </c>
      <c r="C182" s="44" t="s">
        <v>1300</v>
      </c>
      <c r="D182" s="44" t="s">
        <v>1662</v>
      </c>
      <c r="E182" s="44" t="s">
        <v>2024</v>
      </c>
      <c r="F182" s="44" t="s">
        <v>2386</v>
      </c>
      <c r="G182" s="44" t="s">
        <v>2733</v>
      </c>
      <c r="H182" s="44" t="s">
        <v>3095</v>
      </c>
      <c r="I182" s="44" t="s">
        <v>3457</v>
      </c>
      <c r="J182" s="44" t="s">
        <v>4268</v>
      </c>
      <c r="K182" s="44" t="s">
        <v>4616</v>
      </c>
      <c r="L182" s="44" t="s">
        <v>4947</v>
      </c>
      <c r="M182" s="44" t="s">
        <v>5302</v>
      </c>
      <c r="N182" s="44" t="s">
        <v>5656</v>
      </c>
    </row>
    <row r="183" spans="1:14" x14ac:dyDescent="0.3">
      <c r="A183" s="44" t="s">
        <v>3659</v>
      </c>
      <c r="B183" s="44" t="s">
        <v>939</v>
      </c>
      <c r="C183" s="44" t="s">
        <v>1301</v>
      </c>
      <c r="D183" s="44" t="s">
        <v>1663</v>
      </c>
      <c r="E183" s="44" t="s">
        <v>2025</v>
      </c>
      <c r="F183" s="44" t="s">
        <v>2387</v>
      </c>
      <c r="G183" s="44" t="s">
        <v>2734</v>
      </c>
      <c r="H183" s="44" t="s">
        <v>3096</v>
      </c>
      <c r="I183" s="44" t="s">
        <v>3458</v>
      </c>
      <c r="J183" s="44" t="s">
        <v>4269</v>
      </c>
      <c r="K183" s="44" t="s">
        <v>4617</v>
      </c>
      <c r="L183" s="44" t="s">
        <v>4948</v>
      </c>
      <c r="M183" s="44" t="s">
        <v>5303</v>
      </c>
      <c r="N183" s="44" t="s">
        <v>5657</v>
      </c>
    </row>
    <row r="184" spans="1:14" x14ac:dyDescent="0.3">
      <c r="A184" s="44" t="s">
        <v>3660</v>
      </c>
      <c r="B184" s="44" t="s">
        <v>940</v>
      </c>
      <c r="C184" s="44" t="s">
        <v>1302</v>
      </c>
      <c r="D184" s="44" t="s">
        <v>1664</v>
      </c>
      <c r="E184" s="44" t="s">
        <v>2026</v>
      </c>
      <c r="F184" s="44" t="s">
        <v>2388</v>
      </c>
      <c r="G184" s="44" t="s">
        <v>2735</v>
      </c>
      <c r="H184" s="44" t="s">
        <v>3097</v>
      </c>
      <c r="I184" s="44" t="s">
        <v>3459</v>
      </c>
      <c r="J184" s="44" t="s">
        <v>4270</v>
      </c>
      <c r="K184" s="44" t="s">
        <v>4618</v>
      </c>
      <c r="L184" s="44" t="s">
        <v>4949</v>
      </c>
      <c r="M184" s="44" t="s">
        <v>5304</v>
      </c>
      <c r="N184" s="44" t="s">
        <v>5658</v>
      </c>
    </row>
    <row r="185" spans="1:14" x14ac:dyDescent="0.3">
      <c r="A185" s="44" t="s">
        <v>3661</v>
      </c>
      <c r="B185" s="44" t="s">
        <v>941</v>
      </c>
      <c r="C185" s="44" t="s">
        <v>1303</v>
      </c>
      <c r="D185" s="44" t="s">
        <v>1665</v>
      </c>
      <c r="E185" s="44" t="s">
        <v>2027</v>
      </c>
      <c r="F185" s="44" t="s">
        <v>2389</v>
      </c>
      <c r="G185" s="44" t="s">
        <v>2736</v>
      </c>
      <c r="H185" s="44" t="s">
        <v>3098</v>
      </c>
      <c r="I185" s="44" t="s">
        <v>3460</v>
      </c>
      <c r="J185" s="44" t="s">
        <v>4271</v>
      </c>
      <c r="K185" s="44" t="s">
        <v>4619</v>
      </c>
      <c r="L185" s="44" t="s">
        <v>4950</v>
      </c>
      <c r="M185" s="44" t="s">
        <v>5305</v>
      </c>
      <c r="N185" s="44" t="s">
        <v>5659</v>
      </c>
    </row>
    <row r="186" spans="1:14" x14ac:dyDescent="0.3">
      <c r="A186" s="44" t="s">
        <v>3662</v>
      </c>
      <c r="B186" s="44" t="s">
        <v>942</v>
      </c>
      <c r="C186" s="44" t="s">
        <v>1304</v>
      </c>
      <c r="D186" s="44" t="s">
        <v>1666</v>
      </c>
      <c r="E186" s="44" t="s">
        <v>2028</v>
      </c>
      <c r="F186" s="44" t="s">
        <v>2390</v>
      </c>
      <c r="G186" s="44" t="s">
        <v>2737</v>
      </c>
      <c r="H186" s="44" t="s">
        <v>3099</v>
      </c>
      <c r="I186" s="44" t="s">
        <v>3461</v>
      </c>
      <c r="J186" s="44" t="s">
        <v>4272</v>
      </c>
      <c r="K186" s="44" t="s">
        <v>4620</v>
      </c>
      <c r="L186" s="44" t="s">
        <v>4951</v>
      </c>
      <c r="M186" s="44" t="s">
        <v>5306</v>
      </c>
      <c r="N186" s="44" t="s">
        <v>5660</v>
      </c>
    </row>
    <row r="187" spans="1:14" x14ac:dyDescent="0.3">
      <c r="A187" s="44" t="s">
        <v>3663</v>
      </c>
      <c r="B187" s="44" t="s">
        <v>943</v>
      </c>
      <c r="C187" s="44" t="s">
        <v>1305</v>
      </c>
      <c r="D187" s="44" t="s">
        <v>1667</v>
      </c>
      <c r="E187" s="44" t="s">
        <v>2029</v>
      </c>
      <c r="F187" s="44" t="s">
        <v>2391</v>
      </c>
      <c r="G187" s="44" t="s">
        <v>2738</v>
      </c>
      <c r="H187" s="44" t="s">
        <v>3100</v>
      </c>
      <c r="I187" s="44" t="s">
        <v>3462</v>
      </c>
      <c r="J187" s="44" t="s">
        <v>4273</v>
      </c>
      <c r="K187" s="44" t="s">
        <v>4621</v>
      </c>
      <c r="L187" s="44" t="s">
        <v>4952</v>
      </c>
      <c r="M187" s="44" t="s">
        <v>5307</v>
      </c>
      <c r="N187" s="44" t="s">
        <v>5661</v>
      </c>
    </row>
    <row r="188" spans="1:14" x14ac:dyDescent="0.3">
      <c r="A188" s="44" t="s">
        <v>3664</v>
      </c>
      <c r="B188" s="44" t="s">
        <v>944</v>
      </c>
      <c r="C188" s="44" t="s">
        <v>1306</v>
      </c>
      <c r="D188" s="44" t="s">
        <v>1668</v>
      </c>
      <c r="E188" s="44" t="s">
        <v>2030</v>
      </c>
      <c r="F188" s="44" t="s">
        <v>2392</v>
      </c>
      <c r="G188" s="44" t="s">
        <v>2739</v>
      </c>
      <c r="H188" s="44" t="s">
        <v>3101</v>
      </c>
      <c r="I188" s="44" t="s">
        <v>3463</v>
      </c>
      <c r="J188" s="44" t="s">
        <v>4274</v>
      </c>
      <c r="K188" s="44" t="s">
        <v>4622</v>
      </c>
      <c r="L188" s="44" t="s">
        <v>4953</v>
      </c>
      <c r="M188" s="44" t="s">
        <v>5308</v>
      </c>
      <c r="N188" s="44" t="s">
        <v>5662</v>
      </c>
    </row>
    <row r="189" spans="1:14" x14ac:dyDescent="0.3">
      <c r="A189" s="44" t="s">
        <v>3665</v>
      </c>
      <c r="B189" s="44" t="s">
        <v>945</v>
      </c>
      <c r="C189" s="44" t="s">
        <v>1307</v>
      </c>
      <c r="D189" s="44" t="s">
        <v>1669</v>
      </c>
      <c r="E189" s="44" t="s">
        <v>2031</v>
      </c>
      <c r="F189" s="44" t="s">
        <v>2393</v>
      </c>
      <c r="G189" s="44" t="s">
        <v>2740</v>
      </c>
      <c r="H189" s="44" t="s">
        <v>3102</v>
      </c>
      <c r="I189" s="44" t="s">
        <v>3464</v>
      </c>
      <c r="J189" s="44" t="s">
        <v>4275</v>
      </c>
      <c r="K189" s="44" t="s">
        <v>4623</v>
      </c>
      <c r="L189" s="44" t="s">
        <v>4954</v>
      </c>
      <c r="M189" s="44" t="s">
        <v>5309</v>
      </c>
      <c r="N189" s="44" t="s">
        <v>5663</v>
      </c>
    </row>
    <row r="190" spans="1:14" x14ac:dyDescent="0.3">
      <c r="A190" s="44" t="s">
        <v>3666</v>
      </c>
      <c r="B190" s="44" t="s">
        <v>946</v>
      </c>
      <c r="C190" s="44" t="s">
        <v>1308</v>
      </c>
      <c r="D190" s="44" t="s">
        <v>1670</v>
      </c>
      <c r="E190" s="44" t="s">
        <v>2032</v>
      </c>
      <c r="F190" s="44" t="s">
        <v>2394</v>
      </c>
      <c r="G190" s="44" t="s">
        <v>2741</v>
      </c>
      <c r="H190" s="44" t="s">
        <v>3103</v>
      </c>
      <c r="I190" s="44" t="s">
        <v>3465</v>
      </c>
      <c r="J190" s="44" t="s">
        <v>4276</v>
      </c>
      <c r="K190" s="44" t="s">
        <v>4624</v>
      </c>
      <c r="L190" s="44" t="s">
        <v>4955</v>
      </c>
      <c r="M190" s="44" t="s">
        <v>5310</v>
      </c>
      <c r="N190" s="44" t="s">
        <v>5664</v>
      </c>
    </row>
    <row r="191" spans="1:14" x14ac:dyDescent="0.3">
      <c r="A191" s="44" t="s">
        <v>3667</v>
      </c>
      <c r="B191" s="44" t="s">
        <v>947</v>
      </c>
      <c r="C191" s="44" t="s">
        <v>1309</v>
      </c>
      <c r="D191" s="44" t="s">
        <v>1671</v>
      </c>
      <c r="E191" s="44" t="s">
        <v>2033</v>
      </c>
      <c r="F191" s="44" t="s">
        <v>2395</v>
      </c>
      <c r="G191" s="44" t="s">
        <v>2742</v>
      </c>
      <c r="H191" s="44" t="s">
        <v>3104</v>
      </c>
      <c r="I191" s="44" t="s">
        <v>3466</v>
      </c>
      <c r="J191" s="44" t="s">
        <v>4277</v>
      </c>
      <c r="K191" s="44" t="s">
        <v>4625</v>
      </c>
      <c r="L191" s="44" t="s">
        <v>4956</v>
      </c>
      <c r="M191" s="44" t="s">
        <v>5311</v>
      </c>
      <c r="N191" s="44" t="s">
        <v>5665</v>
      </c>
    </row>
    <row r="192" spans="1:14" x14ac:dyDescent="0.3">
      <c r="A192" s="44" t="s">
        <v>3668</v>
      </c>
      <c r="B192" s="44" t="s">
        <v>948</v>
      </c>
      <c r="C192" s="44" t="s">
        <v>1310</v>
      </c>
      <c r="D192" s="44" t="s">
        <v>1672</v>
      </c>
      <c r="E192" s="44" t="s">
        <v>2034</v>
      </c>
      <c r="F192" s="44" t="s">
        <v>2396</v>
      </c>
      <c r="G192" s="44" t="s">
        <v>2743</v>
      </c>
      <c r="H192" s="44" t="s">
        <v>3105</v>
      </c>
      <c r="I192" s="44" t="s">
        <v>3467</v>
      </c>
      <c r="J192" s="44" t="s">
        <v>4102</v>
      </c>
      <c r="K192" s="44" t="s">
        <v>4626</v>
      </c>
      <c r="L192" s="44" t="s">
        <v>4957</v>
      </c>
      <c r="M192" s="44" t="s">
        <v>5312</v>
      </c>
      <c r="N192" s="44" t="s">
        <v>5666</v>
      </c>
    </row>
    <row r="193" spans="1:14" x14ac:dyDescent="0.3">
      <c r="A193" s="44" t="s">
        <v>3669</v>
      </c>
      <c r="B193" s="44" t="s">
        <v>949</v>
      </c>
      <c r="C193" s="44" t="s">
        <v>1311</v>
      </c>
      <c r="D193" s="44" t="s">
        <v>1673</v>
      </c>
      <c r="E193" s="44" t="s">
        <v>2035</v>
      </c>
      <c r="F193" s="44" t="s">
        <v>2397</v>
      </c>
      <c r="G193" s="44" t="s">
        <v>2744</v>
      </c>
      <c r="H193" s="44" t="s">
        <v>3106</v>
      </c>
      <c r="I193" s="44" t="s">
        <v>3468</v>
      </c>
      <c r="J193" s="44" t="s">
        <v>4278</v>
      </c>
      <c r="K193" s="44" t="s">
        <v>4627</v>
      </c>
      <c r="L193" s="44" t="s">
        <v>3876</v>
      </c>
      <c r="M193" s="44" t="s">
        <v>3895</v>
      </c>
      <c r="N193" s="44" t="s">
        <v>5667</v>
      </c>
    </row>
    <row r="194" spans="1:14" x14ac:dyDescent="0.3">
      <c r="A194" s="44" t="s">
        <v>3670</v>
      </c>
      <c r="B194" s="44" t="s">
        <v>950</v>
      </c>
      <c r="C194" s="44" t="s">
        <v>1312</v>
      </c>
      <c r="D194" s="44" t="s">
        <v>1674</v>
      </c>
      <c r="E194" s="44" t="s">
        <v>2036</v>
      </c>
      <c r="F194" s="44" t="s">
        <v>2398</v>
      </c>
      <c r="G194" s="44" t="s">
        <v>2745</v>
      </c>
      <c r="H194" s="44" t="s">
        <v>3107</v>
      </c>
      <c r="I194" s="44" t="s">
        <v>3469</v>
      </c>
      <c r="J194" s="44" t="s">
        <v>4279</v>
      </c>
      <c r="K194" s="44" t="s">
        <v>4628</v>
      </c>
      <c r="L194" s="44" t="s">
        <v>4958</v>
      </c>
      <c r="M194" s="44" t="s">
        <v>5313</v>
      </c>
      <c r="N194" s="44" t="s">
        <v>5668</v>
      </c>
    </row>
    <row r="195" spans="1:14" x14ac:dyDescent="0.3">
      <c r="A195" s="44" t="s">
        <v>3671</v>
      </c>
      <c r="B195" s="44" t="s">
        <v>951</v>
      </c>
      <c r="C195" s="44" t="s">
        <v>1313</v>
      </c>
      <c r="D195" s="44" t="s">
        <v>1675</v>
      </c>
      <c r="E195" s="44" t="s">
        <v>2037</v>
      </c>
      <c r="F195" s="44" t="s">
        <v>2399</v>
      </c>
      <c r="G195" s="44" t="s">
        <v>2746</v>
      </c>
      <c r="H195" s="44" t="s">
        <v>3108</v>
      </c>
      <c r="I195" s="44" t="s">
        <v>3470</v>
      </c>
      <c r="J195" s="44" t="s">
        <v>4280</v>
      </c>
      <c r="K195" s="44" t="s">
        <v>4629</v>
      </c>
      <c r="L195" s="44" t="s">
        <v>4959</v>
      </c>
      <c r="M195" s="44" t="s">
        <v>5314</v>
      </c>
      <c r="N195" s="44" t="s">
        <v>5669</v>
      </c>
    </row>
    <row r="196" spans="1:14" x14ac:dyDescent="0.3">
      <c r="A196" s="44" t="s">
        <v>3672</v>
      </c>
      <c r="B196" s="44" t="s">
        <v>952</v>
      </c>
      <c r="C196" s="44" t="s">
        <v>1314</v>
      </c>
      <c r="D196" s="44" t="s">
        <v>1676</v>
      </c>
      <c r="E196" s="44" t="s">
        <v>2038</v>
      </c>
      <c r="F196" s="44" t="s">
        <v>2400</v>
      </c>
      <c r="G196" s="44" t="s">
        <v>2747</v>
      </c>
      <c r="H196" s="44" t="s">
        <v>3109</v>
      </c>
      <c r="I196" s="44" t="s">
        <v>3471</v>
      </c>
      <c r="J196" s="44" t="s">
        <v>4281</v>
      </c>
      <c r="K196" s="44" t="s">
        <v>4630</v>
      </c>
      <c r="L196" s="44" t="s">
        <v>4960</v>
      </c>
      <c r="M196" s="44" t="s">
        <v>5315</v>
      </c>
      <c r="N196" s="44" t="s">
        <v>5670</v>
      </c>
    </row>
    <row r="197" spans="1:14" x14ac:dyDescent="0.3">
      <c r="A197" s="44" t="s">
        <v>3673</v>
      </c>
      <c r="B197" s="44" t="s">
        <v>953</v>
      </c>
      <c r="C197" s="44" t="s">
        <v>1315</v>
      </c>
      <c r="D197" s="44" t="s">
        <v>1677</v>
      </c>
      <c r="E197" s="44" t="s">
        <v>2039</v>
      </c>
      <c r="F197" s="44" t="s">
        <v>2401</v>
      </c>
      <c r="G197" s="44" t="s">
        <v>2748</v>
      </c>
      <c r="H197" s="44" t="s">
        <v>3110</v>
      </c>
      <c r="I197" s="44" t="s">
        <v>3919</v>
      </c>
      <c r="J197" s="44" t="s">
        <v>4282</v>
      </c>
      <c r="K197" s="44" t="s">
        <v>4631</v>
      </c>
      <c r="L197" s="44" t="s">
        <v>4961</v>
      </c>
      <c r="M197" s="44" t="s">
        <v>5316</v>
      </c>
      <c r="N197" s="44" t="s">
        <v>5671</v>
      </c>
    </row>
    <row r="198" spans="1:14" x14ac:dyDescent="0.3">
      <c r="A198" s="44" t="s">
        <v>3674</v>
      </c>
      <c r="B198" s="44" t="s">
        <v>954</v>
      </c>
      <c r="C198" s="44" t="s">
        <v>1316</v>
      </c>
      <c r="D198" s="44" t="s">
        <v>1678</v>
      </c>
      <c r="E198" s="44" t="s">
        <v>2040</v>
      </c>
      <c r="F198" s="44" t="s">
        <v>2402</v>
      </c>
      <c r="G198" s="44" t="s">
        <v>2749</v>
      </c>
      <c r="H198" s="44" t="s">
        <v>3111</v>
      </c>
      <c r="I198" s="44" t="s">
        <v>3920</v>
      </c>
      <c r="J198" s="44" t="s">
        <v>4283</v>
      </c>
      <c r="K198" s="44" t="s">
        <v>4632</v>
      </c>
      <c r="L198" s="44" t="s">
        <v>4962</v>
      </c>
      <c r="M198" s="44" t="s">
        <v>5317</v>
      </c>
      <c r="N198" s="44" t="s">
        <v>5672</v>
      </c>
    </row>
    <row r="199" spans="1:14" x14ac:dyDescent="0.3">
      <c r="A199" s="44" t="s">
        <v>3675</v>
      </c>
      <c r="B199" s="44" t="s">
        <v>955</v>
      </c>
      <c r="C199" s="44" t="s">
        <v>1317</v>
      </c>
      <c r="D199" s="44" t="s">
        <v>1679</v>
      </c>
      <c r="E199" s="44" t="s">
        <v>2041</v>
      </c>
      <c r="F199" s="44" t="s">
        <v>3847</v>
      </c>
      <c r="G199" s="44" t="s">
        <v>2750</v>
      </c>
      <c r="H199" s="44" t="s">
        <v>3112</v>
      </c>
      <c r="I199" s="44" t="s">
        <v>3921</v>
      </c>
      <c r="J199" s="44" t="s">
        <v>4284</v>
      </c>
      <c r="K199" s="44" t="s">
        <v>4633</v>
      </c>
      <c r="L199" s="44" t="s">
        <v>4963</v>
      </c>
      <c r="M199" s="44" t="s">
        <v>5318</v>
      </c>
      <c r="N199" s="44" t="s">
        <v>5673</v>
      </c>
    </row>
    <row r="200" spans="1:14" x14ac:dyDescent="0.3">
      <c r="A200" s="44" t="s">
        <v>3676</v>
      </c>
      <c r="B200" s="44" t="s">
        <v>956</v>
      </c>
      <c r="C200" s="44" t="s">
        <v>1318</v>
      </c>
      <c r="D200" s="44" t="s">
        <v>1680</v>
      </c>
      <c r="E200" s="44" t="s">
        <v>2042</v>
      </c>
      <c r="F200" s="44" t="s">
        <v>3848</v>
      </c>
      <c r="G200" s="44" t="s">
        <v>2751</v>
      </c>
      <c r="H200" s="44" t="s">
        <v>3113</v>
      </c>
      <c r="I200" s="44" t="s">
        <v>3922</v>
      </c>
      <c r="J200" s="44" t="s">
        <v>4285</v>
      </c>
      <c r="K200" s="44" t="s">
        <v>4634</v>
      </c>
      <c r="L200" s="44" t="s">
        <v>4964</v>
      </c>
      <c r="M200" s="44" t="s">
        <v>5319</v>
      </c>
      <c r="N200" s="44" t="s">
        <v>5674</v>
      </c>
    </row>
    <row r="201" spans="1:14" x14ac:dyDescent="0.3">
      <c r="A201" s="44" t="s">
        <v>3677</v>
      </c>
      <c r="B201" s="44" t="s">
        <v>957</v>
      </c>
      <c r="C201" s="44" t="s">
        <v>1319</v>
      </c>
      <c r="D201" s="44" t="s">
        <v>1681</v>
      </c>
      <c r="E201" s="44" t="s">
        <v>2043</v>
      </c>
      <c r="F201" s="44" t="s">
        <v>3849</v>
      </c>
      <c r="G201" s="44" t="s">
        <v>2752</v>
      </c>
      <c r="H201" s="44" t="s">
        <v>3114</v>
      </c>
      <c r="I201" s="44" t="s">
        <v>3923</v>
      </c>
      <c r="J201" s="44" t="s">
        <v>4286</v>
      </c>
      <c r="K201" s="44" t="s">
        <v>4635</v>
      </c>
      <c r="L201" s="44" t="s">
        <v>4965</v>
      </c>
      <c r="M201" s="44" t="s">
        <v>5320</v>
      </c>
      <c r="N201" s="44" t="s">
        <v>5675</v>
      </c>
    </row>
    <row r="202" spans="1:14" x14ac:dyDescent="0.3">
      <c r="A202" s="44" t="s">
        <v>3678</v>
      </c>
      <c r="B202" s="44" t="s">
        <v>958</v>
      </c>
      <c r="C202" s="44" t="s">
        <v>1320</v>
      </c>
      <c r="D202" s="44" t="s">
        <v>1682</v>
      </c>
      <c r="E202" s="44" t="s">
        <v>2044</v>
      </c>
      <c r="F202" s="44" t="s">
        <v>3850</v>
      </c>
      <c r="G202" s="44" t="s">
        <v>2753</v>
      </c>
      <c r="H202" s="44" t="s">
        <v>3115</v>
      </c>
      <c r="I202" s="44" t="s">
        <v>3924</v>
      </c>
      <c r="J202" s="44" t="s">
        <v>4287</v>
      </c>
      <c r="K202" s="44" t="s">
        <v>4636</v>
      </c>
      <c r="L202" s="44" t="s">
        <v>4966</v>
      </c>
      <c r="M202" s="44" t="s">
        <v>5321</v>
      </c>
      <c r="N202" s="44" t="s">
        <v>5676</v>
      </c>
    </row>
    <row r="203" spans="1:14" x14ac:dyDescent="0.3">
      <c r="A203" s="44" t="s">
        <v>3679</v>
      </c>
      <c r="B203" s="44" t="s">
        <v>959</v>
      </c>
      <c r="C203" s="44" t="s">
        <v>1321</v>
      </c>
      <c r="D203" s="44" t="s">
        <v>1683</v>
      </c>
      <c r="E203" s="44" t="s">
        <v>2045</v>
      </c>
      <c r="F203" s="44" t="s">
        <v>3851</v>
      </c>
      <c r="G203" s="44" t="s">
        <v>2754</v>
      </c>
      <c r="H203" s="44" t="s">
        <v>3116</v>
      </c>
      <c r="I203" s="44" t="s">
        <v>3925</v>
      </c>
      <c r="J203" s="44" t="s">
        <v>4103</v>
      </c>
      <c r="K203" s="44" t="s">
        <v>4441</v>
      </c>
      <c r="L203" s="44" t="s">
        <v>4967</v>
      </c>
      <c r="M203" s="44" t="s">
        <v>5322</v>
      </c>
      <c r="N203" s="44" t="s">
        <v>5677</v>
      </c>
    </row>
    <row r="204" spans="1:14" x14ac:dyDescent="0.3">
      <c r="A204" s="44" t="s">
        <v>3680</v>
      </c>
      <c r="B204" s="44" t="s">
        <v>960</v>
      </c>
      <c r="C204" s="44" t="s">
        <v>1322</v>
      </c>
      <c r="D204" s="44" t="s">
        <v>1684</v>
      </c>
      <c r="E204" s="44" t="s">
        <v>2046</v>
      </c>
      <c r="F204" s="44" t="s">
        <v>3852</v>
      </c>
      <c r="G204" s="44" t="s">
        <v>2755</v>
      </c>
      <c r="H204" s="44" t="s">
        <v>3117</v>
      </c>
      <c r="I204" s="44" t="s">
        <v>3926</v>
      </c>
      <c r="J204" s="44" t="s">
        <v>4104</v>
      </c>
      <c r="K204" s="44" t="s">
        <v>4637</v>
      </c>
      <c r="L204" s="44" t="s">
        <v>4968</v>
      </c>
      <c r="M204" s="44" t="s">
        <v>5323</v>
      </c>
      <c r="N204" s="44" t="s">
        <v>5678</v>
      </c>
    </row>
    <row r="205" spans="1:14" x14ac:dyDescent="0.3">
      <c r="A205" s="44" t="s">
        <v>3681</v>
      </c>
      <c r="B205" s="44" t="s">
        <v>961</v>
      </c>
      <c r="C205" s="44" t="s">
        <v>1323</v>
      </c>
      <c r="D205" s="44" t="s">
        <v>1685</v>
      </c>
      <c r="E205" s="44" t="s">
        <v>2047</v>
      </c>
      <c r="F205" s="44" t="s">
        <v>3853</v>
      </c>
      <c r="G205" s="44" t="s">
        <v>2756</v>
      </c>
      <c r="H205" s="44" t="s">
        <v>3118</v>
      </c>
      <c r="I205" s="44" t="s">
        <v>3927</v>
      </c>
      <c r="J205" s="44" t="s">
        <v>4288</v>
      </c>
      <c r="K205" s="44" t="s">
        <v>4638</v>
      </c>
      <c r="L205" s="44" t="s">
        <v>4969</v>
      </c>
      <c r="M205" s="44" t="s">
        <v>5324</v>
      </c>
      <c r="N205" s="44" t="s">
        <v>5679</v>
      </c>
    </row>
    <row r="206" spans="1:14" x14ac:dyDescent="0.3">
      <c r="A206" s="44" t="s">
        <v>3682</v>
      </c>
      <c r="B206" s="44" t="s">
        <v>962</v>
      </c>
      <c r="C206" s="44" t="s">
        <v>1324</v>
      </c>
      <c r="D206" s="44" t="s">
        <v>1686</v>
      </c>
      <c r="E206" s="44" t="s">
        <v>2048</v>
      </c>
      <c r="F206" s="44" t="s">
        <v>3854</v>
      </c>
      <c r="G206" s="44" t="s">
        <v>2757</v>
      </c>
      <c r="H206" s="44" t="s">
        <v>3119</v>
      </c>
      <c r="I206" s="44" t="s">
        <v>3928</v>
      </c>
      <c r="J206" s="44" t="s">
        <v>4289</v>
      </c>
      <c r="K206" s="44" t="s">
        <v>4639</v>
      </c>
      <c r="L206" s="44" t="s">
        <v>4970</v>
      </c>
      <c r="M206" s="44" t="s">
        <v>5325</v>
      </c>
      <c r="N206" s="44" t="s">
        <v>5680</v>
      </c>
    </row>
    <row r="207" spans="1:14" x14ac:dyDescent="0.3">
      <c r="A207" s="44" t="s">
        <v>3683</v>
      </c>
      <c r="B207" s="44" t="s">
        <v>963</v>
      </c>
      <c r="C207" s="44" t="s">
        <v>1325</v>
      </c>
      <c r="D207" s="44" t="s">
        <v>1687</v>
      </c>
      <c r="E207" s="44" t="s">
        <v>2049</v>
      </c>
      <c r="F207" s="44" t="s">
        <v>3855</v>
      </c>
      <c r="G207" s="44" t="s">
        <v>2758</v>
      </c>
      <c r="H207" s="44" t="s">
        <v>3120</v>
      </c>
      <c r="I207" s="44" t="s">
        <v>3929</v>
      </c>
      <c r="J207" s="44" t="s">
        <v>4290</v>
      </c>
      <c r="K207" s="44" t="s">
        <v>4640</v>
      </c>
      <c r="L207" s="44" t="s">
        <v>4971</v>
      </c>
      <c r="M207" s="44" t="s">
        <v>5326</v>
      </c>
      <c r="N207" s="44" t="s">
        <v>5681</v>
      </c>
    </row>
    <row r="208" spans="1:14" x14ac:dyDescent="0.3">
      <c r="A208" s="44" t="s">
        <v>3684</v>
      </c>
      <c r="B208" s="44" t="s">
        <v>964</v>
      </c>
      <c r="C208" s="44" t="s">
        <v>1326</v>
      </c>
      <c r="D208" s="44" t="s">
        <v>1688</v>
      </c>
      <c r="E208" s="44" t="s">
        <v>2050</v>
      </c>
      <c r="F208" s="44" t="s">
        <v>3856</v>
      </c>
      <c r="G208" s="44" t="s">
        <v>2759</v>
      </c>
      <c r="H208" s="44" t="s">
        <v>3121</v>
      </c>
      <c r="I208" s="44" t="s">
        <v>3930</v>
      </c>
      <c r="J208" s="44" t="s">
        <v>4291</v>
      </c>
      <c r="K208" s="44" t="s">
        <v>4641</v>
      </c>
      <c r="L208" s="44" t="s">
        <v>4972</v>
      </c>
      <c r="M208" s="44" t="s">
        <v>5327</v>
      </c>
      <c r="N208" s="44" t="s">
        <v>5682</v>
      </c>
    </row>
    <row r="209" spans="1:14" x14ac:dyDescent="0.3">
      <c r="A209" s="44" t="s">
        <v>3685</v>
      </c>
      <c r="B209" s="44" t="s">
        <v>965</v>
      </c>
      <c r="C209" s="44" t="s">
        <v>1327</v>
      </c>
      <c r="D209" s="44" t="s">
        <v>1689</v>
      </c>
      <c r="E209" s="44" t="s">
        <v>2051</v>
      </c>
      <c r="F209" s="44" t="s">
        <v>3857</v>
      </c>
      <c r="G209" s="44" t="s">
        <v>2760</v>
      </c>
      <c r="H209" s="44" t="s">
        <v>3122</v>
      </c>
      <c r="I209" s="44" t="s">
        <v>3931</v>
      </c>
      <c r="J209" s="44" t="s">
        <v>4292</v>
      </c>
      <c r="K209" s="44" t="s">
        <v>4642</v>
      </c>
      <c r="L209" s="44" t="s">
        <v>4973</v>
      </c>
      <c r="M209" s="44" t="s">
        <v>5328</v>
      </c>
      <c r="N209" s="44" t="s">
        <v>5683</v>
      </c>
    </row>
    <row r="210" spans="1:14" x14ac:dyDescent="0.3">
      <c r="A210" s="44" t="s">
        <v>3686</v>
      </c>
      <c r="B210" s="44" t="s">
        <v>966</v>
      </c>
      <c r="C210" s="44" t="s">
        <v>1328</v>
      </c>
      <c r="D210" s="44" t="s">
        <v>1690</v>
      </c>
      <c r="E210" s="44" t="s">
        <v>2052</v>
      </c>
      <c r="F210" s="44" t="s">
        <v>3858</v>
      </c>
      <c r="G210" s="44" t="s">
        <v>2761</v>
      </c>
      <c r="H210" s="44" t="s">
        <v>3123</v>
      </c>
      <c r="I210" s="44" t="s">
        <v>3932</v>
      </c>
      <c r="J210" s="44" t="s">
        <v>4293</v>
      </c>
      <c r="K210" s="44" t="s">
        <v>4643</v>
      </c>
      <c r="L210" s="44" t="s">
        <v>4974</v>
      </c>
      <c r="M210" s="44" t="s">
        <v>5329</v>
      </c>
      <c r="N210" s="44" t="s">
        <v>5684</v>
      </c>
    </row>
    <row r="211" spans="1:14" x14ac:dyDescent="0.3">
      <c r="A211" s="44" t="s">
        <v>3687</v>
      </c>
      <c r="B211" s="44" t="s">
        <v>967</v>
      </c>
      <c r="C211" s="44" t="s">
        <v>1329</v>
      </c>
      <c r="D211" s="44" t="s">
        <v>1691</v>
      </c>
      <c r="E211" s="44" t="s">
        <v>2053</v>
      </c>
      <c r="F211" s="44" t="s">
        <v>3859</v>
      </c>
      <c r="G211" s="44" t="s">
        <v>2762</v>
      </c>
      <c r="H211" s="44" t="s">
        <v>3124</v>
      </c>
      <c r="I211" s="44" t="s">
        <v>3933</v>
      </c>
      <c r="J211" s="44" t="s">
        <v>4294</v>
      </c>
      <c r="K211" s="44" t="s">
        <v>4644</v>
      </c>
      <c r="L211" s="44" t="s">
        <v>4975</v>
      </c>
      <c r="M211" s="44" t="s">
        <v>5330</v>
      </c>
      <c r="N211" s="44" t="s">
        <v>5685</v>
      </c>
    </row>
    <row r="212" spans="1:14" x14ac:dyDescent="0.3">
      <c r="A212" s="44" t="s">
        <v>3688</v>
      </c>
      <c r="B212" s="44" t="s">
        <v>968</v>
      </c>
      <c r="C212" s="44" t="s">
        <v>1330</v>
      </c>
      <c r="D212" s="44" t="s">
        <v>1692</v>
      </c>
      <c r="E212" s="44" t="s">
        <v>2054</v>
      </c>
      <c r="F212" s="44" t="s">
        <v>3860</v>
      </c>
      <c r="G212" s="44" t="s">
        <v>2763</v>
      </c>
      <c r="H212" s="44" t="s">
        <v>3125</v>
      </c>
      <c r="I212" s="44" t="s">
        <v>3934</v>
      </c>
      <c r="J212" s="44" t="s">
        <v>4295</v>
      </c>
      <c r="K212" s="44" t="s">
        <v>4645</v>
      </c>
      <c r="L212" s="44" t="s">
        <v>4976</v>
      </c>
      <c r="M212" s="44" t="s">
        <v>5331</v>
      </c>
      <c r="N212" s="44" t="s">
        <v>5686</v>
      </c>
    </row>
    <row r="213" spans="1:14" x14ac:dyDescent="0.3">
      <c r="A213" s="44" t="s">
        <v>3689</v>
      </c>
      <c r="B213" s="44" t="s">
        <v>969</v>
      </c>
      <c r="C213" s="44" t="s">
        <v>1331</v>
      </c>
      <c r="D213" s="44" t="s">
        <v>1693</v>
      </c>
      <c r="E213" s="44" t="s">
        <v>2055</v>
      </c>
      <c r="F213" s="44" t="s">
        <v>3861</v>
      </c>
      <c r="G213" s="44" t="s">
        <v>2764</v>
      </c>
      <c r="H213" s="44" t="s">
        <v>3126</v>
      </c>
      <c r="I213" s="44" t="s">
        <v>3935</v>
      </c>
      <c r="J213" s="44" t="s">
        <v>4296</v>
      </c>
      <c r="K213" s="44" t="s">
        <v>4646</v>
      </c>
      <c r="L213" s="44" t="s">
        <v>4977</v>
      </c>
      <c r="M213" s="44" t="s">
        <v>5332</v>
      </c>
      <c r="N213" s="44" t="s">
        <v>5687</v>
      </c>
    </row>
    <row r="214" spans="1:14" x14ac:dyDescent="0.3">
      <c r="A214" s="44" t="s">
        <v>3690</v>
      </c>
      <c r="B214" s="44" t="s">
        <v>970</v>
      </c>
      <c r="C214" s="44" t="s">
        <v>1332</v>
      </c>
      <c r="D214" s="44" t="s">
        <v>1694</v>
      </c>
      <c r="E214" s="44" t="s">
        <v>2056</v>
      </c>
      <c r="F214" s="44" t="s">
        <v>2403</v>
      </c>
      <c r="G214" s="44" t="s">
        <v>2765</v>
      </c>
      <c r="H214" s="44" t="s">
        <v>3127</v>
      </c>
      <c r="I214" s="44" t="s">
        <v>3936</v>
      </c>
      <c r="J214" s="44" t="s">
        <v>4297</v>
      </c>
      <c r="K214" s="44" t="s">
        <v>4647</v>
      </c>
      <c r="L214" s="44" t="s">
        <v>4978</v>
      </c>
      <c r="M214" s="44" t="s">
        <v>5333</v>
      </c>
      <c r="N214" s="44" t="s">
        <v>5688</v>
      </c>
    </row>
    <row r="215" spans="1:14" x14ac:dyDescent="0.3">
      <c r="A215" s="44" t="s">
        <v>3691</v>
      </c>
      <c r="B215" s="44" t="s">
        <v>971</v>
      </c>
      <c r="C215" s="44" t="s">
        <v>1333</v>
      </c>
      <c r="D215" s="44" t="s">
        <v>1695</v>
      </c>
      <c r="E215" s="44" t="s">
        <v>2057</v>
      </c>
      <c r="F215" s="44" t="s">
        <v>2404</v>
      </c>
      <c r="G215" s="44" t="s">
        <v>2766</v>
      </c>
      <c r="H215" s="44" t="s">
        <v>3128</v>
      </c>
      <c r="I215" s="44" t="s">
        <v>3937</v>
      </c>
      <c r="J215" s="44" t="s">
        <v>4105</v>
      </c>
      <c r="K215" s="44" t="s">
        <v>3841</v>
      </c>
      <c r="L215" s="44" t="s">
        <v>4979</v>
      </c>
      <c r="M215" s="44" t="s">
        <v>5334</v>
      </c>
      <c r="N215" s="44" t="s">
        <v>5689</v>
      </c>
    </row>
    <row r="216" spans="1:14" x14ac:dyDescent="0.3">
      <c r="A216" s="44" t="s">
        <v>3692</v>
      </c>
      <c r="B216" s="44" t="s">
        <v>972</v>
      </c>
      <c r="C216" s="44" t="s">
        <v>1334</v>
      </c>
      <c r="D216" s="44" t="s">
        <v>1696</v>
      </c>
      <c r="E216" s="44" t="s">
        <v>2058</v>
      </c>
      <c r="F216" s="44" t="s">
        <v>2405</v>
      </c>
      <c r="G216" s="44" t="s">
        <v>2767</v>
      </c>
      <c r="H216" s="44" t="s">
        <v>3129</v>
      </c>
      <c r="I216" s="44" t="s">
        <v>3938</v>
      </c>
      <c r="J216" s="44" t="s">
        <v>4298</v>
      </c>
      <c r="K216" s="44" t="s">
        <v>4648</v>
      </c>
      <c r="L216" s="44" t="s">
        <v>4980</v>
      </c>
      <c r="M216" s="44" t="s">
        <v>5335</v>
      </c>
      <c r="N216" s="44" t="s">
        <v>5690</v>
      </c>
    </row>
    <row r="217" spans="1:14" x14ac:dyDescent="0.3">
      <c r="A217" s="44" t="s">
        <v>3693</v>
      </c>
      <c r="B217" s="44" t="s">
        <v>973</v>
      </c>
      <c r="C217" s="44" t="s">
        <v>1335</v>
      </c>
      <c r="D217" s="44" t="s">
        <v>1697</v>
      </c>
      <c r="E217" s="44" t="s">
        <v>2059</v>
      </c>
      <c r="F217" s="44" t="s">
        <v>2406</v>
      </c>
      <c r="G217" s="44" t="s">
        <v>2768</v>
      </c>
      <c r="H217" s="44" t="s">
        <v>3130</v>
      </c>
      <c r="I217" s="44" t="s">
        <v>3939</v>
      </c>
      <c r="J217" s="44" t="s">
        <v>3869</v>
      </c>
      <c r="K217" s="44" t="s">
        <v>4649</v>
      </c>
      <c r="L217" s="44" t="s">
        <v>4981</v>
      </c>
      <c r="M217" s="44" t="s">
        <v>5336</v>
      </c>
      <c r="N217" s="44" t="s">
        <v>5691</v>
      </c>
    </row>
    <row r="218" spans="1:14" x14ac:dyDescent="0.3">
      <c r="A218" s="44" t="s">
        <v>3694</v>
      </c>
      <c r="B218" s="44" t="s">
        <v>974</v>
      </c>
      <c r="C218" s="44" t="s">
        <v>1336</v>
      </c>
      <c r="D218" s="44" t="s">
        <v>1698</v>
      </c>
      <c r="E218" s="44" t="s">
        <v>2060</v>
      </c>
      <c r="F218" s="44" t="s">
        <v>2407</v>
      </c>
      <c r="G218" s="44" t="s">
        <v>2769</v>
      </c>
      <c r="H218" s="44" t="s">
        <v>3131</v>
      </c>
      <c r="I218" s="44" t="s">
        <v>3940</v>
      </c>
      <c r="J218" s="44" t="s">
        <v>4299</v>
      </c>
      <c r="K218" s="44" t="s">
        <v>4650</v>
      </c>
      <c r="L218" s="44" t="s">
        <v>4982</v>
      </c>
      <c r="M218" s="44" t="s">
        <v>5337</v>
      </c>
      <c r="N218" s="44" t="s">
        <v>5692</v>
      </c>
    </row>
    <row r="219" spans="1:14" x14ac:dyDescent="0.3">
      <c r="A219" s="44" t="s">
        <v>3695</v>
      </c>
      <c r="B219" s="44" t="s">
        <v>975</v>
      </c>
      <c r="C219" s="44" t="s">
        <v>1337</v>
      </c>
      <c r="D219" s="44" t="s">
        <v>1699</v>
      </c>
      <c r="E219" s="44" t="s">
        <v>2061</v>
      </c>
      <c r="F219" s="44" t="s">
        <v>2408</v>
      </c>
      <c r="G219" s="44" t="s">
        <v>2770</v>
      </c>
      <c r="H219" s="44" t="s">
        <v>3132</v>
      </c>
      <c r="I219" s="44" t="s">
        <v>3941</v>
      </c>
      <c r="J219" s="44" t="s">
        <v>4300</v>
      </c>
      <c r="K219" s="44" t="s">
        <v>4651</v>
      </c>
      <c r="L219" s="44" t="s">
        <v>4983</v>
      </c>
      <c r="M219" s="44" t="s">
        <v>5338</v>
      </c>
      <c r="N219" s="44" t="s">
        <v>5693</v>
      </c>
    </row>
    <row r="220" spans="1:14" x14ac:dyDescent="0.3">
      <c r="A220" s="44" t="s">
        <v>3696</v>
      </c>
      <c r="B220" s="44" t="s">
        <v>976</v>
      </c>
      <c r="C220" s="44" t="s">
        <v>1338</v>
      </c>
      <c r="D220" s="44" t="s">
        <v>1700</v>
      </c>
      <c r="E220" s="44" t="s">
        <v>2062</v>
      </c>
      <c r="F220" s="44" t="s">
        <v>2409</v>
      </c>
      <c r="G220" s="44" t="s">
        <v>2771</v>
      </c>
      <c r="H220" s="44" t="s">
        <v>3133</v>
      </c>
      <c r="I220" s="44" t="s">
        <v>3942</v>
      </c>
      <c r="J220" s="44" t="s">
        <v>4301</v>
      </c>
      <c r="K220" s="44" t="s">
        <v>3888</v>
      </c>
      <c r="L220" s="44" t="s">
        <v>4984</v>
      </c>
      <c r="M220" s="44" t="s">
        <v>5339</v>
      </c>
      <c r="N220" s="44" t="s">
        <v>5694</v>
      </c>
    </row>
    <row r="221" spans="1:14" x14ac:dyDescent="0.3">
      <c r="A221" s="44" t="s">
        <v>3697</v>
      </c>
      <c r="B221" s="44" t="s">
        <v>977</v>
      </c>
      <c r="C221" s="44" t="s">
        <v>1339</v>
      </c>
      <c r="D221" s="44" t="s">
        <v>1701</v>
      </c>
      <c r="E221" s="44" t="s">
        <v>2063</v>
      </c>
      <c r="F221" s="44" t="s">
        <v>2410</v>
      </c>
      <c r="G221" s="44" t="s">
        <v>2772</v>
      </c>
      <c r="H221" s="44" t="s">
        <v>3134</v>
      </c>
      <c r="I221" s="44" t="s">
        <v>3943</v>
      </c>
      <c r="J221" s="44" t="s">
        <v>4302</v>
      </c>
      <c r="K221" s="44" t="s">
        <v>4652</v>
      </c>
      <c r="L221" s="44" t="s">
        <v>4985</v>
      </c>
      <c r="M221" s="44" t="s">
        <v>5340</v>
      </c>
      <c r="N221" s="44" t="s">
        <v>5695</v>
      </c>
    </row>
    <row r="222" spans="1:14" x14ac:dyDescent="0.3">
      <c r="A222" s="44" t="s">
        <v>3698</v>
      </c>
      <c r="B222" s="44" t="s">
        <v>978</v>
      </c>
      <c r="C222" s="44" t="s">
        <v>1340</v>
      </c>
      <c r="D222" s="44" t="s">
        <v>1702</v>
      </c>
      <c r="E222" s="44" t="s">
        <v>2064</v>
      </c>
      <c r="F222" s="44" t="s">
        <v>2411</v>
      </c>
      <c r="G222" s="44" t="s">
        <v>2773</v>
      </c>
      <c r="H222" s="44" t="s">
        <v>3135</v>
      </c>
      <c r="I222" s="44" t="s">
        <v>3944</v>
      </c>
      <c r="J222" s="44" t="s">
        <v>4303</v>
      </c>
      <c r="K222" s="44" t="s">
        <v>4653</v>
      </c>
      <c r="L222" s="44" t="s">
        <v>4986</v>
      </c>
      <c r="M222" s="44" t="s">
        <v>5341</v>
      </c>
      <c r="N222" s="44" t="s">
        <v>5696</v>
      </c>
    </row>
    <row r="223" spans="1:14" x14ac:dyDescent="0.3">
      <c r="A223" s="44" t="s">
        <v>3699</v>
      </c>
      <c r="B223" s="44" t="s">
        <v>979</v>
      </c>
      <c r="C223" s="44" t="s">
        <v>1341</v>
      </c>
      <c r="D223" s="44" t="s">
        <v>1703</v>
      </c>
      <c r="E223" s="44" t="s">
        <v>2065</v>
      </c>
      <c r="F223" s="44" t="s">
        <v>2412</v>
      </c>
      <c r="G223" s="44" t="s">
        <v>2774</v>
      </c>
      <c r="H223" s="44" t="s">
        <v>3136</v>
      </c>
      <c r="I223" s="44" t="s">
        <v>3945</v>
      </c>
      <c r="J223" s="44" t="s">
        <v>4304</v>
      </c>
      <c r="K223" s="44" t="s">
        <v>4654</v>
      </c>
      <c r="L223" s="44" t="s">
        <v>4987</v>
      </c>
      <c r="M223" s="44" t="s">
        <v>5342</v>
      </c>
      <c r="N223" s="44" t="s">
        <v>5697</v>
      </c>
    </row>
    <row r="224" spans="1:14" x14ac:dyDescent="0.3">
      <c r="A224" s="44" t="s">
        <v>3700</v>
      </c>
      <c r="B224" s="44" t="s">
        <v>980</v>
      </c>
      <c r="C224" s="44" t="s">
        <v>1342</v>
      </c>
      <c r="D224" s="44" t="s">
        <v>1704</v>
      </c>
      <c r="E224" s="44" t="s">
        <v>2066</v>
      </c>
      <c r="F224" s="44" t="s">
        <v>2413</v>
      </c>
      <c r="G224" s="44" t="s">
        <v>2775</v>
      </c>
      <c r="H224" s="44" t="s">
        <v>3137</v>
      </c>
      <c r="I224" s="44" t="s">
        <v>3946</v>
      </c>
      <c r="J224" s="44" t="s">
        <v>4305</v>
      </c>
      <c r="K224" s="44" t="s">
        <v>4655</v>
      </c>
      <c r="L224" s="44" t="s">
        <v>4988</v>
      </c>
      <c r="M224" s="44" t="s">
        <v>5343</v>
      </c>
      <c r="N224" s="44" t="s">
        <v>5698</v>
      </c>
    </row>
    <row r="225" spans="1:14" x14ac:dyDescent="0.3">
      <c r="A225" s="44" t="s">
        <v>3701</v>
      </c>
      <c r="B225" s="44" t="s">
        <v>981</v>
      </c>
      <c r="C225" s="44" t="s">
        <v>1343</v>
      </c>
      <c r="D225" s="44" t="s">
        <v>1705</v>
      </c>
      <c r="E225" s="44" t="s">
        <v>2067</v>
      </c>
      <c r="F225" s="44" t="s">
        <v>2414</v>
      </c>
      <c r="G225" s="44" t="s">
        <v>2776</v>
      </c>
      <c r="H225" s="44" t="s">
        <v>3138</v>
      </c>
      <c r="I225" s="44" t="s">
        <v>3947</v>
      </c>
      <c r="J225" s="44" t="s">
        <v>4306</v>
      </c>
      <c r="K225" s="44" t="s">
        <v>4656</v>
      </c>
      <c r="L225" s="44" t="s">
        <v>4989</v>
      </c>
      <c r="M225" s="44" t="s">
        <v>5344</v>
      </c>
      <c r="N225" s="44" t="s">
        <v>5699</v>
      </c>
    </row>
    <row r="226" spans="1:14" x14ac:dyDescent="0.3">
      <c r="A226" s="44" t="s">
        <v>3702</v>
      </c>
      <c r="B226" s="44" t="s">
        <v>982</v>
      </c>
      <c r="C226" s="44" t="s">
        <v>1344</v>
      </c>
      <c r="D226" s="44" t="s">
        <v>1706</v>
      </c>
      <c r="E226" s="44" t="s">
        <v>2068</v>
      </c>
      <c r="F226" s="44" t="s">
        <v>2415</v>
      </c>
      <c r="G226" s="44" t="s">
        <v>2777</v>
      </c>
      <c r="H226" s="44" t="s">
        <v>3139</v>
      </c>
      <c r="I226" s="44" t="s">
        <v>3948</v>
      </c>
      <c r="J226" s="44" t="s">
        <v>4106</v>
      </c>
      <c r="K226" s="44" t="s">
        <v>4657</v>
      </c>
      <c r="L226" s="44" t="s">
        <v>4990</v>
      </c>
      <c r="M226" s="44" t="s">
        <v>5345</v>
      </c>
      <c r="N226" s="44" t="s">
        <v>5700</v>
      </c>
    </row>
    <row r="227" spans="1:14" x14ac:dyDescent="0.3">
      <c r="A227" s="44" t="s">
        <v>3703</v>
      </c>
      <c r="B227" s="44" t="s">
        <v>983</v>
      </c>
      <c r="C227" s="44" t="s">
        <v>1345</v>
      </c>
      <c r="D227" s="44" t="s">
        <v>1707</v>
      </c>
      <c r="E227" s="44" t="s">
        <v>2069</v>
      </c>
      <c r="F227" s="44" t="s">
        <v>2416</v>
      </c>
      <c r="G227" s="44" t="s">
        <v>2778</v>
      </c>
      <c r="H227" s="44" t="s">
        <v>3140</v>
      </c>
      <c r="I227" s="44" t="s">
        <v>3949</v>
      </c>
      <c r="J227" s="44" t="s">
        <v>4307</v>
      </c>
      <c r="K227" s="44" t="s">
        <v>4658</v>
      </c>
      <c r="L227" s="44" t="s">
        <v>4991</v>
      </c>
      <c r="M227" s="44" t="s">
        <v>5346</v>
      </c>
      <c r="N227" s="44" t="s">
        <v>5701</v>
      </c>
    </row>
    <row r="228" spans="1:14" x14ac:dyDescent="0.3">
      <c r="A228" s="44" t="s">
        <v>3704</v>
      </c>
      <c r="B228" s="44" t="s">
        <v>984</v>
      </c>
      <c r="C228" s="44" t="s">
        <v>1346</v>
      </c>
      <c r="D228" s="44" t="s">
        <v>1708</v>
      </c>
      <c r="E228" s="44" t="s">
        <v>2070</v>
      </c>
      <c r="F228" s="44" t="s">
        <v>2417</v>
      </c>
      <c r="G228" s="44" t="s">
        <v>2779</v>
      </c>
      <c r="H228" s="44" t="s">
        <v>3141</v>
      </c>
      <c r="I228" s="44" t="s">
        <v>3950</v>
      </c>
      <c r="J228" s="44" t="s">
        <v>4308</v>
      </c>
      <c r="K228" s="44" t="s">
        <v>4659</v>
      </c>
      <c r="L228" s="44" t="s">
        <v>4992</v>
      </c>
      <c r="M228" s="44" t="s">
        <v>5347</v>
      </c>
      <c r="N228" s="44" t="s">
        <v>5702</v>
      </c>
    </row>
    <row r="229" spans="1:14" x14ac:dyDescent="0.3">
      <c r="A229" s="44" t="s">
        <v>3705</v>
      </c>
      <c r="B229" s="44" t="s">
        <v>985</v>
      </c>
      <c r="C229" s="44" t="s">
        <v>1347</v>
      </c>
      <c r="D229" s="44" t="s">
        <v>1709</v>
      </c>
      <c r="E229" s="44" t="s">
        <v>2071</v>
      </c>
      <c r="F229" s="44" t="s">
        <v>2418</v>
      </c>
      <c r="G229" s="44" t="s">
        <v>2780</v>
      </c>
      <c r="H229" s="44" t="s">
        <v>3142</v>
      </c>
      <c r="I229" s="44" t="s">
        <v>3951</v>
      </c>
      <c r="J229" s="44" t="s">
        <v>4309</v>
      </c>
      <c r="K229" s="44" t="s">
        <v>4660</v>
      </c>
      <c r="L229" s="44" t="s">
        <v>4993</v>
      </c>
      <c r="M229" s="44" t="s">
        <v>5348</v>
      </c>
      <c r="N229" s="44" t="s">
        <v>5703</v>
      </c>
    </row>
    <row r="230" spans="1:14" x14ac:dyDescent="0.3">
      <c r="A230" s="44" t="s">
        <v>3706</v>
      </c>
      <c r="B230" s="44" t="s">
        <v>986</v>
      </c>
      <c r="C230" s="44" t="s">
        <v>1348</v>
      </c>
      <c r="D230" s="44" t="s">
        <v>1710</v>
      </c>
      <c r="E230" s="44" t="s">
        <v>2072</v>
      </c>
      <c r="F230" s="44" t="s">
        <v>2419</v>
      </c>
      <c r="G230" s="44" t="s">
        <v>2781</v>
      </c>
      <c r="H230" s="44" t="s">
        <v>3143</v>
      </c>
      <c r="I230" s="44" t="s">
        <v>3952</v>
      </c>
      <c r="J230" s="44" t="s">
        <v>4310</v>
      </c>
      <c r="K230" s="44" t="s">
        <v>4661</v>
      </c>
      <c r="L230" s="44" t="s">
        <v>4994</v>
      </c>
      <c r="M230" s="44" t="s">
        <v>5349</v>
      </c>
      <c r="N230" s="44" t="s">
        <v>5704</v>
      </c>
    </row>
    <row r="231" spans="1:14" x14ac:dyDescent="0.3">
      <c r="A231" s="44" t="s">
        <v>3707</v>
      </c>
      <c r="B231" s="44" t="s">
        <v>987</v>
      </c>
      <c r="C231" s="44" t="s">
        <v>1349</v>
      </c>
      <c r="D231" s="44" t="s">
        <v>1711</v>
      </c>
      <c r="E231" s="44" t="s">
        <v>2073</v>
      </c>
      <c r="F231" s="44" t="s">
        <v>2420</v>
      </c>
      <c r="G231" s="44" t="s">
        <v>2782</v>
      </c>
      <c r="H231" s="44" t="s">
        <v>3144</v>
      </c>
      <c r="I231" s="44" t="s">
        <v>3953</v>
      </c>
      <c r="J231" s="44" t="s">
        <v>4311</v>
      </c>
      <c r="K231" s="44" t="s">
        <v>4662</v>
      </c>
      <c r="L231" s="44" t="s">
        <v>4995</v>
      </c>
      <c r="M231" s="44" t="s">
        <v>3880</v>
      </c>
      <c r="N231" s="44" t="s">
        <v>5705</v>
      </c>
    </row>
    <row r="232" spans="1:14" x14ac:dyDescent="0.3">
      <c r="A232" s="44" t="s">
        <v>3708</v>
      </c>
      <c r="B232" s="44" t="s">
        <v>988</v>
      </c>
      <c r="C232" s="44" t="s">
        <v>1350</v>
      </c>
      <c r="D232" s="44" t="s">
        <v>1712</v>
      </c>
      <c r="E232" s="44" t="s">
        <v>2074</v>
      </c>
      <c r="F232" s="44" t="s">
        <v>2421</v>
      </c>
      <c r="G232" s="44" t="s">
        <v>2783</v>
      </c>
      <c r="H232" s="44" t="s">
        <v>3145</v>
      </c>
      <c r="I232" s="44" t="s">
        <v>3954</v>
      </c>
      <c r="J232" s="44" t="s">
        <v>4312</v>
      </c>
      <c r="K232" s="44" t="s">
        <v>4663</v>
      </c>
      <c r="L232" s="44" t="s">
        <v>4996</v>
      </c>
      <c r="M232" s="44" t="s">
        <v>5350</v>
      </c>
      <c r="N232" s="44" t="s">
        <v>5706</v>
      </c>
    </row>
    <row r="233" spans="1:14" x14ac:dyDescent="0.3">
      <c r="A233" s="44" t="s">
        <v>3709</v>
      </c>
      <c r="B233" s="44" t="s">
        <v>989</v>
      </c>
      <c r="C233" s="44" t="s">
        <v>1351</v>
      </c>
      <c r="D233" s="44" t="s">
        <v>1713</v>
      </c>
      <c r="E233" s="44" t="s">
        <v>2075</v>
      </c>
      <c r="F233" s="44" t="s">
        <v>2422</v>
      </c>
      <c r="G233" s="44" t="s">
        <v>2784</v>
      </c>
      <c r="H233" s="44" t="s">
        <v>3146</v>
      </c>
      <c r="I233" s="44" t="s">
        <v>3955</v>
      </c>
      <c r="J233" s="44" t="s">
        <v>4313</v>
      </c>
      <c r="K233" s="44" t="s">
        <v>4664</v>
      </c>
      <c r="L233" s="44" t="s">
        <v>4997</v>
      </c>
      <c r="M233" s="44" t="s">
        <v>5351</v>
      </c>
      <c r="N233" s="44" t="s">
        <v>5707</v>
      </c>
    </row>
    <row r="234" spans="1:14" x14ac:dyDescent="0.3">
      <c r="A234" s="44" t="s">
        <v>3710</v>
      </c>
      <c r="B234" s="44" t="s">
        <v>990</v>
      </c>
      <c r="C234" s="44" t="s">
        <v>1352</v>
      </c>
      <c r="D234" s="44" t="s">
        <v>1714</v>
      </c>
      <c r="E234" s="44" t="s">
        <v>2076</v>
      </c>
      <c r="F234" s="44" t="s">
        <v>2423</v>
      </c>
      <c r="G234" s="44" t="s">
        <v>2785</v>
      </c>
      <c r="H234" s="44" t="s">
        <v>3147</v>
      </c>
      <c r="I234" s="44" t="s">
        <v>3956</v>
      </c>
      <c r="J234" s="44" t="s">
        <v>4314</v>
      </c>
      <c r="K234" s="44" t="s">
        <v>4665</v>
      </c>
      <c r="L234" s="44" t="s">
        <v>4998</v>
      </c>
      <c r="M234" s="44" t="s">
        <v>5352</v>
      </c>
      <c r="N234" s="44" t="s">
        <v>5708</v>
      </c>
    </row>
    <row r="235" spans="1:14" x14ac:dyDescent="0.3">
      <c r="A235" s="44" t="s">
        <v>3711</v>
      </c>
      <c r="B235" s="44" t="s">
        <v>991</v>
      </c>
      <c r="C235" s="44" t="s">
        <v>1353</v>
      </c>
      <c r="D235" s="44" t="s">
        <v>1715</v>
      </c>
      <c r="E235" s="44" t="s">
        <v>2077</v>
      </c>
      <c r="F235" s="44" t="s">
        <v>2424</v>
      </c>
      <c r="G235" s="44" t="s">
        <v>2786</v>
      </c>
      <c r="H235" s="44" t="s">
        <v>3148</v>
      </c>
      <c r="I235" s="44" t="s">
        <v>3957</v>
      </c>
      <c r="J235" s="44" t="s">
        <v>4315</v>
      </c>
      <c r="K235" s="44" t="s">
        <v>4666</v>
      </c>
      <c r="L235" s="44" t="s">
        <v>4999</v>
      </c>
      <c r="M235" s="44" t="s">
        <v>5353</v>
      </c>
      <c r="N235" s="44" t="s">
        <v>3899</v>
      </c>
    </row>
    <row r="236" spans="1:14" x14ac:dyDescent="0.3">
      <c r="A236" s="44" t="s">
        <v>3712</v>
      </c>
      <c r="B236" s="44" t="s">
        <v>992</v>
      </c>
      <c r="C236" s="44" t="s">
        <v>1354</v>
      </c>
      <c r="D236" s="44" t="s">
        <v>1716</v>
      </c>
      <c r="E236" s="44" t="s">
        <v>2078</v>
      </c>
      <c r="F236" s="44" t="s">
        <v>2425</v>
      </c>
      <c r="G236" s="44" t="s">
        <v>2787</v>
      </c>
      <c r="H236" s="44" t="s">
        <v>3149</v>
      </c>
      <c r="I236" s="44" t="s">
        <v>3958</v>
      </c>
      <c r="J236" s="44" t="s">
        <v>4316</v>
      </c>
      <c r="K236" s="44" t="s">
        <v>4667</v>
      </c>
      <c r="L236" s="44" t="s">
        <v>5000</v>
      </c>
      <c r="M236" s="44" t="s">
        <v>5354</v>
      </c>
      <c r="N236" s="44" t="s">
        <v>5709</v>
      </c>
    </row>
    <row r="237" spans="1:14" x14ac:dyDescent="0.3">
      <c r="A237" s="44" t="s">
        <v>3713</v>
      </c>
      <c r="B237" s="44" t="s">
        <v>993</v>
      </c>
      <c r="C237" s="44" t="s">
        <v>1355</v>
      </c>
      <c r="D237" s="44" t="s">
        <v>1717</v>
      </c>
      <c r="E237" s="44" t="s">
        <v>2079</v>
      </c>
      <c r="F237" s="44" t="s">
        <v>2426</v>
      </c>
      <c r="G237" s="44" t="s">
        <v>2788</v>
      </c>
      <c r="H237" s="44" t="s">
        <v>3150</v>
      </c>
      <c r="I237" s="44" t="s">
        <v>3881</v>
      </c>
      <c r="J237" s="44" t="s">
        <v>4107</v>
      </c>
      <c r="K237" s="44" t="s">
        <v>4668</v>
      </c>
      <c r="L237" s="44" t="s">
        <v>5001</v>
      </c>
      <c r="M237" s="44" t="s">
        <v>5355</v>
      </c>
      <c r="N237" s="44" t="s">
        <v>5710</v>
      </c>
    </row>
    <row r="238" spans="1:14" x14ac:dyDescent="0.3">
      <c r="A238" s="44" t="s">
        <v>3714</v>
      </c>
      <c r="B238" s="44" t="s">
        <v>994</v>
      </c>
      <c r="C238" s="44" t="s">
        <v>1356</v>
      </c>
      <c r="D238" s="44" t="s">
        <v>1718</v>
      </c>
      <c r="E238" s="44" t="s">
        <v>2080</v>
      </c>
      <c r="F238" s="44" t="s">
        <v>2427</v>
      </c>
      <c r="G238" s="44" t="s">
        <v>2789</v>
      </c>
      <c r="H238" s="44" t="s">
        <v>3151</v>
      </c>
      <c r="I238" s="44" t="s">
        <v>3959</v>
      </c>
      <c r="J238" s="44" t="s">
        <v>4317</v>
      </c>
      <c r="K238" s="44" t="s">
        <v>4669</v>
      </c>
      <c r="L238" s="44" t="s">
        <v>5002</v>
      </c>
      <c r="M238" s="44" t="s">
        <v>5356</v>
      </c>
      <c r="N238" s="44" t="s">
        <v>5711</v>
      </c>
    </row>
    <row r="239" spans="1:14" x14ac:dyDescent="0.3">
      <c r="A239" s="44" t="s">
        <v>3715</v>
      </c>
      <c r="B239" s="44" t="s">
        <v>995</v>
      </c>
      <c r="C239" s="44" t="s">
        <v>1357</v>
      </c>
      <c r="D239" s="44" t="s">
        <v>1719</v>
      </c>
      <c r="E239" s="44" t="s">
        <v>2081</v>
      </c>
      <c r="F239" s="44" t="s">
        <v>2428</v>
      </c>
      <c r="G239" s="44" t="s">
        <v>2790</v>
      </c>
      <c r="H239" s="44" t="s">
        <v>3152</v>
      </c>
      <c r="I239" s="44" t="s">
        <v>3960</v>
      </c>
      <c r="J239" s="44" t="s">
        <v>4318</v>
      </c>
      <c r="K239" s="44" t="s">
        <v>4670</v>
      </c>
      <c r="L239" s="44" t="s">
        <v>5003</v>
      </c>
      <c r="M239" s="44" t="s">
        <v>5357</v>
      </c>
      <c r="N239" s="44" t="s">
        <v>5712</v>
      </c>
    </row>
    <row r="240" spans="1:14" x14ac:dyDescent="0.3">
      <c r="A240" s="44" t="s">
        <v>3716</v>
      </c>
      <c r="B240" s="44" t="s">
        <v>996</v>
      </c>
      <c r="C240" s="44" t="s">
        <v>1358</v>
      </c>
      <c r="D240" s="44" t="s">
        <v>1720</v>
      </c>
      <c r="E240" s="44" t="s">
        <v>2082</v>
      </c>
      <c r="F240" s="44" t="s">
        <v>2429</v>
      </c>
      <c r="G240" s="44" t="s">
        <v>2791</v>
      </c>
      <c r="H240" s="44" t="s">
        <v>3153</v>
      </c>
      <c r="I240" s="44" t="s">
        <v>3961</v>
      </c>
      <c r="J240" s="44" t="s">
        <v>4319</v>
      </c>
      <c r="K240" s="44" t="s">
        <v>4671</v>
      </c>
      <c r="L240" s="44" t="s">
        <v>5004</v>
      </c>
      <c r="M240" s="44" t="s">
        <v>5358</v>
      </c>
      <c r="N240" s="44" t="s">
        <v>3842</v>
      </c>
    </row>
    <row r="241" spans="1:14" x14ac:dyDescent="0.3">
      <c r="A241" s="44" t="s">
        <v>3717</v>
      </c>
      <c r="B241" s="44" t="s">
        <v>997</v>
      </c>
      <c r="C241" s="44" t="s">
        <v>1359</v>
      </c>
      <c r="D241" s="44" t="s">
        <v>1721</v>
      </c>
      <c r="E241" s="44" t="s">
        <v>2083</v>
      </c>
      <c r="F241" s="44" t="s">
        <v>2430</v>
      </c>
      <c r="G241" s="44" t="s">
        <v>2792</v>
      </c>
      <c r="H241" s="44" t="s">
        <v>3154</v>
      </c>
      <c r="I241" s="44" t="s">
        <v>3962</v>
      </c>
      <c r="J241" s="44" t="s">
        <v>4320</v>
      </c>
      <c r="K241" s="44" t="s">
        <v>4672</v>
      </c>
      <c r="L241" s="44" t="s">
        <v>5005</v>
      </c>
      <c r="M241" s="44" t="s">
        <v>5359</v>
      </c>
      <c r="N241" s="44" t="s">
        <v>5713</v>
      </c>
    </row>
    <row r="242" spans="1:14" x14ac:dyDescent="0.3">
      <c r="A242" s="44" t="s">
        <v>3718</v>
      </c>
      <c r="B242" s="44" t="s">
        <v>998</v>
      </c>
      <c r="C242" s="44" t="s">
        <v>1360</v>
      </c>
      <c r="D242" s="44" t="s">
        <v>1722</v>
      </c>
      <c r="E242" s="44" t="s">
        <v>2084</v>
      </c>
      <c r="F242" s="44" t="s">
        <v>2431</v>
      </c>
      <c r="G242" s="44" t="s">
        <v>2793</v>
      </c>
      <c r="H242" s="44" t="s">
        <v>3155</v>
      </c>
      <c r="I242" s="44" t="s">
        <v>3963</v>
      </c>
      <c r="J242" s="44" t="s">
        <v>4321</v>
      </c>
      <c r="K242" s="44" t="s">
        <v>4673</v>
      </c>
      <c r="L242" s="44" t="s">
        <v>5006</v>
      </c>
      <c r="M242" s="44" t="s">
        <v>5360</v>
      </c>
      <c r="N242" s="44" t="s">
        <v>5714</v>
      </c>
    </row>
    <row r="243" spans="1:14" x14ac:dyDescent="0.3">
      <c r="A243" s="44" t="s">
        <v>3719</v>
      </c>
      <c r="B243" s="44" t="s">
        <v>999</v>
      </c>
      <c r="C243" s="44" t="s">
        <v>1361</v>
      </c>
      <c r="D243" s="44" t="s">
        <v>1723</v>
      </c>
      <c r="E243" s="44" t="s">
        <v>2085</v>
      </c>
      <c r="F243" s="44" t="s">
        <v>2432</v>
      </c>
      <c r="G243" s="44" t="s">
        <v>2794</v>
      </c>
      <c r="H243" s="44" t="s">
        <v>3156</v>
      </c>
      <c r="I243" s="44" t="s">
        <v>3964</v>
      </c>
      <c r="J243" s="44" t="s">
        <v>4322</v>
      </c>
      <c r="K243" s="44" t="s">
        <v>4674</v>
      </c>
      <c r="L243" s="44" t="s">
        <v>5007</v>
      </c>
      <c r="M243" s="44" t="s">
        <v>5361</v>
      </c>
      <c r="N243" s="44" t="s">
        <v>5715</v>
      </c>
    </row>
    <row r="244" spans="1:14" x14ac:dyDescent="0.3">
      <c r="A244" s="44" t="s">
        <v>3720</v>
      </c>
      <c r="B244" s="44" t="s">
        <v>1000</v>
      </c>
      <c r="C244" s="44" t="s">
        <v>1362</v>
      </c>
      <c r="D244" s="44" t="s">
        <v>1724</v>
      </c>
      <c r="E244" s="44" t="s">
        <v>2086</v>
      </c>
      <c r="F244" s="44" t="s">
        <v>2433</v>
      </c>
      <c r="G244" s="44" t="s">
        <v>2795</v>
      </c>
      <c r="H244" s="44" t="s">
        <v>3157</v>
      </c>
      <c r="I244" s="44" t="s">
        <v>3965</v>
      </c>
      <c r="J244" s="44" t="s">
        <v>4323</v>
      </c>
      <c r="K244" s="44" t="s">
        <v>4675</v>
      </c>
      <c r="L244" s="44" t="s">
        <v>5008</v>
      </c>
      <c r="M244" s="44" t="s">
        <v>5362</v>
      </c>
      <c r="N244" s="44" t="s">
        <v>5716</v>
      </c>
    </row>
    <row r="245" spans="1:14" x14ac:dyDescent="0.3">
      <c r="A245" s="44" t="s">
        <v>3721</v>
      </c>
      <c r="B245" s="44" t="s">
        <v>1001</v>
      </c>
      <c r="C245" s="44" t="s">
        <v>1363</v>
      </c>
      <c r="D245" s="44" t="s">
        <v>1725</v>
      </c>
      <c r="E245" s="44" t="s">
        <v>2087</v>
      </c>
      <c r="F245" s="44" t="s">
        <v>2434</v>
      </c>
      <c r="G245" s="44" t="s">
        <v>2796</v>
      </c>
      <c r="H245" s="44" t="s">
        <v>3158</v>
      </c>
      <c r="I245" s="44" t="s">
        <v>3966</v>
      </c>
      <c r="J245" s="44" t="s">
        <v>4324</v>
      </c>
      <c r="K245" s="44" t="s">
        <v>4676</v>
      </c>
      <c r="L245" s="44" t="s">
        <v>5009</v>
      </c>
      <c r="M245" s="44" t="s">
        <v>5363</v>
      </c>
      <c r="N245" s="44" t="s">
        <v>5717</v>
      </c>
    </row>
    <row r="246" spans="1:14" x14ac:dyDescent="0.3">
      <c r="A246" s="44" t="s">
        <v>3722</v>
      </c>
      <c r="B246" s="44" t="s">
        <v>1002</v>
      </c>
      <c r="C246" s="44" t="s">
        <v>1364</v>
      </c>
      <c r="D246" s="44" t="s">
        <v>1726</v>
      </c>
      <c r="E246" s="44" t="s">
        <v>2088</v>
      </c>
      <c r="F246" s="44" t="s">
        <v>2435</v>
      </c>
      <c r="G246" s="44" t="s">
        <v>2797</v>
      </c>
      <c r="H246" s="44" t="s">
        <v>3159</v>
      </c>
      <c r="I246" s="44" t="s">
        <v>3967</v>
      </c>
      <c r="J246" s="44" t="s">
        <v>4325</v>
      </c>
      <c r="K246" s="44" t="s">
        <v>4677</v>
      </c>
      <c r="L246" s="44" t="s">
        <v>5010</v>
      </c>
      <c r="M246" s="44" t="s">
        <v>5364</v>
      </c>
      <c r="N246" s="44" t="s">
        <v>5718</v>
      </c>
    </row>
    <row r="247" spans="1:14" x14ac:dyDescent="0.3">
      <c r="A247" s="44" t="s">
        <v>3723</v>
      </c>
      <c r="B247" s="44" t="s">
        <v>1003</v>
      </c>
      <c r="C247" s="44" t="s">
        <v>1365</v>
      </c>
      <c r="D247" s="44" t="s">
        <v>1727</v>
      </c>
      <c r="E247" s="44" t="s">
        <v>2089</v>
      </c>
      <c r="F247" s="44" t="s">
        <v>2436</v>
      </c>
      <c r="G247" s="44" t="s">
        <v>2798</v>
      </c>
      <c r="H247" s="44" t="s">
        <v>3160</v>
      </c>
      <c r="I247" s="44" t="s">
        <v>3968</v>
      </c>
      <c r="J247" s="44" t="s">
        <v>4326</v>
      </c>
      <c r="K247" s="44" t="s">
        <v>4678</v>
      </c>
      <c r="L247" s="44" t="s">
        <v>5011</v>
      </c>
      <c r="M247" s="44" t="s">
        <v>5365</v>
      </c>
      <c r="N247" s="44" t="s">
        <v>5719</v>
      </c>
    </row>
    <row r="248" spans="1:14" x14ac:dyDescent="0.3">
      <c r="A248" s="44" t="s">
        <v>3724</v>
      </c>
      <c r="B248" s="44" t="s">
        <v>1004</v>
      </c>
      <c r="C248" s="44" t="s">
        <v>1366</v>
      </c>
      <c r="D248" s="44" t="s">
        <v>1728</v>
      </c>
      <c r="E248" s="44" t="s">
        <v>2090</v>
      </c>
      <c r="F248" s="44" t="s">
        <v>2437</v>
      </c>
      <c r="G248" s="44" t="s">
        <v>2799</v>
      </c>
      <c r="H248" s="44" t="s">
        <v>3161</v>
      </c>
      <c r="I248" s="44" t="s">
        <v>3969</v>
      </c>
      <c r="J248" s="44" t="s">
        <v>4108</v>
      </c>
      <c r="K248" s="44" t="s">
        <v>4679</v>
      </c>
      <c r="L248" s="44" t="s">
        <v>5012</v>
      </c>
      <c r="M248" s="44" t="s">
        <v>5366</v>
      </c>
      <c r="N248" s="44" t="s">
        <v>5720</v>
      </c>
    </row>
    <row r="249" spans="1:14" x14ac:dyDescent="0.3">
      <c r="A249" s="44" t="s">
        <v>3725</v>
      </c>
      <c r="B249" s="44" t="s">
        <v>1005</v>
      </c>
      <c r="C249" s="44" t="s">
        <v>1367</v>
      </c>
      <c r="D249" s="44" t="s">
        <v>1729</v>
      </c>
      <c r="E249" s="44" t="s">
        <v>2091</v>
      </c>
      <c r="F249" s="44" t="s">
        <v>2438</v>
      </c>
      <c r="G249" s="44" t="s">
        <v>2800</v>
      </c>
      <c r="H249" s="44" t="s">
        <v>3162</v>
      </c>
      <c r="I249" s="44" t="s">
        <v>3970</v>
      </c>
      <c r="J249" s="44" t="s">
        <v>4327</v>
      </c>
      <c r="K249" s="44" t="s">
        <v>4680</v>
      </c>
      <c r="L249" s="44" t="s">
        <v>5013</v>
      </c>
      <c r="M249" s="44" t="s">
        <v>5367</v>
      </c>
      <c r="N249" s="44" t="s">
        <v>5721</v>
      </c>
    </row>
    <row r="250" spans="1:14" x14ac:dyDescent="0.3">
      <c r="A250" s="44" t="s">
        <v>3726</v>
      </c>
      <c r="B250" s="44" t="s">
        <v>1006</v>
      </c>
      <c r="C250" s="44" t="s">
        <v>1368</v>
      </c>
      <c r="D250" s="44" t="s">
        <v>1730</v>
      </c>
      <c r="E250" s="44" t="s">
        <v>2092</v>
      </c>
      <c r="F250" s="44" t="s">
        <v>2439</v>
      </c>
      <c r="G250" s="44" t="s">
        <v>2801</v>
      </c>
      <c r="H250" s="44" t="s">
        <v>3163</v>
      </c>
      <c r="I250" s="44" t="s">
        <v>3971</v>
      </c>
      <c r="J250" s="44" t="s">
        <v>4328</v>
      </c>
      <c r="K250" s="44" t="s">
        <v>4681</v>
      </c>
      <c r="L250" s="44" t="s">
        <v>5014</v>
      </c>
      <c r="M250" s="44" t="s">
        <v>5368</v>
      </c>
      <c r="N250" s="44" t="s">
        <v>5722</v>
      </c>
    </row>
    <row r="251" spans="1:14" x14ac:dyDescent="0.3">
      <c r="A251" s="44" t="s">
        <v>3727</v>
      </c>
      <c r="B251" s="44" t="s">
        <v>1007</v>
      </c>
      <c r="C251" s="44" t="s">
        <v>1369</v>
      </c>
      <c r="D251" s="44" t="s">
        <v>1731</v>
      </c>
      <c r="E251" s="44" t="s">
        <v>2093</v>
      </c>
      <c r="F251" s="44" t="s">
        <v>2440</v>
      </c>
      <c r="G251" s="44" t="s">
        <v>2802</v>
      </c>
      <c r="H251" s="44" t="s">
        <v>3164</v>
      </c>
      <c r="I251" s="44" t="s">
        <v>3972</v>
      </c>
      <c r="J251" s="44" t="s">
        <v>4329</v>
      </c>
      <c r="K251" s="44" t="s">
        <v>4682</v>
      </c>
      <c r="L251" s="44" t="s">
        <v>5015</v>
      </c>
      <c r="M251" s="44" t="s">
        <v>5369</v>
      </c>
      <c r="N251" s="44" t="s">
        <v>5723</v>
      </c>
    </row>
    <row r="252" spans="1:14" x14ac:dyDescent="0.3">
      <c r="A252" s="44" t="s">
        <v>3728</v>
      </c>
      <c r="B252" s="44" t="s">
        <v>1008</v>
      </c>
      <c r="C252" s="44" t="s">
        <v>1370</v>
      </c>
      <c r="D252" s="44" t="s">
        <v>1732</v>
      </c>
      <c r="E252" s="44" t="s">
        <v>2094</v>
      </c>
      <c r="F252" s="44" t="s">
        <v>2441</v>
      </c>
      <c r="G252" s="44" t="s">
        <v>2803</v>
      </c>
      <c r="H252" s="44" t="s">
        <v>3165</v>
      </c>
      <c r="I252" s="44" t="s">
        <v>3973</v>
      </c>
      <c r="J252" s="44" t="s">
        <v>4330</v>
      </c>
      <c r="K252" s="44" t="s">
        <v>4683</v>
      </c>
      <c r="L252" s="44" t="s">
        <v>3892</v>
      </c>
      <c r="M252" s="44" t="s">
        <v>5370</v>
      </c>
      <c r="N252" s="44" t="s">
        <v>5724</v>
      </c>
    </row>
    <row r="253" spans="1:14" x14ac:dyDescent="0.3">
      <c r="A253" s="44" t="s">
        <v>3729</v>
      </c>
      <c r="B253" s="44" t="s">
        <v>1009</v>
      </c>
      <c r="C253" s="44" t="s">
        <v>1371</v>
      </c>
      <c r="D253" s="44" t="s">
        <v>1733</v>
      </c>
      <c r="E253" s="44" t="s">
        <v>2095</v>
      </c>
      <c r="F253" s="44" t="s">
        <v>2442</v>
      </c>
      <c r="G253" s="44" t="s">
        <v>2804</v>
      </c>
      <c r="H253" s="44" t="s">
        <v>3166</v>
      </c>
      <c r="I253" s="44" t="s">
        <v>3974</v>
      </c>
      <c r="J253" s="44" t="s">
        <v>4331</v>
      </c>
      <c r="K253" s="44" t="s">
        <v>4684</v>
      </c>
      <c r="L253" s="44" t="s">
        <v>5016</v>
      </c>
      <c r="M253" s="44" t="s">
        <v>5371</v>
      </c>
      <c r="N253" s="44" t="s">
        <v>5725</v>
      </c>
    </row>
    <row r="254" spans="1:14" x14ac:dyDescent="0.3">
      <c r="A254" s="44" t="s">
        <v>3730</v>
      </c>
      <c r="B254" s="44" t="s">
        <v>1010</v>
      </c>
      <c r="C254" s="44" t="s">
        <v>1372</v>
      </c>
      <c r="D254" s="44" t="s">
        <v>1734</v>
      </c>
      <c r="E254" s="44" t="s">
        <v>2096</v>
      </c>
      <c r="F254" s="44" t="s">
        <v>2443</v>
      </c>
      <c r="G254" s="44" t="s">
        <v>2805</v>
      </c>
      <c r="H254" s="44" t="s">
        <v>3167</v>
      </c>
      <c r="I254" s="44" t="s">
        <v>3975</v>
      </c>
      <c r="J254" s="44" t="s">
        <v>4332</v>
      </c>
      <c r="K254" s="44" t="s">
        <v>4685</v>
      </c>
      <c r="L254" s="44" t="s">
        <v>5017</v>
      </c>
      <c r="M254" s="44" t="s">
        <v>5372</v>
      </c>
      <c r="N254" s="44" t="s">
        <v>5726</v>
      </c>
    </row>
    <row r="255" spans="1:14" x14ac:dyDescent="0.3">
      <c r="A255" s="44" t="s">
        <v>3731</v>
      </c>
      <c r="B255" s="44" t="s">
        <v>1011</v>
      </c>
      <c r="C255" s="44" t="s">
        <v>1373</v>
      </c>
      <c r="D255" s="44" t="s">
        <v>1735</v>
      </c>
      <c r="E255" s="44" t="s">
        <v>2097</v>
      </c>
      <c r="F255" s="44" t="s">
        <v>2444</v>
      </c>
      <c r="G255" s="44" t="s">
        <v>2806</v>
      </c>
      <c r="H255" s="44" t="s">
        <v>3168</v>
      </c>
      <c r="I255" s="44" t="s">
        <v>3976</v>
      </c>
      <c r="J255" s="44" t="s">
        <v>4333</v>
      </c>
      <c r="K255" s="44" t="s">
        <v>3864</v>
      </c>
      <c r="L255" s="44" t="s">
        <v>5018</v>
      </c>
      <c r="M255" s="44" t="s">
        <v>5373</v>
      </c>
      <c r="N255" s="44" t="s">
        <v>5727</v>
      </c>
    </row>
    <row r="256" spans="1:14" x14ac:dyDescent="0.3">
      <c r="A256" s="44" t="s">
        <v>3732</v>
      </c>
      <c r="B256" s="44" t="s">
        <v>1012</v>
      </c>
      <c r="C256" s="44" t="s">
        <v>1374</v>
      </c>
      <c r="D256" s="44" t="s">
        <v>1736</v>
      </c>
      <c r="E256" s="44" t="s">
        <v>2098</v>
      </c>
      <c r="F256" s="44" t="s">
        <v>2445</v>
      </c>
      <c r="G256" s="44" t="s">
        <v>2807</v>
      </c>
      <c r="H256" s="44" t="s">
        <v>3169</v>
      </c>
      <c r="I256" s="44" t="s">
        <v>3977</v>
      </c>
      <c r="J256" s="44" t="s">
        <v>4334</v>
      </c>
      <c r="K256" s="44" t="s">
        <v>4686</v>
      </c>
      <c r="L256" s="44" t="s">
        <v>5019</v>
      </c>
      <c r="M256" s="44" t="s">
        <v>5374</v>
      </c>
      <c r="N256" s="44" t="s">
        <v>5728</v>
      </c>
    </row>
    <row r="257" spans="1:14" x14ac:dyDescent="0.3">
      <c r="A257" s="44" t="s">
        <v>3733</v>
      </c>
      <c r="B257" s="44" t="s">
        <v>1013</v>
      </c>
      <c r="C257" s="44" t="s">
        <v>1375</v>
      </c>
      <c r="D257" s="44" t="s">
        <v>1737</v>
      </c>
      <c r="E257" s="44" t="s">
        <v>2099</v>
      </c>
      <c r="F257" s="44" t="s">
        <v>2446</v>
      </c>
      <c r="G257" s="44" t="s">
        <v>2808</v>
      </c>
      <c r="H257" s="44" t="s">
        <v>3170</v>
      </c>
      <c r="I257" s="44" t="s">
        <v>3978</v>
      </c>
      <c r="J257" s="44" t="s">
        <v>4335</v>
      </c>
      <c r="K257" s="44" t="s">
        <v>4687</v>
      </c>
      <c r="L257" s="44" t="s">
        <v>5020</v>
      </c>
      <c r="M257" s="44" t="s">
        <v>5375</v>
      </c>
      <c r="N257" s="44" t="s">
        <v>5729</v>
      </c>
    </row>
    <row r="258" spans="1:14" x14ac:dyDescent="0.3">
      <c r="A258" s="44" t="s">
        <v>3734</v>
      </c>
      <c r="B258" s="44" t="s">
        <v>1014</v>
      </c>
      <c r="C258" s="44" t="s">
        <v>1376</v>
      </c>
      <c r="D258" s="44" t="s">
        <v>1738</v>
      </c>
      <c r="E258" s="44" t="s">
        <v>2100</v>
      </c>
      <c r="F258" s="44" t="s">
        <v>2447</v>
      </c>
      <c r="G258" s="44" t="s">
        <v>2809</v>
      </c>
      <c r="H258" s="44" t="s">
        <v>3171</v>
      </c>
      <c r="I258" s="44" t="s">
        <v>3979</v>
      </c>
      <c r="J258" s="44" t="s">
        <v>4336</v>
      </c>
      <c r="K258" s="44" t="s">
        <v>4688</v>
      </c>
      <c r="L258" s="44" t="s">
        <v>5021</v>
      </c>
      <c r="M258" s="44" t="s">
        <v>5376</v>
      </c>
      <c r="N258" s="44" t="s">
        <v>5730</v>
      </c>
    </row>
    <row r="259" spans="1:14" x14ac:dyDescent="0.3">
      <c r="A259" s="44" t="s">
        <v>3735</v>
      </c>
      <c r="B259" s="44" t="s">
        <v>1015</v>
      </c>
      <c r="C259" s="44" t="s">
        <v>1377</v>
      </c>
      <c r="D259" s="44" t="s">
        <v>1739</v>
      </c>
      <c r="E259" s="44" t="s">
        <v>2101</v>
      </c>
      <c r="F259" s="44" t="s">
        <v>2448</v>
      </c>
      <c r="G259" s="44" t="s">
        <v>2810</v>
      </c>
      <c r="H259" s="44" t="s">
        <v>3172</v>
      </c>
      <c r="I259" s="44" t="s">
        <v>3980</v>
      </c>
      <c r="J259" s="44" t="s">
        <v>4109</v>
      </c>
      <c r="K259" s="44" t="s">
        <v>4689</v>
      </c>
      <c r="L259" s="44" t="s">
        <v>5022</v>
      </c>
      <c r="M259" s="44" t="s">
        <v>5377</v>
      </c>
      <c r="N259" s="44" t="s">
        <v>5731</v>
      </c>
    </row>
    <row r="260" spans="1:14" x14ac:dyDescent="0.3">
      <c r="A260" s="44" t="s">
        <v>3736</v>
      </c>
      <c r="B260" s="44" t="s">
        <v>1016</v>
      </c>
      <c r="C260" s="44" t="s">
        <v>1378</v>
      </c>
      <c r="D260" s="44" t="s">
        <v>1740</v>
      </c>
      <c r="E260" s="44" t="s">
        <v>2102</v>
      </c>
      <c r="F260" s="44" t="s">
        <v>2449</v>
      </c>
      <c r="G260" s="44" t="s">
        <v>2811</v>
      </c>
      <c r="H260" s="44" t="s">
        <v>3173</v>
      </c>
      <c r="I260" s="44" t="s">
        <v>3981</v>
      </c>
      <c r="J260" s="44" t="s">
        <v>4337</v>
      </c>
      <c r="K260" s="44" t="s">
        <v>4690</v>
      </c>
      <c r="L260" s="44" t="s">
        <v>5023</v>
      </c>
      <c r="M260" s="44" t="s">
        <v>5378</v>
      </c>
      <c r="N260" s="44" t="s">
        <v>5732</v>
      </c>
    </row>
    <row r="261" spans="1:14" x14ac:dyDescent="0.3">
      <c r="A261" s="44" t="s">
        <v>3737</v>
      </c>
      <c r="B261" s="44" t="s">
        <v>1017</v>
      </c>
      <c r="C261" s="44" t="s">
        <v>1379</v>
      </c>
      <c r="D261" s="44" t="s">
        <v>1741</v>
      </c>
      <c r="E261" s="44" t="s">
        <v>2103</v>
      </c>
      <c r="F261" s="44" t="s">
        <v>2450</v>
      </c>
      <c r="G261" s="44" t="s">
        <v>2812</v>
      </c>
      <c r="H261" s="44" t="s">
        <v>3174</v>
      </c>
      <c r="I261" s="44" t="s">
        <v>3982</v>
      </c>
      <c r="J261" s="44" t="s">
        <v>4338</v>
      </c>
      <c r="K261" s="44" t="s">
        <v>4691</v>
      </c>
      <c r="L261" s="44" t="s">
        <v>5024</v>
      </c>
      <c r="M261" s="44" t="s">
        <v>5379</v>
      </c>
      <c r="N261" s="44" t="s">
        <v>5733</v>
      </c>
    </row>
    <row r="262" spans="1:14" x14ac:dyDescent="0.3">
      <c r="A262" s="44" t="s">
        <v>3738</v>
      </c>
      <c r="B262" s="44" t="s">
        <v>1018</v>
      </c>
      <c r="C262" s="44" t="s">
        <v>1380</v>
      </c>
      <c r="D262" s="44" t="s">
        <v>1742</v>
      </c>
      <c r="E262" s="44" t="s">
        <v>2104</v>
      </c>
      <c r="F262" s="44" t="s">
        <v>2451</v>
      </c>
      <c r="G262" s="44" t="s">
        <v>2813</v>
      </c>
      <c r="H262" s="44" t="s">
        <v>3175</v>
      </c>
      <c r="I262" s="44" t="s">
        <v>3983</v>
      </c>
      <c r="J262" s="44" t="s">
        <v>4339</v>
      </c>
      <c r="K262" s="44" t="s">
        <v>4692</v>
      </c>
      <c r="L262" s="44" t="s">
        <v>5025</v>
      </c>
      <c r="M262" s="44" t="s">
        <v>5380</v>
      </c>
      <c r="N262" s="44" t="s">
        <v>5734</v>
      </c>
    </row>
    <row r="263" spans="1:14" x14ac:dyDescent="0.3">
      <c r="A263" s="44" t="s">
        <v>3739</v>
      </c>
      <c r="B263" s="44" t="s">
        <v>1019</v>
      </c>
      <c r="C263" s="44" t="s">
        <v>1381</v>
      </c>
      <c r="D263" s="44" t="s">
        <v>1743</v>
      </c>
      <c r="E263" s="44" t="s">
        <v>2105</v>
      </c>
      <c r="F263" s="44" t="s">
        <v>2452</v>
      </c>
      <c r="G263" s="44" t="s">
        <v>2814</v>
      </c>
      <c r="H263" s="44" t="s">
        <v>3176</v>
      </c>
      <c r="I263" s="44" t="s">
        <v>3984</v>
      </c>
      <c r="J263" s="44" t="s">
        <v>4340</v>
      </c>
      <c r="K263" s="44" t="s">
        <v>4693</v>
      </c>
      <c r="L263" s="44" t="s">
        <v>5026</v>
      </c>
      <c r="M263" s="44" t="s">
        <v>5381</v>
      </c>
      <c r="N263" s="44" t="s">
        <v>5735</v>
      </c>
    </row>
    <row r="264" spans="1:14" x14ac:dyDescent="0.3">
      <c r="A264" s="44" t="s">
        <v>3740</v>
      </c>
      <c r="B264" s="44" t="s">
        <v>1020</v>
      </c>
      <c r="C264" s="44" t="s">
        <v>1382</v>
      </c>
      <c r="D264" s="44" t="s">
        <v>1744</v>
      </c>
      <c r="E264" s="44" t="s">
        <v>2106</v>
      </c>
      <c r="F264" s="44" t="s">
        <v>2453</v>
      </c>
      <c r="G264" s="44" t="s">
        <v>2815</v>
      </c>
      <c r="H264" s="44" t="s">
        <v>3177</v>
      </c>
      <c r="I264" s="44" t="s">
        <v>3985</v>
      </c>
      <c r="J264" s="44" t="s">
        <v>4341</v>
      </c>
      <c r="K264" s="44" t="s">
        <v>4694</v>
      </c>
      <c r="L264" s="44" t="s">
        <v>5027</v>
      </c>
      <c r="M264" s="44" t="s">
        <v>5382</v>
      </c>
      <c r="N264" s="44" t="s">
        <v>5736</v>
      </c>
    </row>
    <row r="265" spans="1:14" x14ac:dyDescent="0.3">
      <c r="A265" s="44" t="s">
        <v>3741</v>
      </c>
      <c r="B265" s="44" t="s">
        <v>1021</v>
      </c>
      <c r="C265" s="44" t="s">
        <v>1383</v>
      </c>
      <c r="D265" s="44" t="s">
        <v>1745</v>
      </c>
      <c r="E265" s="44" t="s">
        <v>2107</v>
      </c>
      <c r="F265" s="44" t="s">
        <v>2454</v>
      </c>
      <c r="G265" s="44" t="s">
        <v>2816</v>
      </c>
      <c r="H265" s="44" t="s">
        <v>3178</v>
      </c>
      <c r="I265" s="44" t="s">
        <v>3986</v>
      </c>
      <c r="J265" s="44" t="s">
        <v>4342</v>
      </c>
      <c r="K265" s="44" t="s">
        <v>4695</v>
      </c>
      <c r="L265" s="44" t="s">
        <v>5028</v>
      </c>
      <c r="M265" s="44" t="s">
        <v>5383</v>
      </c>
      <c r="N265" s="44" t="s">
        <v>5737</v>
      </c>
    </row>
    <row r="266" spans="1:14" x14ac:dyDescent="0.3">
      <c r="A266" s="44" t="s">
        <v>3742</v>
      </c>
      <c r="B266" s="44" t="s">
        <v>1022</v>
      </c>
      <c r="C266" s="44" t="s">
        <v>1384</v>
      </c>
      <c r="D266" s="44" t="s">
        <v>1746</v>
      </c>
      <c r="E266" s="44" t="s">
        <v>2108</v>
      </c>
      <c r="F266" s="44" t="s">
        <v>2455</v>
      </c>
      <c r="G266" s="44" t="s">
        <v>2817</v>
      </c>
      <c r="H266" s="44" t="s">
        <v>3179</v>
      </c>
      <c r="I266" s="44" t="s">
        <v>3987</v>
      </c>
      <c r="J266" s="44" t="s">
        <v>4343</v>
      </c>
      <c r="K266" s="44" t="s">
        <v>4696</v>
      </c>
      <c r="L266" s="44" t="s">
        <v>5029</v>
      </c>
      <c r="M266" s="44" t="s">
        <v>5384</v>
      </c>
      <c r="N266" s="44" t="s">
        <v>5738</v>
      </c>
    </row>
    <row r="267" spans="1:14" x14ac:dyDescent="0.3">
      <c r="A267" s="44" t="s">
        <v>3743</v>
      </c>
      <c r="B267" s="44" t="s">
        <v>1023</v>
      </c>
      <c r="C267" s="44" t="s">
        <v>1385</v>
      </c>
      <c r="D267" s="44" t="s">
        <v>1747</v>
      </c>
      <c r="E267" s="44" t="s">
        <v>2109</v>
      </c>
      <c r="F267" s="44" t="s">
        <v>2456</v>
      </c>
      <c r="G267" s="44" t="s">
        <v>2818</v>
      </c>
      <c r="H267" s="44" t="s">
        <v>3180</v>
      </c>
      <c r="I267" s="44" t="s">
        <v>3988</v>
      </c>
      <c r="J267" s="44" t="s">
        <v>4344</v>
      </c>
      <c r="K267" s="44" t="s">
        <v>4697</v>
      </c>
      <c r="L267" s="44" t="s">
        <v>5030</v>
      </c>
      <c r="M267" s="44" t="s">
        <v>5385</v>
      </c>
      <c r="N267" s="44" t="s">
        <v>5739</v>
      </c>
    </row>
    <row r="268" spans="1:14" x14ac:dyDescent="0.3">
      <c r="A268" s="44" t="s">
        <v>3744</v>
      </c>
      <c r="B268" s="44" t="s">
        <v>1024</v>
      </c>
      <c r="C268" s="44" t="s">
        <v>1386</v>
      </c>
      <c r="D268" s="44" t="s">
        <v>1748</v>
      </c>
      <c r="E268" s="44" t="s">
        <v>2110</v>
      </c>
      <c r="F268" s="44" t="s">
        <v>2457</v>
      </c>
      <c r="G268" s="44" t="s">
        <v>2819</v>
      </c>
      <c r="H268" s="44" t="s">
        <v>3181</v>
      </c>
      <c r="I268" s="44" t="s">
        <v>3989</v>
      </c>
      <c r="J268" s="44" t="s">
        <v>4345</v>
      </c>
      <c r="K268" s="44" t="s">
        <v>4698</v>
      </c>
      <c r="L268" s="44" t="s">
        <v>5031</v>
      </c>
      <c r="M268" s="44" t="s">
        <v>5386</v>
      </c>
      <c r="N268" s="44" t="s">
        <v>5740</v>
      </c>
    </row>
    <row r="269" spans="1:14" x14ac:dyDescent="0.3">
      <c r="A269" s="44" t="s">
        <v>3745</v>
      </c>
      <c r="B269" s="44" t="s">
        <v>1025</v>
      </c>
      <c r="C269" s="44" t="s">
        <v>1387</v>
      </c>
      <c r="D269" s="44" t="s">
        <v>1749</v>
      </c>
      <c r="E269" s="44" t="s">
        <v>2111</v>
      </c>
      <c r="F269" s="44" t="s">
        <v>2458</v>
      </c>
      <c r="G269" s="44" t="s">
        <v>2820</v>
      </c>
      <c r="H269" s="44" t="s">
        <v>3182</v>
      </c>
      <c r="I269" s="44" t="s">
        <v>3990</v>
      </c>
      <c r="J269" s="44" t="s">
        <v>4346</v>
      </c>
      <c r="K269" s="44" t="s">
        <v>4699</v>
      </c>
      <c r="L269" s="44" t="s">
        <v>5032</v>
      </c>
      <c r="M269" s="44" t="s">
        <v>5387</v>
      </c>
      <c r="N269" s="44" t="s">
        <v>3874</v>
      </c>
    </row>
    <row r="270" spans="1:14" x14ac:dyDescent="0.3">
      <c r="A270" s="44" t="s">
        <v>3746</v>
      </c>
      <c r="B270" s="44" t="s">
        <v>1026</v>
      </c>
      <c r="C270" s="44" t="s">
        <v>1388</v>
      </c>
      <c r="D270" s="44" t="s">
        <v>1750</v>
      </c>
      <c r="E270" s="44" t="s">
        <v>2112</v>
      </c>
      <c r="F270" s="44" t="s">
        <v>2459</v>
      </c>
      <c r="G270" s="44" t="s">
        <v>2821</v>
      </c>
      <c r="H270" s="44" t="s">
        <v>3183</v>
      </c>
      <c r="I270" s="44" t="s">
        <v>3991</v>
      </c>
      <c r="J270" s="44" t="s">
        <v>4110</v>
      </c>
      <c r="K270" s="44" t="s">
        <v>4700</v>
      </c>
      <c r="L270" s="44" t="s">
        <v>5033</v>
      </c>
      <c r="M270" s="44" t="s">
        <v>5388</v>
      </c>
      <c r="N270" s="44" t="s">
        <v>5741</v>
      </c>
    </row>
    <row r="271" spans="1:14" x14ac:dyDescent="0.3">
      <c r="A271" s="44" t="s">
        <v>3747</v>
      </c>
      <c r="B271" s="44" t="s">
        <v>1027</v>
      </c>
      <c r="C271" s="44" t="s">
        <v>1389</v>
      </c>
      <c r="D271" s="44" t="s">
        <v>1751</v>
      </c>
      <c r="E271" s="44" t="s">
        <v>2113</v>
      </c>
      <c r="F271" s="44" t="s">
        <v>2460</v>
      </c>
      <c r="G271" s="44" t="s">
        <v>2822</v>
      </c>
      <c r="H271" s="44" t="s">
        <v>3184</v>
      </c>
      <c r="I271" s="44" t="s">
        <v>3992</v>
      </c>
      <c r="J271" s="44" t="s">
        <v>4347</v>
      </c>
      <c r="K271" s="44" t="s">
        <v>4701</v>
      </c>
      <c r="L271" s="44" t="s">
        <v>5034</v>
      </c>
      <c r="M271" s="44" t="s">
        <v>5389</v>
      </c>
      <c r="N271" s="44" t="s">
        <v>5742</v>
      </c>
    </row>
    <row r="272" spans="1:14" x14ac:dyDescent="0.3">
      <c r="A272" s="44" t="s">
        <v>3748</v>
      </c>
      <c r="B272" s="44" t="s">
        <v>1028</v>
      </c>
      <c r="C272" s="44" t="s">
        <v>1390</v>
      </c>
      <c r="D272" s="44" t="s">
        <v>1752</v>
      </c>
      <c r="E272" s="44" t="s">
        <v>2114</v>
      </c>
      <c r="F272" s="44" t="s">
        <v>2461</v>
      </c>
      <c r="G272" s="44" t="s">
        <v>2823</v>
      </c>
      <c r="H272" s="44" t="s">
        <v>3185</v>
      </c>
      <c r="I272" s="44" t="s">
        <v>3993</v>
      </c>
      <c r="J272" s="44" t="s">
        <v>4348</v>
      </c>
      <c r="K272" s="44" t="s">
        <v>4702</v>
      </c>
      <c r="L272" s="44" t="s">
        <v>5035</v>
      </c>
      <c r="M272" s="44" t="s">
        <v>5390</v>
      </c>
      <c r="N272" s="44" t="s">
        <v>5743</v>
      </c>
    </row>
    <row r="273" spans="1:14" x14ac:dyDescent="0.3">
      <c r="A273" s="44" t="s">
        <v>3749</v>
      </c>
      <c r="B273" s="44" t="s">
        <v>1029</v>
      </c>
      <c r="C273" s="44" t="s">
        <v>1391</v>
      </c>
      <c r="D273" s="44" t="s">
        <v>1753</v>
      </c>
      <c r="E273" s="44" t="s">
        <v>2115</v>
      </c>
      <c r="F273" s="44" t="s">
        <v>2462</v>
      </c>
      <c r="G273" s="44" t="s">
        <v>2824</v>
      </c>
      <c r="H273" s="44" t="s">
        <v>3186</v>
      </c>
      <c r="I273" s="44" t="s">
        <v>3994</v>
      </c>
      <c r="J273" s="44" t="s">
        <v>4349</v>
      </c>
      <c r="K273" s="44" t="s">
        <v>4703</v>
      </c>
      <c r="L273" s="44" t="s">
        <v>5036</v>
      </c>
      <c r="M273" s="44" t="s">
        <v>5391</v>
      </c>
      <c r="N273" s="44" t="s">
        <v>5744</v>
      </c>
    </row>
    <row r="274" spans="1:14" x14ac:dyDescent="0.3">
      <c r="A274" s="44" t="s">
        <v>3750</v>
      </c>
      <c r="B274" s="44" t="s">
        <v>1030</v>
      </c>
      <c r="C274" s="44" t="s">
        <v>1392</v>
      </c>
      <c r="D274" s="44" t="s">
        <v>1754</v>
      </c>
      <c r="E274" s="44" t="s">
        <v>2116</v>
      </c>
      <c r="F274" s="44" t="s">
        <v>2463</v>
      </c>
      <c r="G274" s="44" t="s">
        <v>2825</v>
      </c>
      <c r="H274" s="44" t="s">
        <v>3187</v>
      </c>
      <c r="I274" s="44" t="s">
        <v>3995</v>
      </c>
      <c r="J274" s="44" t="s">
        <v>4350</v>
      </c>
      <c r="K274" s="44" t="s">
        <v>4704</v>
      </c>
      <c r="L274" s="44" t="s">
        <v>5037</v>
      </c>
      <c r="M274" s="44" t="s">
        <v>5392</v>
      </c>
      <c r="N274" s="44" t="s">
        <v>5745</v>
      </c>
    </row>
    <row r="275" spans="1:14" x14ac:dyDescent="0.3">
      <c r="A275" s="44" t="s">
        <v>3751</v>
      </c>
      <c r="B275" s="44" t="s">
        <v>1031</v>
      </c>
      <c r="C275" s="44" t="s">
        <v>1393</v>
      </c>
      <c r="D275" s="44" t="s">
        <v>1755</v>
      </c>
      <c r="E275" s="44" t="s">
        <v>2117</v>
      </c>
      <c r="F275" s="44" t="s">
        <v>2464</v>
      </c>
      <c r="G275" s="44" t="s">
        <v>2826</v>
      </c>
      <c r="H275" s="44" t="s">
        <v>3188</v>
      </c>
      <c r="I275" s="44" t="s">
        <v>3996</v>
      </c>
      <c r="J275" s="44" t="s">
        <v>4351</v>
      </c>
      <c r="K275" s="44" t="s">
        <v>4705</v>
      </c>
      <c r="L275" s="44" t="s">
        <v>5038</v>
      </c>
      <c r="M275" s="44" t="s">
        <v>5393</v>
      </c>
      <c r="N275" s="44" t="s">
        <v>5746</v>
      </c>
    </row>
    <row r="276" spans="1:14" x14ac:dyDescent="0.3">
      <c r="A276" s="44" t="s">
        <v>3752</v>
      </c>
      <c r="B276" s="44" t="s">
        <v>1032</v>
      </c>
      <c r="C276" s="44" t="s">
        <v>1394</v>
      </c>
      <c r="D276" s="44" t="s">
        <v>1756</v>
      </c>
      <c r="E276" s="44" t="s">
        <v>2118</v>
      </c>
      <c r="F276" s="44" t="s">
        <v>2465</v>
      </c>
      <c r="G276" s="44" t="s">
        <v>2827</v>
      </c>
      <c r="H276" s="44" t="s">
        <v>3189</v>
      </c>
      <c r="I276" s="44" t="s">
        <v>3997</v>
      </c>
      <c r="J276" s="44" t="s">
        <v>4352</v>
      </c>
      <c r="K276" s="44" t="s">
        <v>4706</v>
      </c>
      <c r="L276" s="44" t="s">
        <v>5039</v>
      </c>
      <c r="M276" s="44" t="s">
        <v>5394</v>
      </c>
      <c r="N276" s="44" t="s">
        <v>5747</v>
      </c>
    </row>
    <row r="277" spans="1:14" x14ac:dyDescent="0.3">
      <c r="A277" s="44" t="s">
        <v>3753</v>
      </c>
      <c r="B277" s="44" t="s">
        <v>1033</v>
      </c>
      <c r="C277" s="44" t="s">
        <v>1395</v>
      </c>
      <c r="D277" s="44" t="s">
        <v>1757</v>
      </c>
      <c r="E277" s="44" t="s">
        <v>2119</v>
      </c>
      <c r="F277" s="44" t="s">
        <v>2466</v>
      </c>
      <c r="G277" s="44" t="s">
        <v>2828</v>
      </c>
      <c r="H277" s="44" t="s">
        <v>3190</v>
      </c>
      <c r="I277" s="44" t="s">
        <v>3998</v>
      </c>
      <c r="J277" s="44" t="s">
        <v>4353</v>
      </c>
      <c r="K277" s="44" t="s">
        <v>4707</v>
      </c>
      <c r="L277" s="44" t="s">
        <v>5040</v>
      </c>
      <c r="M277" s="44" t="s">
        <v>5395</v>
      </c>
      <c r="N277" s="44" t="s">
        <v>5748</v>
      </c>
    </row>
    <row r="278" spans="1:14" x14ac:dyDescent="0.3">
      <c r="A278" s="44" t="s">
        <v>3754</v>
      </c>
      <c r="B278" s="44" t="s">
        <v>1034</v>
      </c>
      <c r="C278" s="44" t="s">
        <v>1396</v>
      </c>
      <c r="D278" s="44" t="s">
        <v>1758</v>
      </c>
      <c r="E278" s="44" t="s">
        <v>2120</v>
      </c>
      <c r="F278" s="44" t="s">
        <v>2467</v>
      </c>
      <c r="G278" s="44" t="s">
        <v>2829</v>
      </c>
      <c r="H278" s="44" t="s">
        <v>3191</v>
      </c>
      <c r="I278" s="44" t="s">
        <v>3999</v>
      </c>
      <c r="J278" s="44" t="s">
        <v>4354</v>
      </c>
      <c r="K278" s="44" t="s">
        <v>4708</v>
      </c>
      <c r="L278" s="44" t="s">
        <v>5041</v>
      </c>
      <c r="M278" s="44" t="s">
        <v>5396</v>
      </c>
      <c r="N278" s="44" t="s">
        <v>5749</v>
      </c>
    </row>
    <row r="279" spans="1:14" x14ac:dyDescent="0.3">
      <c r="A279" s="44" t="s">
        <v>3755</v>
      </c>
      <c r="B279" s="44" t="s">
        <v>1035</v>
      </c>
      <c r="C279" s="44" t="s">
        <v>1397</v>
      </c>
      <c r="D279" s="44" t="s">
        <v>1759</v>
      </c>
      <c r="E279" s="44" t="s">
        <v>2121</v>
      </c>
      <c r="F279" s="44" t="s">
        <v>2468</v>
      </c>
      <c r="G279" s="44" t="s">
        <v>2830</v>
      </c>
      <c r="H279" s="44" t="s">
        <v>3192</v>
      </c>
      <c r="I279" s="44" t="s">
        <v>3866</v>
      </c>
      <c r="J279" s="44" t="s">
        <v>3885</v>
      </c>
      <c r="K279" s="44" t="s">
        <v>4709</v>
      </c>
      <c r="L279" s="44" t="s">
        <v>5042</v>
      </c>
      <c r="M279" s="44" t="s">
        <v>5397</v>
      </c>
      <c r="N279" s="44" t="s">
        <v>5750</v>
      </c>
    </row>
    <row r="280" spans="1:14" x14ac:dyDescent="0.3">
      <c r="A280" s="44" t="s">
        <v>3756</v>
      </c>
      <c r="B280" s="44" t="s">
        <v>1036</v>
      </c>
      <c r="C280" s="44" t="s">
        <v>1398</v>
      </c>
      <c r="D280" s="44" t="s">
        <v>1760</v>
      </c>
      <c r="E280" s="44" t="s">
        <v>2122</v>
      </c>
      <c r="F280" s="44" t="s">
        <v>2469</v>
      </c>
      <c r="G280" s="44" t="s">
        <v>2831</v>
      </c>
      <c r="H280" s="44" t="s">
        <v>3193</v>
      </c>
      <c r="I280" s="44" t="s">
        <v>4000</v>
      </c>
      <c r="J280" s="44" t="s">
        <v>4355</v>
      </c>
      <c r="K280" s="44" t="s">
        <v>4710</v>
      </c>
      <c r="L280" s="44" t="s">
        <v>5043</v>
      </c>
      <c r="M280" s="44" t="s">
        <v>5398</v>
      </c>
      <c r="N280" s="44" t="s">
        <v>5751</v>
      </c>
    </row>
    <row r="281" spans="1:14" x14ac:dyDescent="0.3">
      <c r="A281" s="44" t="s">
        <v>3757</v>
      </c>
      <c r="B281" s="44" t="s">
        <v>1037</v>
      </c>
      <c r="C281" s="44" t="s">
        <v>1399</v>
      </c>
      <c r="D281" s="44" t="s">
        <v>1761</v>
      </c>
      <c r="E281" s="44" t="s">
        <v>2123</v>
      </c>
      <c r="F281" s="44" t="s">
        <v>2470</v>
      </c>
      <c r="G281" s="44" t="s">
        <v>2832</v>
      </c>
      <c r="H281" s="44" t="s">
        <v>3194</v>
      </c>
      <c r="I281" s="44" t="s">
        <v>4001</v>
      </c>
      <c r="J281" s="44" t="s">
        <v>4356</v>
      </c>
      <c r="K281" s="44" t="s">
        <v>4711</v>
      </c>
      <c r="L281" s="44" t="s">
        <v>5044</v>
      </c>
      <c r="M281" s="44" t="s">
        <v>5399</v>
      </c>
      <c r="N281" s="44" t="s">
        <v>5752</v>
      </c>
    </row>
    <row r="282" spans="1:14" x14ac:dyDescent="0.3">
      <c r="A282" s="44" t="s">
        <v>3758</v>
      </c>
      <c r="B282" s="44" t="s">
        <v>1038</v>
      </c>
      <c r="C282" s="44" t="s">
        <v>1400</v>
      </c>
      <c r="D282" s="44" t="s">
        <v>1762</v>
      </c>
      <c r="E282" s="44" t="s">
        <v>2124</v>
      </c>
      <c r="F282" s="44" t="s">
        <v>2471</v>
      </c>
      <c r="G282" s="44" t="s">
        <v>2833</v>
      </c>
      <c r="H282" s="44" t="s">
        <v>3195</v>
      </c>
      <c r="I282" s="44" t="s">
        <v>4002</v>
      </c>
      <c r="J282" s="44" t="s">
        <v>4357</v>
      </c>
      <c r="K282" s="44" t="s">
        <v>4712</v>
      </c>
      <c r="L282" s="44" t="s">
        <v>5045</v>
      </c>
      <c r="M282" s="44" t="s">
        <v>5400</v>
      </c>
      <c r="N282" s="44" t="s">
        <v>5753</v>
      </c>
    </row>
    <row r="283" spans="1:14" x14ac:dyDescent="0.3">
      <c r="A283" s="44" t="s">
        <v>3759</v>
      </c>
      <c r="B283" s="44" t="s">
        <v>1039</v>
      </c>
      <c r="C283" s="44" t="s">
        <v>1401</v>
      </c>
      <c r="D283" s="44" t="s">
        <v>1763</v>
      </c>
      <c r="E283" s="44" t="s">
        <v>2125</v>
      </c>
      <c r="F283" s="44" t="s">
        <v>2472</v>
      </c>
      <c r="G283" s="44" t="s">
        <v>2834</v>
      </c>
      <c r="H283" s="44" t="s">
        <v>3196</v>
      </c>
      <c r="I283" s="44" t="s">
        <v>4003</v>
      </c>
      <c r="J283" s="44" t="s">
        <v>4358</v>
      </c>
      <c r="K283" s="44" t="s">
        <v>4713</v>
      </c>
      <c r="L283" s="44" t="s">
        <v>5046</v>
      </c>
      <c r="M283" s="44" t="s">
        <v>5401</v>
      </c>
      <c r="N283" s="44" t="s">
        <v>5754</v>
      </c>
    </row>
    <row r="284" spans="1:14" x14ac:dyDescent="0.3">
      <c r="A284" s="44" t="s">
        <v>3760</v>
      </c>
      <c r="B284" s="44" t="s">
        <v>1040</v>
      </c>
      <c r="C284" s="44" t="s">
        <v>1402</v>
      </c>
      <c r="D284" s="44" t="s">
        <v>1764</v>
      </c>
      <c r="E284" s="44" t="s">
        <v>2126</v>
      </c>
      <c r="F284" s="44" t="s">
        <v>2473</v>
      </c>
      <c r="G284" s="44" t="s">
        <v>2835</v>
      </c>
      <c r="H284" s="44" t="s">
        <v>3197</v>
      </c>
      <c r="I284" s="44" t="s">
        <v>4004</v>
      </c>
      <c r="J284" s="44" t="s">
        <v>4359</v>
      </c>
      <c r="K284" s="44" t="s">
        <v>4714</v>
      </c>
      <c r="L284" s="44" t="s">
        <v>5047</v>
      </c>
      <c r="M284" s="44" t="s">
        <v>5402</v>
      </c>
      <c r="N284" s="44" t="s">
        <v>5755</v>
      </c>
    </row>
    <row r="285" spans="1:14" x14ac:dyDescent="0.3">
      <c r="A285" s="44" t="s">
        <v>3761</v>
      </c>
      <c r="B285" s="44" t="s">
        <v>1041</v>
      </c>
      <c r="C285" s="44" t="s">
        <v>1403</v>
      </c>
      <c r="D285" s="44" t="s">
        <v>1765</v>
      </c>
      <c r="E285" s="44" t="s">
        <v>2127</v>
      </c>
      <c r="F285" s="44" t="s">
        <v>2474</v>
      </c>
      <c r="G285" s="44" t="s">
        <v>2836</v>
      </c>
      <c r="H285" s="44" t="s">
        <v>3198</v>
      </c>
      <c r="I285" s="44" t="s">
        <v>4005</v>
      </c>
      <c r="J285" s="44" t="s">
        <v>4360</v>
      </c>
      <c r="K285" s="44" t="s">
        <v>4715</v>
      </c>
      <c r="L285" s="44" t="s">
        <v>5048</v>
      </c>
      <c r="M285" s="44" t="s">
        <v>5403</v>
      </c>
      <c r="N285" s="44" t="s">
        <v>5756</v>
      </c>
    </row>
    <row r="286" spans="1:14" x14ac:dyDescent="0.3">
      <c r="A286" s="44" t="s">
        <v>3762</v>
      </c>
      <c r="B286" s="44" t="s">
        <v>1042</v>
      </c>
      <c r="C286" s="44" t="s">
        <v>1404</v>
      </c>
      <c r="D286" s="44" t="s">
        <v>1766</v>
      </c>
      <c r="E286" s="44" t="s">
        <v>2128</v>
      </c>
      <c r="F286" s="44" t="s">
        <v>2475</v>
      </c>
      <c r="G286" s="44" t="s">
        <v>2837</v>
      </c>
      <c r="H286" s="44" t="s">
        <v>3199</v>
      </c>
      <c r="I286" s="44" t="s">
        <v>4006</v>
      </c>
      <c r="J286" s="44" t="s">
        <v>4361</v>
      </c>
      <c r="K286" s="44" t="s">
        <v>4716</v>
      </c>
      <c r="L286" s="44" t="s">
        <v>5049</v>
      </c>
      <c r="M286" s="44" t="s">
        <v>5404</v>
      </c>
      <c r="N286" s="44" t="s">
        <v>5757</v>
      </c>
    </row>
    <row r="287" spans="1:14" x14ac:dyDescent="0.3">
      <c r="A287" s="44" t="s">
        <v>3763</v>
      </c>
      <c r="B287" s="44" t="s">
        <v>1043</v>
      </c>
      <c r="C287" s="44" t="s">
        <v>1405</v>
      </c>
      <c r="D287" s="44" t="s">
        <v>1767</v>
      </c>
      <c r="E287" s="44" t="s">
        <v>2129</v>
      </c>
      <c r="F287" s="44" t="s">
        <v>2476</v>
      </c>
      <c r="G287" s="44" t="s">
        <v>2838</v>
      </c>
      <c r="H287" s="44" t="s">
        <v>3200</v>
      </c>
      <c r="I287" s="44" t="s">
        <v>4007</v>
      </c>
      <c r="J287" s="44" t="s">
        <v>4362</v>
      </c>
      <c r="K287" s="44" t="s">
        <v>4717</v>
      </c>
      <c r="L287" s="44" t="s">
        <v>5050</v>
      </c>
      <c r="M287" s="44" t="s">
        <v>5405</v>
      </c>
      <c r="N287" s="44" t="s">
        <v>5758</v>
      </c>
    </row>
    <row r="288" spans="1:14" x14ac:dyDescent="0.3">
      <c r="A288" s="44" t="s">
        <v>3764</v>
      </c>
      <c r="B288" s="44" t="s">
        <v>1044</v>
      </c>
      <c r="C288" s="44" t="s">
        <v>1406</v>
      </c>
      <c r="D288" s="44" t="s">
        <v>1768</v>
      </c>
      <c r="E288" s="44" t="s">
        <v>2130</v>
      </c>
      <c r="F288" s="44" t="s">
        <v>2477</v>
      </c>
      <c r="G288" s="44" t="s">
        <v>2839</v>
      </c>
      <c r="H288" s="44" t="s">
        <v>3201</v>
      </c>
      <c r="I288" s="44" t="s">
        <v>4008</v>
      </c>
      <c r="J288" s="44" t="s">
        <v>4363</v>
      </c>
      <c r="K288" s="44" t="s">
        <v>4718</v>
      </c>
      <c r="L288" s="44" t="s">
        <v>5051</v>
      </c>
      <c r="M288" s="44" t="s">
        <v>5406</v>
      </c>
      <c r="N288" s="44" t="s">
        <v>5759</v>
      </c>
    </row>
    <row r="289" spans="1:14" x14ac:dyDescent="0.3">
      <c r="A289" s="44" t="s">
        <v>3765</v>
      </c>
      <c r="B289" s="44" t="s">
        <v>1045</v>
      </c>
      <c r="C289" s="44" t="s">
        <v>1407</v>
      </c>
      <c r="D289" s="44" t="s">
        <v>1769</v>
      </c>
      <c r="E289" s="44" t="s">
        <v>2131</v>
      </c>
      <c r="F289" s="44" t="s">
        <v>2478</v>
      </c>
      <c r="G289" s="44" t="s">
        <v>2840</v>
      </c>
      <c r="H289" s="44" t="s">
        <v>3202</v>
      </c>
      <c r="I289" s="44" t="s">
        <v>4009</v>
      </c>
      <c r="J289" s="44" t="s">
        <v>4364</v>
      </c>
      <c r="K289" s="44" t="s">
        <v>3907</v>
      </c>
      <c r="L289" s="44" t="s">
        <v>5052</v>
      </c>
      <c r="M289" s="44" t="s">
        <v>5407</v>
      </c>
      <c r="N289" s="44" t="s">
        <v>5760</v>
      </c>
    </row>
    <row r="290" spans="1:14" x14ac:dyDescent="0.3">
      <c r="A290" s="44" t="s">
        <v>3766</v>
      </c>
      <c r="B290" s="44" t="s">
        <v>1046</v>
      </c>
      <c r="C290" s="44" t="s">
        <v>1408</v>
      </c>
      <c r="D290" s="44" t="s">
        <v>1770</v>
      </c>
      <c r="E290" s="44" t="s">
        <v>2132</v>
      </c>
      <c r="F290" s="44" t="s">
        <v>2479</v>
      </c>
      <c r="G290" s="44" t="s">
        <v>2841</v>
      </c>
      <c r="H290" s="44" t="s">
        <v>3203</v>
      </c>
      <c r="I290" s="44" t="s">
        <v>4010</v>
      </c>
      <c r="J290" s="44" t="s">
        <v>4365</v>
      </c>
      <c r="K290" s="44" t="s">
        <v>4719</v>
      </c>
      <c r="L290" s="44" t="s">
        <v>5053</v>
      </c>
      <c r="M290" s="44" t="s">
        <v>5408</v>
      </c>
      <c r="N290" s="44" t="s">
        <v>5761</v>
      </c>
    </row>
    <row r="291" spans="1:14" x14ac:dyDescent="0.3">
      <c r="A291" s="44" t="s">
        <v>3767</v>
      </c>
      <c r="B291" s="44" t="s">
        <v>1047</v>
      </c>
      <c r="C291" s="44" t="s">
        <v>1409</v>
      </c>
      <c r="D291" s="44" t="s">
        <v>1771</v>
      </c>
      <c r="E291" s="44" t="s">
        <v>2133</v>
      </c>
      <c r="F291" s="44" t="s">
        <v>2480</v>
      </c>
      <c r="G291" s="44" t="s">
        <v>2842</v>
      </c>
      <c r="H291" s="44" t="s">
        <v>3204</v>
      </c>
      <c r="I291" s="44" t="s">
        <v>4011</v>
      </c>
      <c r="J291" s="44" t="s">
        <v>4366</v>
      </c>
      <c r="K291" s="44" t="s">
        <v>4720</v>
      </c>
      <c r="L291" s="44" t="s">
        <v>5054</v>
      </c>
      <c r="M291" s="44" t="s">
        <v>5409</v>
      </c>
      <c r="N291" s="44" t="s">
        <v>5762</v>
      </c>
    </row>
    <row r="292" spans="1:14" x14ac:dyDescent="0.3">
      <c r="A292" s="44" t="s">
        <v>3768</v>
      </c>
      <c r="B292" s="44" t="s">
        <v>1048</v>
      </c>
      <c r="C292" s="44" t="s">
        <v>1410</v>
      </c>
      <c r="D292" s="44" t="s">
        <v>1772</v>
      </c>
      <c r="E292" s="44" t="s">
        <v>2134</v>
      </c>
      <c r="F292" s="44" t="s">
        <v>2481</v>
      </c>
      <c r="G292" s="44" t="s">
        <v>2843</v>
      </c>
      <c r="H292" s="44" t="s">
        <v>3205</v>
      </c>
      <c r="I292" s="44" t="s">
        <v>4012</v>
      </c>
      <c r="J292" s="44" t="s">
        <v>4367</v>
      </c>
      <c r="K292" s="44" t="s">
        <v>4721</v>
      </c>
      <c r="L292" s="44" t="s">
        <v>5055</v>
      </c>
      <c r="M292" s="44" t="s">
        <v>5410</v>
      </c>
      <c r="N292" s="44" t="s">
        <v>5763</v>
      </c>
    </row>
    <row r="293" spans="1:14" x14ac:dyDescent="0.3">
      <c r="A293" s="44" t="s">
        <v>3769</v>
      </c>
      <c r="B293" s="44" t="s">
        <v>1049</v>
      </c>
      <c r="C293" s="44" t="s">
        <v>1411</v>
      </c>
      <c r="D293" s="44" t="s">
        <v>1773</v>
      </c>
      <c r="E293" s="44" t="s">
        <v>2135</v>
      </c>
      <c r="F293" s="44" t="s">
        <v>2482</v>
      </c>
      <c r="G293" s="44" t="s">
        <v>2844</v>
      </c>
      <c r="H293" s="44" t="s">
        <v>3206</v>
      </c>
      <c r="I293" s="44" t="s">
        <v>4013</v>
      </c>
      <c r="J293" s="44" t="s">
        <v>4368</v>
      </c>
      <c r="K293" s="44" t="s">
        <v>4722</v>
      </c>
      <c r="L293" s="44" t="s">
        <v>3877</v>
      </c>
      <c r="M293" s="44" t="s">
        <v>5411</v>
      </c>
      <c r="N293" s="44" t="s">
        <v>5764</v>
      </c>
    </row>
    <row r="294" spans="1:14" x14ac:dyDescent="0.3">
      <c r="A294" s="44" t="s">
        <v>3770</v>
      </c>
      <c r="B294" s="44" t="s">
        <v>1050</v>
      </c>
      <c r="C294" s="44" t="s">
        <v>1412</v>
      </c>
      <c r="D294" s="44" t="s">
        <v>1774</v>
      </c>
      <c r="E294" s="44" t="s">
        <v>2136</v>
      </c>
      <c r="F294" s="44" t="s">
        <v>2483</v>
      </c>
      <c r="G294" s="44" t="s">
        <v>2845</v>
      </c>
      <c r="H294" s="44" t="s">
        <v>3207</v>
      </c>
      <c r="I294" s="44" t="s">
        <v>4014</v>
      </c>
      <c r="J294" s="44" t="s">
        <v>4369</v>
      </c>
      <c r="K294" s="44" t="s">
        <v>4723</v>
      </c>
      <c r="L294" s="44" t="s">
        <v>5056</v>
      </c>
      <c r="M294" s="44" t="s">
        <v>3896</v>
      </c>
      <c r="N294" s="44" t="s">
        <v>5765</v>
      </c>
    </row>
    <row r="295" spans="1:14" x14ac:dyDescent="0.3">
      <c r="A295" s="44" t="s">
        <v>3771</v>
      </c>
      <c r="B295" s="44" t="s">
        <v>1051</v>
      </c>
      <c r="C295" s="44" t="s">
        <v>1413</v>
      </c>
      <c r="D295" s="44" t="s">
        <v>1775</v>
      </c>
      <c r="E295" s="44" t="s">
        <v>2137</v>
      </c>
      <c r="F295" s="44" t="s">
        <v>2484</v>
      </c>
      <c r="G295" s="44" t="s">
        <v>2846</v>
      </c>
      <c r="H295" s="44" t="s">
        <v>3208</v>
      </c>
      <c r="I295" s="44" t="s">
        <v>4015</v>
      </c>
      <c r="J295" s="44" t="s">
        <v>4370</v>
      </c>
      <c r="K295" s="44" t="s">
        <v>4724</v>
      </c>
      <c r="L295" s="44" t="s">
        <v>5057</v>
      </c>
      <c r="M295" s="44" t="s">
        <v>5412</v>
      </c>
      <c r="N295" s="44" t="s">
        <v>5766</v>
      </c>
    </row>
    <row r="296" spans="1:14" x14ac:dyDescent="0.3">
      <c r="A296" s="44" t="s">
        <v>3772</v>
      </c>
      <c r="B296" s="44" t="s">
        <v>1052</v>
      </c>
      <c r="C296" s="44" t="s">
        <v>1414</v>
      </c>
      <c r="D296" s="44" t="s">
        <v>1776</v>
      </c>
      <c r="E296" s="44" t="s">
        <v>2138</v>
      </c>
      <c r="F296" s="44" t="s">
        <v>2485</v>
      </c>
      <c r="G296" s="44" t="s">
        <v>2847</v>
      </c>
      <c r="H296" s="44" t="s">
        <v>3209</v>
      </c>
      <c r="I296" s="44" t="s">
        <v>4016</v>
      </c>
      <c r="J296" s="44" t="s">
        <v>4371</v>
      </c>
      <c r="K296" s="44" t="s">
        <v>4725</v>
      </c>
      <c r="L296" s="44" t="s">
        <v>5058</v>
      </c>
      <c r="M296" s="44" t="s">
        <v>5413</v>
      </c>
      <c r="N296" s="44" t="s">
        <v>5767</v>
      </c>
    </row>
    <row r="297" spans="1:14" x14ac:dyDescent="0.3">
      <c r="A297" s="44" t="s">
        <v>3773</v>
      </c>
      <c r="B297" s="44" t="s">
        <v>1053</v>
      </c>
      <c r="C297" s="44" t="s">
        <v>1415</v>
      </c>
      <c r="D297" s="44" t="s">
        <v>1777</v>
      </c>
      <c r="E297" s="44" t="s">
        <v>2139</v>
      </c>
      <c r="F297" s="44" t="s">
        <v>2486</v>
      </c>
      <c r="G297" s="44" t="s">
        <v>2848</v>
      </c>
      <c r="H297" s="44" t="s">
        <v>3210</v>
      </c>
      <c r="I297" s="44" t="s">
        <v>4017</v>
      </c>
      <c r="J297" s="44" t="s">
        <v>4372</v>
      </c>
      <c r="K297" s="44" t="s">
        <v>4726</v>
      </c>
      <c r="L297" s="44" t="s">
        <v>5059</v>
      </c>
      <c r="M297" s="44" t="s">
        <v>5414</v>
      </c>
      <c r="N297" s="44" t="s">
        <v>5768</v>
      </c>
    </row>
    <row r="298" spans="1:14" x14ac:dyDescent="0.3">
      <c r="A298" s="44" t="s">
        <v>3774</v>
      </c>
      <c r="B298" s="44" t="s">
        <v>1054</v>
      </c>
      <c r="C298" s="44" t="s">
        <v>1416</v>
      </c>
      <c r="D298" s="44" t="s">
        <v>1778</v>
      </c>
      <c r="E298" s="44" t="s">
        <v>2140</v>
      </c>
      <c r="F298" s="44" t="s">
        <v>2487</v>
      </c>
      <c r="G298" s="44" t="s">
        <v>2849</v>
      </c>
      <c r="H298" s="44" t="s">
        <v>3211</v>
      </c>
      <c r="I298" s="44" t="s">
        <v>4018</v>
      </c>
      <c r="J298" s="44" t="s">
        <v>4373</v>
      </c>
      <c r="K298" s="44" t="s">
        <v>4727</v>
      </c>
      <c r="L298" s="44" t="s">
        <v>5060</v>
      </c>
      <c r="M298" s="44" t="s">
        <v>5415</v>
      </c>
      <c r="N298" s="44" t="s">
        <v>5769</v>
      </c>
    </row>
    <row r="299" spans="1:14" x14ac:dyDescent="0.3">
      <c r="A299" s="44" t="s">
        <v>3775</v>
      </c>
      <c r="B299" s="44" t="s">
        <v>1055</v>
      </c>
      <c r="C299" s="44" t="s">
        <v>1417</v>
      </c>
      <c r="D299" s="44" t="s">
        <v>1779</v>
      </c>
      <c r="E299" s="44" t="s">
        <v>2141</v>
      </c>
      <c r="F299" s="44" t="s">
        <v>2488</v>
      </c>
      <c r="G299" s="44" t="s">
        <v>2850</v>
      </c>
      <c r="H299" s="44" t="s">
        <v>3212</v>
      </c>
      <c r="I299" s="44" t="s">
        <v>4019</v>
      </c>
      <c r="J299" s="44" t="s">
        <v>4374</v>
      </c>
      <c r="K299" s="44" t="s">
        <v>3908</v>
      </c>
      <c r="L299" s="44" t="s">
        <v>5061</v>
      </c>
      <c r="M299" s="44" t="s">
        <v>5416</v>
      </c>
      <c r="N299" s="44" t="s">
        <v>5770</v>
      </c>
    </row>
    <row r="300" spans="1:14" x14ac:dyDescent="0.3">
      <c r="A300" s="44" t="s">
        <v>3776</v>
      </c>
      <c r="B300" s="44" t="s">
        <v>1056</v>
      </c>
      <c r="C300" s="44" t="s">
        <v>1418</v>
      </c>
      <c r="D300" s="44" t="s">
        <v>1780</v>
      </c>
      <c r="E300" s="44" t="s">
        <v>2142</v>
      </c>
      <c r="F300" s="44" t="s">
        <v>2489</v>
      </c>
      <c r="G300" s="44" t="s">
        <v>2851</v>
      </c>
      <c r="H300" s="44" t="s">
        <v>3213</v>
      </c>
      <c r="I300" s="44" t="s">
        <v>4020</v>
      </c>
      <c r="J300" s="44" t="s">
        <v>4375</v>
      </c>
      <c r="K300" s="44" t="s">
        <v>4728</v>
      </c>
      <c r="L300" s="44" t="s">
        <v>5062</v>
      </c>
      <c r="M300" s="44" t="s">
        <v>5417</v>
      </c>
      <c r="N300" s="44" t="s">
        <v>5771</v>
      </c>
    </row>
    <row r="301" spans="1:14" x14ac:dyDescent="0.3">
      <c r="A301" s="44" t="s">
        <v>3777</v>
      </c>
      <c r="B301" s="44" t="s">
        <v>1057</v>
      </c>
      <c r="C301" s="44" t="s">
        <v>1419</v>
      </c>
      <c r="D301" s="44" t="s">
        <v>1781</v>
      </c>
      <c r="E301" s="44" t="s">
        <v>2143</v>
      </c>
      <c r="F301" s="44" t="s">
        <v>2490</v>
      </c>
      <c r="G301" s="44" t="s">
        <v>2852</v>
      </c>
      <c r="H301" s="44" t="s">
        <v>3214</v>
      </c>
      <c r="I301" s="44" t="s">
        <v>4021</v>
      </c>
      <c r="J301" s="44" t="s">
        <v>4376</v>
      </c>
      <c r="K301" s="44" t="s">
        <v>4729</v>
      </c>
      <c r="L301" s="44" t="s">
        <v>5063</v>
      </c>
      <c r="M301" s="44" t="s">
        <v>5418</v>
      </c>
      <c r="N301" s="44" t="s">
        <v>5772</v>
      </c>
    </row>
    <row r="302" spans="1:14" x14ac:dyDescent="0.3">
      <c r="A302" s="44" t="s">
        <v>3778</v>
      </c>
      <c r="B302" s="44" t="s">
        <v>1058</v>
      </c>
      <c r="C302" s="44" t="s">
        <v>1420</v>
      </c>
      <c r="D302" s="44" t="s">
        <v>1782</v>
      </c>
      <c r="E302" s="44" t="s">
        <v>2144</v>
      </c>
      <c r="F302" s="44" t="s">
        <v>2491</v>
      </c>
      <c r="G302" s="44" t="s">
        <v>2853</v>
      </c>
      <c r="H302" s="44" t="s">
        <v>3215</v>
      </c>
      <c r="I302" s="44" t="s">
        <v>4022</v>
      </c>
      <c r="J302" s="44" t="s">
        <v>4377</v>
      </c>
      <c r="K302" s="44" t="s">
        <v>4730</v>
      </c>
      <c r="L302" s="44" t="s">
        <v>5064</v>
      </c>
      <c r="M302" s="44" t="s">
        <v>5419</v>
      </c>
      <c r="N302" s="44" t="s">
        <v>5773</v>
      </c>
    </row>
    <row r="303" spans="1:14" x14ac:dyDescent="0.3">
      <c r="A303" s="44" t="s">
        <v>3779</v>
      </c>
      <c r="B303" s="44" t="s">
        <v>1059</v>
      </c>
      <c r="C303" s="44" t="s">
        <v>1421</v>
      </c>
      <c r="D303" s="44" t="s">
        <v>1783</v>
      </c>
      <c r="E303" s="44" t="s">
        <v>2145</v>
      </c>
      <c r="F303" s="44" t="s">
        <v>2492</v>
      </c>
      <c r="G303" s="44" t="s">
        <v>2854</v>
      </c>
      <c r="H303" s="44" t="s">
        <v>3216</v>
      </c>
      <c r="I303" s="44" t="s">
        <v>4023</v>
      </c>
      <c r="J303" s="44" t="s">
        <v>4378</v>
      </c>
      <c r="K303" s="44" t="s">
        <v>4731</v>
      </c>
      <c r="L303" s="44" t="s">
        <v>5065</v>
      </c>
      <c r="M303" s="44" t="s">
        <v>5420</v>
      </c>
      <c r="N303" s="44" t="s">
        <v>5774</v>
      </c>
    </row>
    <row r="304" spans="1:14" x14ac:dyDescent="0.3">
      <c r="A304" s="44" t="s">
        <v>3780</v>
      </c>
      <c r="B304" s="44" t="s">
        <v>1060</v>
      </c>
      <c r="C304" s="44" t="s">
        <v>1422</v>
      </c>
      <c r="D304" s="44" t="s">
        <v>1784</v>
      </c>
      <c r="E304" s="44" t="s">
        <v>2146</v>
      </c>
      <c r="F304" s="44" t="s">
        <v>2493</v>
      </c>
      <c r="G304" s="44" t="s">
        <v>2855</v>
      </c>
      <c r="H304" s="44" t="s">
        <v>3217</v>
      </c>
      <c r="I304" s="44" t="s">
        <v>4024</v>
      </c>
      <c r="J304" s="44" t="s">
        <v>4379</v>
      </c>
      <c r="K304" s="44" t="s">
        <v>4442</v>
      </c>
      <c r="L304" s="44" t="s">
        <v>5066</v>
      </c>
      <c r="M304" s="44" t="s">
        <v>5421</v>
      </c>
      <c r="N304" s="44" t="s">
        <v>5775</v>
      </c>
    </row>
    <row r="305" spans="1:14" x14ac:dyDescent="0.3">
      <c r="A305" s="44" t="s">
        <v>3781</v>
      </c>
      <c r="B305" s="44" t="s">
        <v>1061</v>
      </c>
      <c r="C305" s="44" t="s">
        <v>1423</v>
      </c>
      <c r="D305" s="44" t="s">
        <v>1785</v>
      </c>
      <c r="E305" s="44" t="s">
        <v>2147</v>
      </c>
      <c r="F305" s="44" t="s">
        <v>2494</v>
      </c>
      <c r="G305" s="44" t="s">
        <v>2856</v>
      </c>
      <c r="H305" s="44" t="s">
        <v>3218</v>
      </c>
      <c r="I305" s="44" t="s">
        <v>4025</v>
      </c>
      <c r="J305" s="44" t="s">
        <v>4380</v>
      </c>
      <c r="K305" s="44" t="s">
        <v>4732</v>
      </c>
      <c r="L305" s="44" t="s">
        <v>5067</v>
      </c>
      <c r="M305" s="44" t="s">
        <v>5422</v>
      </c>
      <c r="N305" s="44" t="s">
        <v>5776</v>
      </c>
    </row>
    <row r="306" spans="1:14" x14ac:dyDescent="0.3">
      <c r="A306" s="44" t="s">
        <v>3782</v>
      </c>
      <c r="B306" s="44" t="s">
        <v>1062</v>
      </c>
      <c r="C306" s="44" t="s">
        <v>1424</v>
      </c>
      <c r="D306" s="44" t="s">
        <v>1786</v>
      </c>
      <c r="E306" s="44" t="s">
        <v>2148</v>
      </c>
      <c r="F306" s="44" t="s">
        <v>2495</v>
      </c>
      <c r="G306" s="44" t="s">
        <v>2857</v>
      </c>
      <c r="H306" s="44" t="s">
        <v>3219</v>
      </c>
      <c r="I306" s="44" t="s">
        <v>4026</v>
      </c>
      <c r="J306" s="44" t="s">
        <v>4381</v>
      </c>
      <c r="K306" s="44" t="s">
        <v>4733</v>
      </c>
      <c r="L306" s="44" t="s">
        <v>5068</v>
      </c>
      <c r="M306" s="44" t="s">
        <v>5423</v>
      </c>
      <c r="N306" s="44" t="s">
        <v>5777</v>
      </c>
    </row>
    <row r="307" spans="1:14" x14ac:dyDescent="0.3">
      <c r="A307" s="44" t="s">
        <v>3783</v>
      </c>
      <c r="B307" s="44" t="s">
        <v>1063</v>
      </c>
      <c r="C307" s="44" t="s">
        <v>1425</v>
      </c>
      <c r="D307" s="44" t="s">
        <v>1787</v>
      </c>
      <c r="E307" s="44" t="s">
        <v>2149</v>
      </c>
      <c r="F307" s="44" t="s">
        <v>2496</v>
      </c>
      <c r="G307" s="44" t="s">
        <v>2858</v>
      </c>
      <c r="H307" s="44" t="s">
        <v>3220</v>
      </c>
      <c r="I307" s="44" t="s">
        <v>4027</v>
      </c>
      <c r="J307" s="44" t="s">
        <v>4382</v>
      </c>
      <c r="K307" s="44" t="s">
        <v>4734</v>
      </c>
      <c r="L307" s="44" t="s">
        <v>5069</v>
      </c>
      <c r="M307" s="44" t="s">
        <v>5424</v>
      </c>
      <c r="N307" s="44" t="s">
        <v>5778</v>
      </c>
    </row>
    <row r="308" spans="1:14" x14ac:dyDescent="0.3">
      <c r="A308" s="44" t="s">
        <v>3784</v>
      </c>
      <c r="B308" s="44" t="s">
        <v>1064</v>
      </c>
      <c r="C308" s="44" t="s">
        <v>1426</v>
      </c>
      <c r="D308" s="44" t="s">
        <v>1788</v>
      </c>
      <c r="E308" s="44" t="s">
        <v>2150</v>
      </c>
      <c r="F308" s="44" t="s">
        <v>2497</v>
      </c>
      <c r="G308" s="44" t="s">
        <v>2859</v>
      </c>
      <c r="H308" s="44" t="s">
        <v>3221</v>
      </c>
      <c r="I308" s="44" t="s">
        <v>4028</v>
      </c>
      <c r="J308" s="44" t="s">
        <v>4383</v>
      </c>
      <c r="K308" s="44" t="s">
        <v>4735</v>
      </c>
      <c r="L308" s="44" t="s">
        <v>5070</v>
      </c>
      <c r="M308" s="44" t="s">
        <v>5425</v>
      </c>
      <c r="N308" s="44" t="s">
        <v>5779</v>
      </c>
    </row>
    <row r="309" spans="1:14" x14ac:dyDescent="0.3">
      <c r="A309" s="44" t="s">
        <v>3785</v>
      </c>
      <c r="B309" s="44" t="s">
        <v>1065</v>
      </c>
      <c r="C309" s="44" t="s">
        <v>1427</v>
      </c>
      <c r="D309" s="44" t="s">
        <v>1789</v>
      </c>
      <c r="E309" s="44" t="s">
        <v>2151</v>
      </c>
      <c r="F309" s="44" t="s">
        <v>2498</v>
      </c>
      <c r="G309" s="44" t="s">
        <v>2860</v>
      </c>
      <c r="H309" s="44" t="s">
        <v>3222</v>
      </c>
      <c r="I309" s="44" t="s">
        <v>4029</v>
      </c>
      <c r="J309" s="44" t="s">
        <v>4384</v>
      </c>
      <c r="K309" s="44" t="s">
        <v>4736</v>
      </c>
      <c r="L309" s="44" t="s">
        <v>5071</v>
      </c>
      <c r="M309" s="44" t="s">
        <v>5426</v>
      </c>
      <c r="N309" s="44" t="s">
        <v>5780</v>
      </c>
    </row>
    <row r="310" spans="1:14" x14ac:dyDescent="0.3">
      <c r="A310" s="44" t="s">
        <v>3786</v>
      </c>
      <c r="B310" s="44" t="s">
        <v>1066</v>
      </c>
      <c r="C310" s="44" t="s">
        <v>1428</v>
      </c>
      <c r="D310" s="44" t="s">
        <v>1790</v>
      </c>
      <c r="E310" s="44" t="s">
        <v>2152</v>
      </c>
      <c r="F310" s="44" t="s">
        <v>2499</v>
      </c>
      <c r="G310" s="44" t="s">
        <v>2861</v>
      </c>
      <c r="H310" s="44" t="s">
        <v>3223</v>
      </c>
      <c r="I310" s="44" t="s">
        <v>4030</v>
      </c>
      <c r="J310" s="44" t="s">
        <v>4385</v>
      </c>
      <c r="K310" s="44" t="s">
        <v>4737</v>
      </c>
      <c r="L310" s="44" t="s">
        <v>5072</v>
      </c>
      <c r="M310" s="44" t="s">
        <v>5427</v>
      </c>
      <c r="N310" s="44" t="s">
        <v>5781</v>
      </c>
    </row>
    <row r="311" spans="1:14" x14ac:dyDescent="0.3">
      <c r="A311" s="44" t="s">
        <v>3787</v>
      </c>
      <c r="B311" s="44" t="s">
        <v>1067</v>
      </c>
      <c r="C311" s="44" t="s">
        <v>1429</v>
      </c>
      <c r="D311" s="44" t="s">
        <v>1791</v>
      </c>
      <c r="E311" s="44" t="s">
        <v>2153</v>
      </c>
      <c r="F311" s="44" t="s">
        <v>2500</v>
      </c>
      <c r="G311" s="44" t="s">
        <v>2862</v>
      </c>
      <c r="H311" s="44" t="s">
        <v>3224</v>
      </c>
      <c r="I311" s="44" t="s">
        <v>4031</v>
      </c>
      <c r="J311" s="44" t="s">
        <v>4386</v>
      </c>
      <c r="K311" s="44" t="s">
        <v>4738</v>
      </c>
      <c r="L311" s="44" t="s">
        <v>5073</v>
      </c>
      <c r="M311" s="44" t="s">
        <v>5428</v>
      </c>
      <c r="N311" s="44" t="s">
        <v>5782</v>
      </c>
    </row>
    <row r="312" spans="1:14" x14ac:dyDescent="0.3">
      <c r="A312" s="44" t="s">
        <v>3788</v>
      </c>
      <c r="B312" s="44" t="s">
        <v>1068</v>
      </c>
      <c r="C312" s="44" t="s">
        <v>1430</v>
      </c>
      <c r="D312" s="44" t="s">
        <v>1792</v>
      </c>
      <c r="E312" s="44" t="s">
        <v>2154</v>
      </c>
      <c r="F312" s="44" t="s">
        <v>2501</v>
      </c>
      <c r="G312" s="44" t="s">
        <v>2863</v>
      </c>
      <c r="H312" s="44" t="s">
        <v>3225</v>
      </c>
      <c r="I312" s="44" t="s">
        <v>4032</v>
      </c>
      <c r="J312" s="44" t="s">
        <v>4387</v>
      </c>
      <c r="K312" s="44" t="s">
        <v>4739</v>
      </c>
      <c r="L312" s="44" t="s">
        <v>5074</v>
      </c>
      <c r="M312" s="44" t="s">
        <v>5429</v>
      </c>
      <c r="N312" s="44" t="s">
        <v>5783</v>
      </c>
    </row>
    <row r="313" spans="1:14" x14ac:dyDescent="0.3">
      <c r="A313" s="44" t="s">
        <v>3789</v>
      </c>
      <c r="B313" s="44" t="s">
        <v>1069</v>
      </c>
      <c r="C313" s="44" t="s">
        <v>1431</v>
      </c>
      <c r="D313" s="44" t="s">
        <v>1793</v>
      </c>
      <c r="E313" s="44" t="s">
        <v>2155</v>
      </c>
      <c r="F313" s="44" t="s">
        <v>2502</v>
      </c>
      <c r="G313" s="44" t="s">
        <v>2864</v>
      </c>
      <c r="H313" s="44" t="s">
        <v>3226</v>
      </c>
      <c r="I313" s="44" t="s">
        <v>4033</v>
      </c>
      <c r="J313" s="44" t="s">
        <v>4388</v>
      </c>
      <c r="K313" s="44" t="s">
        <v>4740</v>
      </c>
      <c r="L313" s="44" t="s">
        <v>5075</v>
      </c>
      <c r="M313" s="44" t="s">
        <v>5430</v>
      </c>
      <c r="N313" s="44" t="s">
        <v>5784</v>
      </c>
    </row>
    <row r="314" spans="1:14" x14ac:dyDescent="0.3">
      <c r="A314" s="44" t="s">
        <v>3790</v>
      </c>
      <c r="B314" s="44" t="s">
        <v>1070</v>
      </c>
      <c r="C314" s="44" t="s">
        <v>1432</v>
      </c>
      <c r="D314" s="44" t="s">
        <v>1794</v>
      </c>
      <c r="E314" s="44" t="s">
        <v>2156</v>
      </c>
      <c r="F314" s="44" t="s">
        <v>2503</v>
      </c>
      <c r="G314" s="44" t="s">
        <v>2865</v>
      </c>
      <c r="H314" s="44" t="s">
        <v>3227</v>
      </c>
      <c r="I314" s="44" t="s">
        <v>4034</v>
      </c>
      <c r="J314" s="44" t="s">
        <v>4389</v>
      </c>
      <c r="K314" s="44" t="s">
        <v>4741</v>
      </c>
      <c r="L314" s="44" t="s">
        <v>5076</v>
      </c>
      <c r="M314" s="44" t="s">
        <v>5431</v>
      </c>
      <c r="N314" s="44" t="s">
        <v>5785</v>
      </c>
    </row>
    <row r="315" spans="1:14" x14ac:dyDescent="0.3">
      <c r="A315" s="44" t="s">
        <v>3791</v>
      </c>
      <c r="B315" s="44" t="s">
        <v>1071</v>
      </c>
      <c r="C315" s="44" t="s">
        <v>1433</v>
      </c>
      <c r="D315" s="44" t="s">
        <v>1795</v>
      </c>
      <c r="E315" s="44" t="s">
        <v>2157</v>
      </c>
      <c r="F315" s="44" t="s">
        <v>2504</v>
      </c>
      <c r="G315" s="44" t="s">
        <v>2866</v>
      </c>
      <c r="H315" s="44" t="s">
        <v>3228</v>
      </c>
      <c r="I315" s="44" t="s">
        <v>4035</v>
      </c>
      <c r="J315" s="44" t="s">
        <v>4390</v>
      </c>
      <c r="K315" s="44" t="s">
        <v>3843</v>
      </c>
      <c r="L315" s="44" t="s">
        <v>5077</v>
      </c>
      <c r="M315" s="44" t="s">
        <v>5432</v>
      </c>
      <c r="N315" s="44" t="s">
        <v>5786</v>
      </c>
    </row>
    <row r="316" spans="1:14" x14ac:dyDescent="0.3">
      <c r="A316" s="44" t="s">
        <v>3792</v>
      </c>
      <c r="B316" s="44" t="s">
        <v>1072</v>
      </c>
      <c r="C316" s="44" t="s">
        <v>1434</v>
      </c>
      <c r="D316" s="44" t="s">
        <v>1796</v>
      </c>
      <c r="E316" s="44" t="s">
        <v>2158</v>
      </c>
      <c r="F316" s="44" t="s">
        <v>2505</v>
      </c>
      <c r="G316" s="44" t="s">
        <v>2867</v>
      </c>
      <c r="H316" s="44" t="s">
        <v>3229</v>
      </c>
      <c r="I316" s="44" t="s">
        <v>4036</v>
      </c>
      <c r="J316" s="44" t="s">
        <v>4391</v>
      </c>
      <c r="K316" s="44" t="s">
        <v>4742</v>
      </c>
      <c r="L316" s="44" t="s">
        <v>5078</v>
      </c>
      <c r="M316" s="44" t="s">
        <v>5433</v>
      </c>
      <c r="N316" s="44" t="s">
        <v>5787</v>
      </c>
    </row>
    <row r="317" spans="1:14" x14ac:dyDescent="0.3">
      <c r="A317" s="44" t="s">
        <v>3793</v>
      </c>
      <c r="B317" s="44" t="s">
        <v>1073</v>
      </c>
      <c r="C317" s="44" t="s">
        <v>1435</v>
      </c>
      <c r="D317" s="44" t="s">
        <v>1797</v>
      </c>
      <c r="E317" s="44" t="s">
        <v>2159</v>
      </c>
      <c r="F317" s="44" t="s">
        <v>2506</v>
      </c>
      <c r="G317" s="44" t="s">
        <v>2868</v>
      </c>
      <c r="H317" s="44" t="s">
        <v>3230</v>
      </c>
      <c r="I317" s="44" t="s">
        <v>4037</v>
      </c>
      <c r="J317" s="44" t="s">
        <v>3870</v>
      </c>
      <c r="K317" s="44" t="s">
        <v>4743</v>
      </c>
      <c r="L317" s="44" t="s">
        <v>5079</v>
      </c>
      <c r="M317" s="44" t="s">
        <v>5434</v>
      </c>
      <c r="N317" s="44" t="s">
        <v>5788</v>
      </c>
    </row>
    <row r="318" spans="1:14" x14ac:dyDescent="0.3">
      <c r="A318" s="44" t="s">
        <v>3794</v>
      </c>
      <c r="B318" s="44" t="s">
        <v>1074</v>
      </c>
      <c r="C318" s="44" t="s">
        <v>1436</v>
      </c>
      <c r="D318" s="44" t="s">
        <v>1798</v>
      </c>
      <c r="E318" s="44" t="s">
        <v>2160</v>
      </c>
      <c r="F318" s="44" t="s">
        <v>2507</v>
      </c>
      <c r="G318" s="44" t="s">
        <v>2869</v>
      </c>
      <c r="H318" s="44" t="s">
        <v>3231</v>
      </c>
      <c r="I318" s="44" t="s">
        <v>4038</v>
      </c>
      <c r="J318" s="44" t="s">
        <v>4392</v>
      </c>
      <c r="K318" s="44" t="s">
        <v>4744</v>
      </c>
      <c r="L318" s="44" t="s">
        <v>5080</v>
      </c>
      <c r="M318" s="44" t="s">
        <v>5435</v>
      </c>
      <c r="N318" s="44" t="s">
        <v>5789</v>
      </c>
    </row>
    <row r="319" spans="1:14" x14ac:dyDescent="0.3">
      <c r="A319" s="44" t="s">
        <v>3795</v>
      </c>
      <c r="B319" s="44" t="s">
        <v>1075</v>
      </c>
      <c r="C319" s="44" t="s">
        <v>1437</v>
      </c>
      <c r="D319" s="44" t="s">
        <v>1799</v>
      </c>
      <c r="E319" s="44" t="s">
        <v>2161</v>
      </c>
      <c r="F319" s="44" t="s">
        <v>2508</v>
      </c>
      <c r="G319" s="44" t="s">
        <v>2870</v>
      </c>
      <c r="H319" s="44" t="s">
        <v>3232</v>
      </c>
      <c r="I319" s="44" t="s">
        <v>4039</v>
      </c>
      <c r="J319" s="44" t="s">
        <v>4393</v>
      </c>
      <c r="K319" s="44" t="s">
        <v>4745</v>
      </c>
      <c r="L319" s="44" t="s">
        <v>5081</v>
      </c>
      <c r="M319" s="44" t="s">
        <v>5436</v>
      </c>
      <c r="N319" s="44" t="s">
        <v>5790</v>
      </c>
    </row>
    <row r="320" spans="1:14" x14ac:dyDescent="0.3">
      <c r="A320" s="44" t="s">
        <v>3796</v>
      </c>
      <c r="B320" s="44" t="s">
        <v>1076</v>
      </c>
      <c r="C320" s="44" t="s">
        <v>1438</v>
      </c>
      <c r="D320" s="44" t="s">
        <v>1800</v>
      </c>
      <c r="E320" s="44" t="s">
        <v>2162</v>
      </c>
      <c r="F320" s="44" t="s">
        <v>2509</v>
      </c>
      <c r="G320" s="44" t="s">
        <v>2871</v>
      </c>
      <c r="H320" s="44" t="s">
        <v>3233</v>
      </c>
      <c r="I320" s="44" t="s">
        <v>4040</v>
      </c>
      <c r="J320" s="44" t="s">
        <v>4394</v>
      </c>
      <c r="K320" s="44" t="s">
        <v>4746</v>
      </c>
      <c r="L320" s="44" t="s">
        <v>5082</v>
      </c>
      <c r="M320" s="44" t="s">
        <v>5437</v>
      </c>
      <c r="N320" s="44" t="s">
        <v>5791</v>
      </c>
    </row>
    <row r="321" spans="1:14" x14ac:dyDescent="0.3">
      <c r="A321" s="44" t="s">
        <v>3797</v>
      </c>
      <c r="B321" s="44" t="s">
        <v>1077</v>
      </c>
      <c r="C321" s="44" t="s">
        <v>1439</v>
      </c>
      <c r="D321" s="44" t="s">
        <v>1801</v>
      </c>
      <c r="E321" s="44" t="s">
        <v>2163</v>
      </c>
      <c r="F321" s="44" t="s">
        <v>2510</v>
      </c>
      <c r="G321" s="44" t="s">
        <v>2872</v>
      </c>
      <c r="H321" s="44" t="s">
        <v>3234</v>
      </c>
      <c r="I321" s="44" t="s">
        <v>4041</v>
      </c>
      <c r="J321" s="44" t="s">
        <v>4395</v>
      </c>
      <c r="K321" s="44" t="s">
        <v>3889</v>
      </c>
      <c r="L321" s="44" t="s">
        <v>5083</v>
      </c>
      <c r="M321" s="44" t="s">
        <v>5438</v>
      </c>
      <c r="N321" s="44" t="s">
        <v>5792</v>
      </c>
    </row>
    <row r="322" spans="1:14" x14ac:dyDescent="0.3">
      <c r="A322" s="44" t="s">
        <v>3798</v>
      </c>
      <c r="B322" s="44" t="s">
        <v>1078</v>
      </c>
      <c r="C322" s="44" t="s">
        <v>1440</v>
      </c>
      <c r="D322" s="44" t="s">
        <v>1802</v>
      </c>
      <c r="E322" s="44" t="s">
        <v>2164</v>
      </c>
      <c r="F322" s="44" t="s">
        <v>2511</v>
      </c>
      <c r="G322" s="44" t="s">
        <v>2873</v>
      </c>
      <c r="H322" s="44" t="s">
        <v>3235</v>
      </c>
      <c r="I322" s="44" t="s">
        <v>4042</v>
      </c>
      <c r="J322" s="44" t="s">
        <v>4396</v>
      </c>
      <c r="K322" s="44" t="s">
        <v>4747</v>
      </c>
      <c r="L322" s="44" t="s">
        <v>5084</v>
      </c>
      <c r="M322" s="44" t="s">
        <v>5439</v>
      </c>
      <c r="N322" s="44" t="s">
        <v>5793</v>
      </c>
    </row>
    <row r="323" spans="1:14" x14ac:dyDescent="0.3">
      <c r="A323" s="44" t="s">
        <v>3799</v>
      </c>
      <c r="B323" s="44" t="s">
        <v>1079</v>
      </c>
      <c r="C323" s="44" t="s">
        <v>1441</v>
      </c>
      <c r="D323" s="44" t="s">
        <v>1803</v>
      </c>
      <c r="E323" s="44" t="s">
        <v>2165</v>
      </c>
      <c r="F323" s="44" t="s">
        <v>2512</v>
      </c>
      <c r="G323" s="44" t="s">
        <v>2874</v>
      </c>
      <c r="H323" s="44" t="s">
        <v>3236</v>
      </c>
      <c r="I323" s="44" t="s">
        <v>4043</v>
      </c>
      <c r="J323" s="44" t="s">
        <v>4397</v>
      </c>
      <c r="K323" s="44" t="s">
        <v>4748</v>
      </c>
      <c r="L323" s="44" t="s">
        <v>5085</v>
      </c>
      <c r="M323" s="44" t="s">
        <v>5440</v>
      </c>
      <c r="N323" s="44" t="s">
        <v>5794</v>
      </c>
    </row>
    <row r="324" spans="1:14" x14ac:dyDescent="0.3">
      <c r="A324" s="44" t="s">
        <v>3800</v>
      </c>
      <c r="B324" s="44" t="s">
        <v>1080</v>
      </c>
      <c r="C324" s="44" t="s">
        <v>1442</v>
      </c>
      <c r="D324" s="44" t="s">
        <v>1804</v>
      </c>
      <c r="E324" s="44" t="s">
        <v>2166</v>
      </c>
      <c r="F324" s="44" t="s">
        <v>2513</v>
      </c>
      <c r="G324" s="44" t="s">
        <v>2875</v>
      </c>
      <c r="H324" s="44" t="s">
        <v>3237</v>
      </c>
      <c r="I324" s="44" t="s">
        <v>4044</v>
      </c>
      <c r="J324" s="44" t="s">
        <v>4398</v>
      </c>
      <c r="K324" s="44" t="s">
        <v>4749</v>
      </c>
      <c r="L324" s="44" t="s">
        <v>5086</v>
      </c>
      <c r="M324" s="44" t="s">
        <v>5441</v>
      </c>
      <c r="N324" s="44" t="s">
        <v>5795</v>
      </c>
    </row>
    <row r="325" spans="1:14" x14ac:dyDescent="0.3">
      <c r="A325" s="44" t="s">
        <v>3801</v>
      </c>
      <c r="B325" s="44" t="s">
        <v>1081</v>
      </c>
      <c r="C325" s="44" t="s">
        <v>1443</v>
      </c>
      <c r="D325" s="44" t="s">
        <v>1805</v>
      </c>
      <c r="E325" s="44" t="s">
        <v>2167</v>
      </c>
      <c r="F325" s="44" t="s">
        <v>2514</v>
      </c>
      <c r="G325" s="44" t="s">
        <v>2876</v>
      </c>
      <c r="H325" s="44" t="s">
        <v>3238</v>
      </c>
      <c r="I325" s="44" t="s">
        <v>4045</v>
      </c>
      <c r="J325" s="44" t="s">
        <v>4399</v>
      </c>
      <c r="K325" s="44" t="s">
        <v>4750</v>
      </c>
      <c r="L325" s="44" t="s">
        <v>5087</v>
      </c>
      <c r="M325" s="44" t="s">
        <v>5442</v>
      </c>
      <c r="N325" s="44" t="s">
        <v>5796</v>
      </c>
    </row>
    <row r="326" spans="1:14" x14ac:dyDescent="0.3">
      <c r="A326" s="44" t="s">
        <v>3802</v>
      </c>
      <c r="B326" s="44" t="s">
        <v>1082</v>
      </c>
      <c r="C326" s="44" t="s">
        <v>1444</v>
      </c>
      <c r="D326" s="44" t="s">
        <v>1806</v>
      </c>
      <c r="E326" s="44" t="s">
        <v>2168</v>
      </c>
      <c r="F326" s="44" t="s">
        <v>2515</v>
      </c>
      <c r="G326" s="44" t="s">
        <v>2877</v>
      </c>
      <c r="H326" s="44" t="s">
        <v>3239</v>
      </c>
      <c r="I326" s="44" t="s">
        <v>4046</v>
      </c>
      <c r="J326" s="44" t="s">
        <v>4400</v>
      </c>
      <c r="K326" s="44" t="s">
        <v>4751</v>
      </c>
      <c r="L326" s="44" t="s">
        <v>5088</v>
      </c>
      <c r="M326" s="44" t="s">
        <v>5443</v>
      </c>
      <c r="N326" s="44" t="s">
        <v>3900</v>
      </c>
    </row>
    <row r="327" spans="1:14" x14ac:dyDescent="0.3">
      <c r="A327" s="44" t="s">
        <v>3803</v>
      </c>
      <c r="B327" s="44" t="s">
        <v>1083</v>
      </c>
      <c r="C327" s="44" t="s">
        <v>1445</v>
      </c>
      <c r="D327" s="44" t="s">
        <v>1807</v>
      </c>
      <c r="E327" s="44" t="s">
        <v>2169</v>
      </c>
      <c r="F327" s="44" t="s">
        <v>2516</v>
      </c>
      <c r="G327" s="44" t="s">
        <v>2878</v>
      </c>
      <c r="H327" s="44" t="s">
        <v>3240</v>
      </c>
      <c r="I327" s="44" t="s">
        <v>4047</v>
      </c>
      <c r="J327" s="44" t="s">
        <v>4401</v>
      </c>
      <c r="K327" s="44" t="s">
        <v>4752</v>
      </c>
      <c r="L327" s="44" t="s">
        <v>5089</v>
      </c>
      <c r="M327" s="44" t="s">
        <v>5444</v>
      </c>
      <c r="N327" s="44" t="s">
        <v>5797</v>
      </c>
    </row>
    <row r="328" spans="1:14" x14ac:dyDescent="0.3">
      <c r="A328" s="44" t="s">
        <v>3804</v>
      </c>
      <c r="B328" s="44" t="s">
        <v>1084</v>
      </c>
      <c r="C328" s="44" t="s">
        <v>1446</v>
      </c>
      <c r="D328" s="44" t="s">
        <v>1808</v>
      </c>
      <c r="E328" s="44" t="s">
        <v>2170</v>
      </c>
      <c r="F328" s="44" t="s">
        <v>2517</v>
      </c>
      <c r="G328" s="44" t="s">
        <v>2879</v>
      </c>
      <c r="H328" s="44" t="s">
        <v>3241</v>
      </c>
      <c r="I328" s="44" t="s">
        <v>4048</v>
      </c>
      <c r="J328" s="44" t="s">
        <v>4402</v>
      </c>
      <c r="K328" s="44" t="s">
        <v>4753</v>
      </c>
      <c r="L328" s="44" t="s">
        <v>5090</v>
      </c>
      <c r="M328" s="44" t="s">
        <v>5445</v>
      </c>
      <c r="N328" s="44" t="s">
        <v>5798</v>
      </c>
    </row>
    <row r="329" spans="1:14" x14ac:dyDescent="0.3">
      <c r="A329" s="44" t="s">
        <v>3805</v>
      </c>
      <c r="B329" s="44" t="s">
        <v>1085</v>
      </c>
      <c r="C329" s="44" t="s">
        <v>1447</v>
      </c>
      <c r="D329" s="44" t="s">
        <v>1809</v>
      </c>
      <c r="E329" s="44" t="s">
        <v>2171</v>
      </c>
      <c r="F329" s="44" t="s">
        <v>2518</v>
      </c>
      <c r="G329" s="44" t="s">
        <v>2880</v>
      </c>
      <c r="H329" s="44" t="s">
        <v>3242</v>
      </c>
      <c r="I329" s="44" t="s">
        <v>4049</v>
      </c>
      <c r="J329" s="44" t="s">
        <v>4403</v>
      </c>
      <c r="K329" s="44" t="s">
        <v>3901</v>
      </c>
      <c r="L329" s="44" t="s">
        <v>5091</v>
      </c>
      <c r="M329" s="44" t="s">
        <v>5446</v>
      </c>
      <c r="N329" s="44" t="s">
        <v>5799</v>
      </c>
    </row>
    <row r="330" spans="1:14" x14ac:dyDescent="0.3">
      <c r="A330" s="44" t="s">
        <v>3806</v>
      </c>
      <c r="B330" s="44" t="s">
        <v>1086</v>
      </c>
      <c r="C330" s="44" t="s">
        <v>1448</v>
      </c>
      <c r="D330" s="44" t="s">
        <v>1810</v>
      </c>
      <c r="E330" s="44" t="s">
        <v>2172</v>
      </c>
      <c r="F330" s="44" t="s">
        <v>2519</v>
      </c>
      <c r="G330" s="44" t="s">
        <v>2881</v>
      </c>
      <c r="H330" s="44" t="s">
        <v>3243</v>
      </c>
      <c r="I330" s="44" t="s">
        <v>4050</v>
      </c>
      <c r="J330" s="44" t="s">
        <v>4404</v>
      </c>
      <c r="K330" s="44" t="s">
        <v>4754</v>
      </c>
      <c r="L330" s="44" t="s">
        <v>5092</v>
      </c>
      <c r="M330" s="44" t="s">
        <v>5447</v>
      </c>
      <c r="N330" s="44" t="s">
        <v>5800</v>
      </c>
    </row>
    <row r="331" spans="1:14" x14ac:dyDescent="0.3">
      <c r="A331" s="44" t="s">
        <v>3807</v>
      </c>
      <c r="B331" s="44" t="s">
        <v>1087</v>
      </c>
      <c r="C331" s="44" t="s">
        <v>1449</v>
      </c>
      <c r="D331" s="44" t="s">
        <v>1811</v>
      </c>
      <c r="E331" s="44" t="s">
        <v>2173</v>
      </c>
      <c r="F331" s="44" t="s">
        <v>2520</v>
      </c>
      <c r="G331" s="44" t="s">
        <v>2882</v>
      </c>
      <c r="H331" s="44" t="s">
        <v>3244</v>
      </c>
      <c r="I331" s="44" t="s">
        <v>4051</v>
      </c>
      <c r="J331" s="44" t="s">
        <v>4405</v>
      </c>
      <c r="K331" s="44" t="s">
        <v>4755</v>
      </c>
      <c r="L331" s="44" t="s">
        <v>5093</v>
      </c>
      <c r="M331" s="44" t="s">
        <v>3871</v>
      </c>
      <c r="N331" s="44" t="s">
        <v>5801</v>
      </c>
    </row>
    <row r="332" spans="1:14" x14ac:dyDescent="0.3">
      <c r="A332" s="44" t="s">
        <v>3808</v>
      </c>
      <c r="B332" s="44" t="s">
        <v>1088</v>
      </c>
      <c r="C332" s="44" t="s">
        <v>1450</v>
      </c>
      <c r="D332" s="44" t="s">
        <v>1812</v>
      </c>
      <c r="E332" s="44" t="s">
        <v>2174</v>
      </c>
      <c r="F332" s="44" t="s">
        <v>2521</v>
      </c>
      <c r="G332" s="44" t="s">
        <v>2883</v>
      </c>
      <c r="H332" s="44" t="s">
        <v>3245</v>
      </c>
      <c r="I332" s="44" t="s">
        <v>4052</v>
      </c>
      <c r="J332" s="44" t="s">
        <v>4406</v>
      </c>
      <c r="K332" s="44" t="s">
        <v>4756</v>
      </c>
      <c r="L332" s="44" t="s">
        <v>5094</v>
      </c>
      <c r="M332" s="44" t="s">
        <v>5448</v>
      </c>
      <c r="N332" s="44" t="s">
        <v>5802</v>
      </c>
    </row>
    <row r="333" spans="1:14" x14ac:dyDescent="0.3">
      <c r="A333" s="44" t="s">
        <v>3809</v>
      </c>
      <c r="B333" s="44" t="s">
        <v>1089</v>
      </c>
      <c r="C333" s="44" t="s">
        <v>1451</v>
      </c>
      <c r="D333" s="44" t="s">
        <v>1813</v>
      </c>
      <c r="E333" s="44" t="s">
        <v>2175</v>
      </c>
      <c r="F333" s="44" t="s">
        <v>2522</v>
      </c>
      <c r="G333" s="44" t="s">
        <v>2884</v>
      </c>
      <c r="H333" s="44" t="s">
        <v>3246</v>
      </c>
      <c r="I333" s="44" t="s">
        <v>4053</v>
      </c>
      <c r="J333" s="44" t="s">
        <v>4407</v>
      </c>
      <c r="K333" s="44" t="s">
        <v>4757</v>
      </c>
      <c r="L333" s="44" t="s">
        <v>5095</v>
      </c>
      <c r="M333" s="44" t="s">
        <v>5449</v>
      </c>
      <c r="N333" s="44" t="s">
        <v>5803</v>
      </c>
    </row>
    <row r="334" spans="1:14" x14ac:dyDescent="0.3">
      <c r="A334" s="44" t="s">
        <v>3810</v>
      </c>
      <c r="B334" s="44" t="s">
        <v>1090</v>
      </c>
      <c r="C334" s="44" t="s">
        <v>1452</v>
      </c>
      <c r="D334" s="44" t="s">
        <v>1814</v>
      </c>
      <c r="E334" s="44" t="s">
        <v>2176</v>
      </c>
      <c r="F334" s="44" t="s">
        <v>2523</v>
      </c>
      <c r="G334" s="44" t="s">
        <v>2885</v>
      </c>
      <c r="H334" s="44" t="s">
        <v>3247</v>
      </c>
      <c r="I334" s="44" t="s">
        <v>4054</v>
      </c>
      <c r="J334" s="44" t="s">
        <v>4408</v>
      </c>
      <c r="K334" s="44" t="s">
        <v>4758</v>
      </c>
      <c r="L334" s="44" t="s">
        <v>5096</v>
      </c>
      <c r="M334" s="44" t="s">
        <v>5450</v>
      </c>
      <c r="N334" s="44" t="s">
        <v>5804</v>
      </c>
    </row>
    <row r="335" spans="1:14" x14ac:dyDescent="0.3">
      <c r="A335" s="44" t="s">
        <v>3811</v>
      </c>
      <c r="B335" s="44" t="s">
        <v>1091</v>
      </c>
      <c r="C335" s="44" t="s">
        <v>1453</v>
      </c>
      <c r="D335" s="44" t="s">
        <v>1815</v>
      </c>
      <c r="E335" s="44" t="s">
        <v>2177</v>
      </c>
      <c r="F335" s="44" t="s">
        <v>2524</v>
      </c>
      <c r="G335" s="44" t="s">
        <v>2886</v>
      </c>
      <c r="H335" s="44" t="s">
        <v>3248</v>
      </c>
      <c r="I335" s="44" t="s">
        <v>4055</v>
      </c>
      <c r="J335" s="44" t="s">
        <v>4409</v>
      </c>
      <c r="K335" s="44" t="s">
        <v>4759</v>
      </c>
      <c r="L335" s="44" t="s">
        <v>5097</v>
      </c>
      <c r="M335" s="44" t="s">
        <v>5451</v>
      </c>
      <c r="N335" s="44" t="s">
        <v>5805</v>
      </c>
    </row>
    <row r="336" spans="1:14" x14ac:dyDescent="0.3">
      <c r="A336" s="44" t="s">
        <v>3812</v>
      </c>
      <c r="B336" s="44" t="s">
        <v>1092</v>
      </c>
      <c r="C336" s="44" t="s">
        <v>1454</v>
      </c>
      <c r="D336" s="44" t="s">
        <v>1816</v>
      </c>
      <c r="E336" s="44" t="s">
        <v>2178</v>
      </c>
      <c r="F336" s="44" t="s">
        <v>2525</v>
      </c>
      <c r="G336" s="44" t="s">
        <v>2887</v>
      </c>
      <c r="H336" s="44" t="s">
        <v>3249</v>
      </c>
      <c r="I336" s="44" t="s">
        <v>4056</v>
      </c>
      <c r="J336" s="44" t="s">
        <v>4410</v>
      </c>
      <c r="K336" s="44" t="s">
        <v>4760</v>
      </c>
      <c r="L336" s="44" t="s">
        <v>5098</v>
      </c>
      <c r="M336" s="44" t="s">
        <v>5452</v>
      </c>
      <c r="N336" s="44" t="s">
        <v>5806</v>
      </c>
    </row>
    <row r="337" spans="1:14" x14ac:dyDescent="0.3">
      <c r="A337" s="44" t="s">
        <v>3813</v>
      </c>
      <c r="B337" s="44" t="s">
        <v>1093</v>
      </c>
      <c r="C337" s="44" t="s">
        <v>1455</v>
      </c>
      <c r="D337" s="44" t="s">
        <v>1817</v>
      </c>
      <c r="E337" s="44" t="s">
        <v>2179</v>
      </c>
      <c r="F337" s="44" t="s">
        <v>2526</v>
      </c>
      <c r="G337" s="44" t="s">
        <v>2888</v>
      </c>
      <c r="H337" s="44" t="s">
        <v>3250</v>
      </c>
      <c r="I337" s="44" t="s">
        <v>4057</v>
      </c>
      <c r="J337" s="44" t="s">
        <v>4411</v>
      </c>
      <c r="K337" s="44" t="s">
        <v>4761</v>
      </c>
      <c r="L337" s="44" t="s">
        <v>5099</v>
      </c>
      <c r="M337" s="44" t="s">
        <v>5453</v>
      </c>
      <c r="N337" s="44" t="s">
        <v>5807</v>
      </c>
    </row>
    <row r="338" spans="1:14" x14ac:dyDescent="0.3">
      <c r="A338" s="44" t="s">
        <v>3814</v>
      </c>
      <c r="B338" s="44" t="s">
        <v>1094</v>
      </c>
      <c r="C338" s="44" t="s">
        <v>1456</v>
      </c>
      <c r="D338" s="44" t="s">
        <v>1818</v>
      </c>
      <c r="E338" s="44" t="s">
        <v>2180</v>
      </c>
      <c r="F338" s="44" t="s">
        <v>2527</v>
      </c>
      <c r="G338" s="44" t="s">
        <v>2889</v>
      </c>
      <c r="H338" s="44" t="s">
        <v>3251</v>
      </c>
      <c r="I338" s="44" t="s">
        <v>3882</v>
      </c>
      <c r="J338" s="44" t="s">
        <v>4412</v>
      </c>
      <c r="K338" s="44" t="s">
        <v>4762</v>
      </c>
      <c r="L338" s="44" t="s">
        <v>5100</v>
      </c>
      <c r="M338" s="44" t="s">
        <v>5454</v>
      </c>
      <c r="N338" s="44" t="s">
        <v>5808</v>
      </c>
    </row>
    <row r="339" spans="1:14" x14ac:dyDescent="0.3">
      <c r="A339" s="44" t="s">
        <v>3815</v>
      </c>
      <c r="B339" s="44" t="s">
        <v>1095</v>
      </c>
      <c r="C339" s="44" t="s">
        <v>1457</v>
      </c>
      <c r="D339" s="44" t="s">
        <v>1819</v>
      </c>
      <c r="E339" s="44" t="s">
        <v>2181</v>
      </c>
      <c r="F339" s="44" t="s">
        <v>2528</v>
      </c>
      <c r="G339" s="44" t="s">
        <v>2890</v>
      </c>
      <c r="H339" s="44" t="s">
        <v>3252</v>
      </c>
      <c r="I339" s="44" t="s">
        <v>4058</v>
      </c>
      <c r="J339" s="44" t="s">
        <v>4413</v>
      </c>
      <c r="K339" s="44" t="s">
        <v>3902</v>
      </c>
      <c r="L339" s="44" t="s">
        <v>5101</v>
      </c>
      <c r="M339" s="44" t="s">
        <v>5455</v>
      </c>
      <c r="N339" s="44" t="s">
        <v>5809</v>
      </c>
    </row>
    <row r="340" spans="1:14" x14ac:dyDescent="0.3">
      <c r="A340" s="44" t="s">
        <v>3816</v>
      </c>
      <c r="B340" s="44" t="s">
        <v>1096</v>
      </c>
      <c r="C340" s="44" t="s">
        <v>1458</v>
      </c>
      <c r="D340" s="44" t="s">
        <v>1820</v>
      </c>
      <c r="E340" s="44" t="s">
        <v>2182</v>
      </c>
      <c r="F340" s="44" t="s">
        <v>2529</v>
      </c>
      <c r="G340" s="44" t="s">
        <v>2891</v>
      </c>
      <c r="H340" s="44" t="s">
        <v>3253</v>
      </c>
      <c r="I340" s="44" t="s">
        <v>4059</v>
      </c>
      <c r="J340" s="44" t="s">
        <v>4414</v>
      </c>
      <c r="K340" s="44" t="s">
        <v>4763</v>
      </c>
      <c r="L340" s="44" t="s">
        <v>5102</v>
      </c>
      <c r="M340" s="44" t="s">
        <v>5456</v>
      </c>
      <c r="N340" s="44" t="s">
        <v>5810</v>
      </c>
    </row>
    <row r="341" spans="1:14" x14ac:dyDescent="0.3">
      <c r="A341" s="44" t="s">
        <v>3817</v>
      </c>
      <c r="B341" s="44" t="s">
        <v>1097</v>
      </c>
      <c r="C341" s="44" t="s">
        <v>1459</v>
      </c>
      <c r="D341" s="44" t="s">
        <v>1821</v>
      </c>
      <c r="E341" s="44" t="s">
        <v>2183</v>
      </c>
      <c r="F341" s="44" t="s">
        <v>2530</v>
      </c>
      <c r="G341" s="44" t="s">
        <v>2892</v>
      </c>
      <c r="H341" s="44" t="s">
        <v>3254</v>
      </c>
      <c r="I341" s="44" t="s">
        <v>4060</v>
      </c>
      <c r="J341" s="44" t="s">
        <v>4415</v>
      </c>
      <c r="K341" s="44" t="s">
        <v>4764</v>
      </c>
      <c r="L341" s="44" t="s">
        <v>5103</v>
      </c>
      <c r="M341" s="44" t="s">
        <v>5457</v>
      </c>
      <c r="N341" s="44" t="s">
        <v>5811</v>
      </c>
    </row>
    <row r="342" spans="1:14" x14ac:dyDescent="0.3">
      <c r="A342" s="44" t="s">
        <v>3818</v>
      </c>
      <c r="B342" s="44" t="s">
        <v>1098</v>
      </c>
      <c r="C342" s="44" t="s">
        <v>1460</v>
      </c>
      <c r="D342" s="44" t="s">
        <v>1822</v>
      </c>
      <c r="E342" s="44" t="s">
        <v>2184</v>
      </c>
      <c r="F342" s="44" t="s">
        <v>2531</v>
      </c>
      <c r="G342" s="44" t="s">
        <v>2893</v>
      </c>
      <c r="H342" s="44" t="s">
        <v>3255</v>
      </c>
      <c r="I342" s="44" t="s">
        <v>4061</v>
      </c>
      <c r="J342" s="44" t="s">
        <v>4416</v>
      </c>
      <c r="K342" s="44" t="s">
        <v>4765</v>
      </c>
      <c r="L342" s="44" t="s">
        <v>5104</v>
      </c>
      <c r="M342" s="44" t="s">
        <v>5458</v>
      </c>
      <c r="N342" s="44" t="s">
        <v>5812</v>
      </c>
    </row>
    <row r="343" spans="1:14" x14ac:dyDescent="0.3">
      <c r="A343" s="44" t="s">
        <v>3819</v>
      </c>
      <c r="B343" s="44" t="s">
        <v>1099</v>
      </c>
      <c r="C343" s="44" t="s">
        <v>1461</v>
      </c>
      <c r="D343" s="44" t="s">
        <v>1823</v>
      </c>
      <c r="E343" s="44" t="s">
        <v>2185</v>
      </c>
      <c r="F343" s="44" t="s">
        <v>2532</v>
      </c>
      <c r="G343" s="44" t="s">
        <v>2894</v>
      </c>
      <c r="H343" s="44" t="s">
        <v>3256</v>
      </c>
      <c r="I343" s="44" t="s">
        <v>4062</v>
      </c>
      <c r="J343" s="44" t="s">
        <v>4417</v>
      </c>
      <c r="K343" s="44" t="s">
        <v>4766</v>
      </c>
      <c r="L343" s="44" t="s">
        <v>5105</v>
      </c>
      <c r="M343" s="44" t="s">
        <v>5459</v>
      </c>
      <c r="N343" s="44" t="s">
        <v>5813</v>
      </c>
    </row>
    <row r="344" spans="1:14" x14ac:dyDescent="0.3">
      <c r="A344" s="44" t="s">
        <v>3820</v>
      </c>
      <c r="B344" s="44" t="s">
        <v>1100</v>
      </c>
      <c r="C344" s="44" t="s">
        <v>1462</v>
      </c>
      <c r="D344" s="44" t="s">
        <v>1824</v>
      </c>
      <c r="E344" s="44" t="s">
        <v>2186</v>
      </c>
      <c r="F344" s="44" t="s">
        <v>2533</v>
      </c>
      <c r="G344" s="44" t="s">
        <v>2895</v>
      </c>
      <c r="H344" s="44" t="s">
        <v>3257</v>
      </c>
      <c r="I344" s="44" t="s">
        <v>4063</v>
      </c>
      <c r="J344" s="44" t="s">
        <v>4418</v>
      </c>
      <c r="K344" s="44" t="s">
        <v>4767</v>
      </c>
      <c r="L344" s="44" t="s">
        <v>5106</v>
      </c>
      <c r="M344" s="44" t="s">
        <v>5460</v>
      </c>
      <c r="N344" s="44" t="s">
        <v>5814</v>
      </c>
    </row>
    <row r="345" spans="1:14" x14ac:dyDescent="0.3">
      <c r="A345" s="44" t="s">
        <v>3821</v>
      </c>
      <c r="B345" s="44" t="s">
        <v>1101</v>
      </c>
      <c r="C345" s="44" t="s">
        <v>1463</v>
      </c>
      <c r="D345" s="44" t="s">
        <v>1825</v>
      </c>
      <c r="E345" s="44" t="s">
        <v>2187</v>
      </c>
      <c r="F345" s="44" t="s">
        <v>2534</v>
      </c>
      <c r="G345" s="44" t="s">
        <v>2896</v>
      </c>
      <c r="H345" s="44" t="s">
        <v>3258</v>
      </c>
      <c r="I345" s="44" t="s">
        <v>4064</v>
      </c>
      <c r="J345" s="44" t="s">
        <v>4419</v>
      </c>
      <c r="K345" s="44" t="s">
        <v>4768</v>
      </c>
      <c r="L345" s="44" t="s">
        <v>5107</v>
      </c>
      <c r="M345" s="44" t="s">
        <v>5461</v>
      </c>
      <c r="N345" s="44" t="s">
        <v>5815</v>
      </c>
    </row>
    <row r="346" spans="1:14" x14ac:dyDescent="0.3">
      <c r="A346" s="44" t="s">
        <v>3822</v>
      </c>
      <c r="B346" s="44" t="s">
        <v>1102</v>
      </c>
      <c r="C346" s="44" t="s">
        <v>1464</v>
      </c>
      <c r="D346" s="44" t="s">
        <v>1826</v>
      </c>
      <c r="E346" s="44" t="s">
        <v>2188</v>
      </c>
      <c r="F346" s="44" t="s">
        <v>2535</v>
      </c>
      <c r="G346" s="44" t="s">
        <v>2897</v>
      </c>
      <c r="H346" s="44" t="s">
        <v>3259</v>
      </c>
      <c r="I346" s="44" t="s">
        <v>4065</v>
      </c>
      <c r="J346" s="44" t="s">
        <v>4420</v>
      </c>
      <c r="K346" s="44" t="s">
        <v>4769</v>
      </c>
      <c r="L346" s="44" t="s">
        <v>5108</v>
      </c>
      <c r="M346" s="44" t="s">
        <v>5462</v>
      </c>
      <c r="N346" s="44" t="s">
        <v>5816</v>
      </c>
    </row>
    <row r="347" spans="1:14" x14ac:dyDescent="0.3">
      <c r="A347" s="44" t="s">
        <v>3823</v>
      </c>
      <c r="B347" s="44" t="s">
        <v>1103</v>
      </c>
      <c r="C347" s="44" t="s">
        <v>1465</v>
      </c>
      <c r="D347" s="44" t="s">
        <v>1827</v>
      </c>
      <c r="E347" s="44" t="s">
        <v>2189</v>
      </c>
      <c r="F347" s="44" t="s">
        <v>2536</v>
      </c>
      <c r="G347" s="44" t="s">
        <v>2898</v>
      </c>
      <c r="H347" s="44" t="s">
        <v>3260</v>
      </c>
      <c r="I347" s="44" t="s">
        <v>4066</v>
      </c>
      <c r="J347" s="44" t="s">
        <v>4421</v>
      </c>
      <c r="K347" s="44" t="s">
        <v>4770</v>
      </c>
      <c r="L347" s="44" t="s">
        <v>5109</v>
      </c>
      <c r="M347" s="44" t="s">
        <v>5463</v>
      </c>
      <c r="N347" s="44" t="s">
        <v>5817</v>
      </c>
    </row>
    <row r="348" spans="1:14" x14ac:dyDescent="0.3">
      <c r="A348" s="44" t="s">
        <v>3824</v>
      </c>
      <c r="B348" s="44" t="s">
        <v>1104</v>
      </c>
      <c r="C348" s="44" t="s">
        <v>1466</v>
      </c>
      <c r="D348" s="44" t="s">
        <v>1828</v>
      </c>
      <c r="E348" s="44" t="s">
        <v>2190</v>
      </c>
      <c r="F348" s="44" t="s">
        <v>2537</v>
      </c>
      <c r="G348" s="44" t="s">
        <v>2899</v>
      </c>
      <c r="H348" s="44" t="s">
        <v>3261</v>
      </c>
      <c r="I348" s="44" t="s">
        <v>4067</v>
      </c>
      <c r="J348" s="44" t="s">
        <v>4422</v>
      </c>
      <c r="K348" s="44" t="s">
        <v>4771</v>
      </c>
      <c r="L348" s="44" t="s">
        <v>5110</v>
      </c>
      <c r="M348" s="44" t="s">
        <v>5464</v>
      </c>
      <c r="N348" s="44" t="s">
        <v>5818</v>
      </c>
    </row>
    <row r="349" spans="1:14" x14ac:dyDescent="0.3">
      <c r="A349" s="44" t="s">
        <v>3825</v>
      </c>
      <c r="B349" s="44" t="s">
        <v>1105</v>
      </c>
      <c r="C349" s="44" t="s">
        <v>1467</v>
      </c>
      <c r="D349" s="44" t="s">
        <v>1829</v>
      </c>
      <c r="E349" s="44" t="s">
        <v>2191</v>
      </c>
      <c r="F349" s="44" t="s">
        <v>2538</v>
      </c>
      <c r="G349" s="44" t="s">
        <v>2900</v>
      </c>
      <c r="H349" s="44" t="s">
        <v>3262</v>
      </c>
      <c r="I349" s="44" t="s">
        <v>4068</v>
      </c>
      <c r="J349" s="44" t="s">
        <v>4423</v>
      </c>
      <c r="K349" s="44" t="s">
        <v>3903</v>
      </c>
      <c r="L349" s="44" t="s">
        <v>5111</v>
      </c>
      <c r="M349" s="44" t="s">
        <v>5465</v>
      </c>
      <c r="N349" s="44" t="s">
        <v>5819</v>
      </c>
    </row>
    <row r="350" spans="1:14" x14ac:dyDescent="0.3">
      <c r="A350" s="44" t="s">
        <v>3826</v>
      </c>
      <c r="B350" s="44" t="s">
        <v>1106</v>
      </c>
      <c r="C350" s="44" t="s">
        <v>1468</v>
      </c>
      <c r="D350" s="44" t="s">
        <v>1830</v>
      </c>
      <c r="E350" s="44" t="s">
        <v>2192</v>
      </c>
      <c r="F350" s="44" t="s">
        <v>2539</v>
      </c>
      <c r="G350" s="44" t="s">
        <v>2901</v>
      </c>
      <c r="H350" s="44" t="s">
        <v>3263</v>
      </c>
      <c r="I350" s="44" t="s">
        <v>4069</v>
      </c>
      <c r="J350" s="44" t="s">
        <v>4424</v>
      </c>
      <c r="K350" s="44" t="s">
        <v>4772</v>
      </c>
      <c r="L350" s="44" t="s">
        <v>5112</v>
      </c>
      <c r="M350" s="44" t="s">
        <v>5466</v>
      </c>
      <c r="N350" s="44" t="s">
        <v>5820</v>
      </c>
    </row>
    <row r="351" spans="1:14" x14ac:dyDescent="0.3">
      <c r="A351" s="44" t="s">
        <v>3827</v>
      </c>
      <c r="B351" s="44" t="s">
        <v>1107</v>
      </c>
      <c r="C351" s="44" t="s">
        <v>1469</v>
      </c>
      <c r="D351" s="44" t="s">
        <v>1831</v>
      </c>
      <c r="E351" s="44" t="s">
        <v>2193</v>
      </c>
      <c r="F351" s="44" t="s">
        <v>2540</v>
      </c>
      <c r="G351" s="44" t="s">
        <v>2902</v>
      </c>
      <c r="H351" s="44" t="s">
        <v>3264</v>
      </c>
      <c r="I351" s="44" t="s">
        <v>4070</v>
      </c>
      <c r="J351" s="44" t="s">
        <v>4425</v>
      </c>
      <c r="K351" s="44" t="s">
        <v>4773</v>
      </c>
      <c r="L351" s="44" t="s">
        <v>5113</v>
      </c>
      <c r="M351" s="44" t="s">
        <v>5467</v>
      </c>
      <c r="N351" s="44" t="s">
        <v>3845</v>
      </c>
    </row>
    <row r="352" spans="1:14" x14ac:dyDescent="0.3">
      <c r="A352" s="44" t="s">
        <v>3828</v>
      </c>
      <c r="B352" s="44" t="s">
        <v>1108</v>
      </c>
      <c r="C352" s="44" t="s">
        <v>1470</v>
      </c>
      <c r="D352" s="44" t="s">
        <v>1832</v>
      </c>
      <c r="E352" s="44" t="s">
        <v>2194</v>
      </c>
      <c r="F352" s="44" t="s">
        <v>2541</v>
      </c>
      <c r="G352" s="44" t="s">
        <v>2903</v>
      </c>
      <c r="H352" s="44" t="s">
        <v>3265</v>
      </c>
      <c r="I352" s="44" t="s">
        <v>4071</v>
      </c>
      <c r="J352" s="44" t="s">
        <v>4426</v>
      </c>
      <c r="K352" s="44" t="s">
        <v>4774</v>
      </c>
      <c r="L352" s="44" t="s">
        <v>5114</v>
      </c>
      <c r="M352" s="44" t="s">
        <v>5468</v>
      </c>
      <c r="N352" s="44" t="s">
        <v>5821</v>
      </c>
    </row>
    <row r="353" spans="1:14" x14ac:dyDescent="0.3">
      <c r="A353" s="44" t="s">
        <v>3829</v>
      </c>
      <c r="B353" s="44" t="s">
        <v>1109</v>
      </c>
      <c r="C353" s="44" t="s">
        <v>1471</v>
      </c>
      <c r="D353" s="44" t="s">
        <v>1833</v>
      </c>
      <c r="E353" s="44" t="s">
        <v>2195</v>
      </c>
      <c r="F353" s="44" t="s">
        <v>2542</v>
      </c>
      <c r="G353" s="44" t="s">
        <v>2904</v>
      </c>
      <c r="H353" s="44" t="s">
        <v>3266</v>
      </c>
      <c r="I353" s="44" t="s">
        <v>4072</v>
      </c>
      <c r="J353" s="44" t="s">
        <v>4427</v>
      </c>
      <c r="K353" s="44" t="s">
        <v>4775</v>
      </c>
      <c r="L353" s="44" t="s">
        <v>3893</v>
      </c>
      <c r="M353" s="44" t="s">
        <v>5469</v>
      </c>
      <c r="N353" s="44" t="s">
        <v>5822</v>
      </c>
    </row>
    <row r="354" spans="1:14" x14ac:dyDescent="0.3">
      <c r="A354" s="44" t="s">
        <v>3830</v>
      </c>
      <c r="B354" s="44" t="s">
        <v>1110</v>
      </c>
      <c r="C354" s="44" t="s">
        <v>1472</v>
      </c>
      <c r="D354" s="44" t="s">
        <v>1834</v>
      </c>
      <c r="E354" s="44" t="s">
        <v>2196</v>
      </c>
      <c r="F354" s="44" t="s">
        <v>2543</v>
      </c>
      <c r="G354" s="44" t="s">
        <v>2905</v>
      </c>
      <c r="H354" s="44" t="s">
        <v>3267</v>
      </c>
      <c r="I354" s="44" t="s">
        <v>4073</v>
      </c>
      <c r="J354" s="44" t="s">
        <v>4428</v>
      </c>
      <c r="K354" s="44" t="s">
        <v>4776</v>
      </c>
      <c r="L354" s="44" t="s">
        <v>5115</v>
      </c>
      <c r="M354" s="44" t="s">
        <v>5470</v>
      </c>
      <c r="N354" s="44" t="s">
        <v>5823</v>
      </c>
    </row>
    <row r="355" spans="1:14" x14ac:dyDescent="0.3">
      <c r="A355" s="44" t="s">
        <v>3831</v>
      </c>
      <c r="B355" s="44" t="s">
        <v>1111</v>
      </c>
      <c r="C355" s="44" t="s">
        <v>1473</v>
      </c>
      <c r="D355" s="44" t="s">
        <v>1835</v>
      </c>
      <c r="E355" s="44" t="s">
        <v>2197</v>
      </c>
      <c r="F355" s="44" t="s">
        <v>2544</v>
      </c>
      <c r="G355" s="44" t="s">
        <v>2906</v>
      </c>
      <c r="H355" s="44" t="s">
        <v>3268</v>
      </c>
      <c r="I355" s="44" t="s">
        <v>4074</v>
      </c>
      <c r="J355" s="44" t="s">
        <v>4429</v>
      </c>
      <c r="K355" s="44" t="s">
        <v>3865</v>
      </c>
      <c r="L355" s="44" t="s">
        <v>5116</v>
      </c>
      <c r="M355" s="44" t="s">
        <v>5471</v>
      </c>
      <c r="N355" s="44" t="s">
        <v>5824</v>
      </c>
    </row>
    <row r="356" spans="1:14" x14ac:dyDescent="0.3">
      <c r="A356" s="44" t="s">
        <v>3832</v>
      </c>
      <c r="B356" s="44" t="s">
        <v>1112</v>
      </c>
      <c r="C356" s="44" t="s">
        <v>1474</v>
      </c>
      <c r="D356" s="44" t="s">
        <v>1836</v>
      </c>
      <c r="E356" s="44" t="s">
        <v>2198</v>
      </c>
      <c r="F356" s="44" t="s">
        <v>2545</v>
      </c>
      <c r="G356" s="44" t="s">
        <v>2907</v>
      </c>
      <c r="H356" s="44" t="s">
        <v>3269</v>
      </c>
      <c r="I356" s="44" t="s">
        <v>4075</v>
      </c>
      <c r="J356" s="44" t="s">
        <v>4430</v>
      </c>
      <c r="K356" s="44" t="s">
        <v>4777</v>
      </c>
      <c r="L356" s="44" t="s">
        <v>5117</v>
      </c>
      <c r="M356" s="44" t="s">
        <v>5472</v>
      </c>
      <c r="N356" s="44" t="s">
        <v>5825</v>
      </c>
    </row>
    <row r="357" spans="1:14" x14ac:dyDescent="0.3">
      <c r="A357" s="44" t="s">
        <v>3833</v>
      </c>
      <c r="B357" s="44" t="s">
        <v>1113</v>
      </c>
      <c r="C357" s="44" t="s">
        <v>1475</v>
      </c>
      <c r="D357" s="44" t="s">
        <v>1837</v>
      </c>
      <c r="E357" s="44" t="s">
        <v>2199</v>
      </c>
      <c r="F357" s="44" t="s">
        <v>2546</v>
      </c>
      <c r="G357" s="44" t="s">
        <v>2908</v>
      </c>
      <c r="H357" s="44" t="s">
        <v>3270</v>
      </c>
      <c r="I357" s="44" t="s">
        <v>4076</v>
      </c>
      <c r="J357" s="44" t="s">
        <v>4431</v>
      </c>
      <c r="K357" s="44" t="s">
        <v>4778</v>
      </c>
      <c r="L357" s="44" t="s">
        <v>5118</v>
      </c>
      <c r="M357" s="44" t="s">
        <v>5473</v>
      </c>
      <c r="N357" s="44" t="s">
        <v>5826</v>
      </c>
    </row>
    <row r="358" spans="1:14" x14ac:dyDescent="0.3">
      <c r="A358" s="44" t="s">
        <v>3834</v>
      </c>
      <c r="B358" s="44" t="s">
        <v>1114</v>
      </c>
      <c r="C358" s="44" t="s">
        <v>1476</v>
      </c>
      <c r="D358" s="44" t="s">
        <v>1838</v>
      </c>
      <c r="E358" s="44" t="s">
        <v>2200</v>
      </c>
      <c r="F358" s="44" t="s">
        <v>2547</v>
      </c>
      <c r="G358" s="44" t="s">
        <v>2909</v>
      </c>
      <c r="H358" s="44" t="s">
        <v>3271</v>
      </c>
      <c r="I358" s="44" t="s">
        <v>4077</v>
      </c>
      <c r="J358" s="44" t="s">
        <v>4432</v>
      </c>
      <c r="K358" s="44" t="s">
        <v>4779</v>
      </c>
      <c r="L358" s="44" t="s">
        <v>5119</v>
      </c>
      <c r="M358" s="44" t="s">
        <v>5474</v>
      </c>
      <c r="N358" s="44" t="s">
        <v>5827</v>
      </c>
    </row>
    <row r="359" spans="1:14" x14ac:dyDescent="0.3">
      <c r="A359" s="44" t="s">
        <v>3835</v>
      </c>
      <c r="B359" s="44" t="s">
        <v>1115</v>
      </c>
      <c r="C359" s="44" t="s">
        <v>1477</v>
      </c>
      <c r="D359" s="44" t="s">
        <v>1839</v>
      </c>
      <c r="E359" s="44" t="s">
        <v>2201</v>
      </c>
      <c r="F359" s="44" t="s">
        <v>2548</v>
      </c>
      <c r="G359" s="44" t="s">
        <v>2910</v>
      </c>
      <c r="H359" s="44" t="s">
        <v>3272</v>
      </c>
      <c r="I359" s="44" t="s">
        <v>4078</v>
      </c>
      <c r="J359" s="44" t="s">
        <v>4433</v>
      </c>
      <c r="K359" s="44" t="s">
        <v>3904</v>
      </c>
      <c r="L359" s="44" t="s">
        <v>5120</v>
      </c>
      <c r="M359" s="44" t="s">
        <v>5475</v>
      </c>
      <c r="N359" s="44" t="s">
        <v>5828</v>
      </c>
    </row>
    <row r="360" spans="1:14" x14ac:dyDescent="0.3">
      <c r="A360" s="44" t="s">
        <v>3836</v>
      </c>
      <c r="B360" s="44" t="s">
        <v>1116</v>
      </c>
      <c r="C360" s="44" t="s">
        <v>1478</v>
      </c>
      <c r="D360" s="44" t="s">
        <v>1840</v>
      </c>
      <c r="E360" s="44" t="s">
        <v>2202</v>
      </c>
      <c r="F360" s="44" t="s">
        <v>2549</v>
      </c>
      <c r="G360" s="44" t="s">
        <v>2911</v>
      </c>
      <c r="H360" s="44" t="s">
        <v>3273</v>
      </c>
      <c r="I360" s="44" t="s">
        <v>4079</v>
      </c>
      <c r="J360" s="44" t="s">
        <v>4434</v>
      </c>
      <c r="K360" s="44" t="s">
        <v>4780</v>
      </c>
      <c r="L360" s="44" t="s">
        <v>5121</v>
      </c>
      <c r="M360" s="44" t="s">
        <v>5476</v>
      </c>
      <c r="N360" s="44" t="s">
        <v>5829</v>
      </c>
    </row>
    <row r="361" spans="1:14" x14ac:dyDescent="0.3">
      <c r="A361" s="44" t="s">
        <v>3837</v>
      </c>
      <c r="B361" s="44" t="s">
        <v>1117</v>
      </c>
      <c r="C361" s="44" t="s">
        <v>1479</v>
      </c>
      <c r="D361" s="44" t="s">
        <v>1841</v>
      </c>
      <c r="E361" s="44" t="s">
        <v>2203</v>
      </c>
      <c r="F361" s="44" t="s">
        <v>2550</v>
      </c>
      <c r="G361" s="44" t="s">
        <v>2912</v>
      </c>
      <c r="H361" s="44" t="s">
        <v>3274</v>
      </c>
      <c r="I361" s="44" t="s">
        <v>4080</v>
      </c>
      <c r="J361" s="44" t="s">
        <v>4435</v>
      </c>
      <c r="K361" s="44" t="s">
        <v>4781</v>
      </c>
      <c r="L361" s="44" t="s">
        <v>5122</v>
      </c>
      <c r="M361" s="44" t="s">
        <v>5477</v>
      </c>
      <c r="N361" s="44" t="s">
        <v>5830</v>
      </c>
    </row>
    <row r="362" spans="1:14" x14ac:dyDescent="0.3">
      <c r="A362" s="44" t="s">
        <v>3838</v>
      </c>
      <c r="B362" s="44" t="s">
        <v>1118</v>
      </c>
      <c r="C362" s="44" t="s">
        <v>1480</v>
      </c>
      <c r="D362" s="44" t="s">
        <v>1842</v>
      </c>
      <c r="E362" s="44" t="s">
        <v>2204</v>
      </c>
      <c r="F362" s="44" t="s">
        <v>2551</v>
      </c>
      <c r="G362" s="44" t="s">
        <v>2913</v>
      </c>
      <c r="H362" s="44" t="s">
        <v>3275</v>
      </c>
      <c r="I362" s="44" t="s">
        <v>4081</v>
      </c>
      <c r="J362" s="44" t="s">
        <v>4436</v>
      </c>
      <c r="K362" s="44" t="s">
        <v>4782</v>
      </c>
      <c r="L362" s="44" t="s">
        <v>5123</v>
      </c>
      <c r="M362" s="44" t="s">
        <v>5478</v>
      </c>
      <c r="N362" s="44" t="s">
        <v>5831</v>
      </c>
    </row>
    <row r="363" spans="1:14" x14ac:dyDescent="0.3">
      <c r="A363" s="44" t="s">
        <v>3839</v>
      </c>
      <c r="B363" s="44" t="s">
        <v>1119</v>
      </c>
      <c r="C363" s="44" t="s">
        <v>1481</v>
      </c>
      <c r="D363" s="44" t="s">
        <v>1843</v>
      </c>
      <c r="E363" s="44" t="s">
        <v>2205</v>
      </c>
      <c r="F363" s="44" t="s">
        <v>2552</v>
      </c>
      <c r="G363" s="44" t="s">
        <v>2914</v>
      </c>
      <c r="H363" s="44" t="s">
        <v>3276</v>
      </c>
      <c r="I363" s="44" t="s">
        <v>4082</v>
      </c>
      <c r="J363" s="44" t="s">
        <v>4437</v>
      </c>
      <c r="K363" s="44" t="s">
        <v>4783</v>
      </c>
      <c r="L363" s="44" t="s">
        <v>5124</v>
      </c>
      <c r="M363" s="44" t="s">
        <v>5479</v>
      </c>
      <c r="N363" s="44" t="s">
        <v>5832</v>
      </c>
    </row>
    <row r="364" spans="1:14" x14ac:dyDescent="0.3">
      <c r="A364" s="44" t="s">
        <v>3840</v>
      </c>
      <c r="B364" s="44" t="s">
        <v>1120</v>
      </c>
      <c r="C364" s="44" t="s">
        <v>1482</v>
      </c>
      <c r="D364" s="44" t="s">
        <v>1844</v>
      </c>
      <c r="E364" s="44" t="s">
        <v>2206</v>
      </c>
      <c r="F364" s="44" t="s">
        <v>2553</v>
      </c>
      <c r="G364" s="44" t="s">
        <v>2915</v>
      </c>
      <c r="H364" s="44" t="s">
        <v>3277</v>
      </c>
      <c r="I364" s="44" t="s">
        <v>4083</v>
      </c>
      <c r="J364" s="44" t="s">
        <v>4438</v>
      </c>
      <c r="K364" s="44" t="s">
        <v>4784</v>
      </c>
      <c r="L364" s="44" t="s">
        <v>5125</v>
      </c>
      <c r="M364" s="44" t="s">
        <v>5480</v>
      </c>
      <c r="N364" s="44" t="s">
        <v>5833</v>
      </c>
    </row>
    <row r="365" spans="1:14" x14ac:dyDescent="0.3">
      <c r="A365" s="44"/>
    </row>
    <row r="366" spans="1:14" x14ac:dyDescent="0.3">
      <c r="A366" s="44"/>
    </row>
    <row r="367" spans="1:14" x14ac:dyDescent="0.3">
      <c r="A367" s="44"/>
    </row>
    <row r="368" spans="1:14" x14ac:dyDescent="0.3">
      <c r="A368" s="44"/>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A89A-B284-4524-A564-1E9E745816B0}">
  <sheetPr>
    <tabColor rgb="FFFFC000"/>
  </sheetPr>
  <dimension ref="A3:G403"/>
  <sheetViews>
    <sheetView topLeftCell="B1" workbookViewId="0">
      <selection activeCell="D17" sqref="D17"/>
    </sheetView>
  </sheetViews>
  <sheetFormatPr baseColWidth="10" defaultRowHeight="14.4" x14ac:dyDescent="0.3"/>
  <cols>
    <col min="1" max="2" width="37.21875" bestFit="1" customWidth="1"/>
    <col min="3" max="3" width="8.44140625" bestFit="1" customWidth="1"/>
    <col min="4" max="4" width="44" bestFit="1" customWidth="1"/>
    <col min="5" max="5" width="24.44140625" bestFit="1" customWidth="1"/>
    <col min="6" max="6" width="14.44140625" bestFit="1" customWidth="1"/>
    <col min="7" max="7" width="12.44140625" bestFit="1" customWidth="1"/>
  </cols>
  <sheetData>
    <row r="3" spans="1:7" x14ac:dyDescent="0.3">
      <c r="A3" s="4" t="s">
        <v>3</v>
      </c>
      <c r="B3" s="4" t="s">
        <v>4</v>
      </c>
      <c r="C3" s="4" t="s">
        <v>5</v>
      </c>
      <c r="D3" s="4" t="s">
        <v>23</v>
      </c>
      <c r="E3" s="4" t="s">
        <v>6</v>
      </c>
      <c r="F3" s="4" t="s">
        <v>24</v>
      </c>
      <c r="G3" s="4" t="s">
        <v>383</v>
      </c>
    </row>
    <row r="4" spans="1:7" x14ac:dyDescent="0.3">
      <c r="A4" t="s">
        <v>5846</v>
      </c>
      <c r="B4" t="s">
        <v>7570</v>
      </c>
      <c r="C4" t="s">
        <v>19</v>
      </c>
      <c r="D4" t="s">
        <v>17</v>
      </c>
      <c r="E4" t="s">
        <v>14</v>
      </c>
      <c r="F4" t="s">
        <v>5843</v>
      </c>
      <c r="G4" t="s">
        <v>5951</v>
      </c>
    </row>
    <row r="5" spans="1:7" x14ac:dyDescent="0.3">
      <c r="A5" t="s">
        <v>5846</v>
      </c>
      <c r="B5" t="s">
        <v>7570</v>
      </c>
      <c r="C5" t="s">
        <v>19</v>
      </c>
      <c r="D5" t="s">
        <v>15</v>
      </c>
      <c r="E5" t="s">
        <v>14</v>
      </c>
      <c r="F5" t="s">
        <v>5843</v>
      </c>
      <c r="G5" t="s">
        <v>5906</v>
      </c>
    </row>
    <row r="6" spans="1:7" x14ac:dyDescent="0.3">
      <c r="A6" t="s">
        <v>5846</v>
      </c>
      <c r="B6" t="s">
        <v>7570</v>
      </c>
      <c r="C6" t="s">
        <v>19</v>
      </c>
      <c r="D6" t="s">
        <v>398</v>
      </c>
      <c r="E6" t="s">
        <v>14</v>
      </c>
      <c r="F6" t="s">
        <v>5851</v>
      </c>
      <c r="G6">
        <v>0</v>
      </c>
    </row>
    <row r="7" spans="1:7" x14ac:dyDescent="0.3">
      <c r="A7" t="s">
        <v>5846</v>
      </c>
      <c r="B7" t="s">
        <v>7570</v>
      </c>
      <c r="C7" t="s">
        <v>15</v>
      </c>
      <c r="D7" t="s">
        <v>17</v>
      </c>
      <c r="E7" t="s">
        <v>368</v>
      </c>
      <c r="F7" t="s">
        <v>5844</v>
      </c>
      <c r="G7" t="s">
        <v>5908</v>
      </c>
    </row>
    <row r="8" spans="1:7" x14ac:dyDescent="0.3">
      <c r="A8" t="s">
        <v>5846</v>
      </c>
      <c r="B8" t="s">
        <v>7570</v>
      </c>
      <c r="C8" t="s">
        <v>15</v>
      </c>
      <c r="D8" t="s">
        <v>17</v>
      </c>
      <c r="E8" t="s">
        <v>381</v>
      </c>
      <c r="F8" t="s">
        <v>5844</v>
      </c>
      <c r="G8" t="s">
        <v>5921</v>
      </c>
    </row>
    <row r="9" spans="1:7" x14ac:dyDescent="0.3">
      <c r="A9" t="s">
        <v>5846</v>
      </c>
      <c r="B9" t="s">
        <v>7570</v>
      </c>
      <c r="C9" t="s">
        <v>15</v>
      </c>
      <c r="D9" t="s">
        <v>17</v>
      </c>
      <c r="E9" t="s">
        <v>369</v>
      </c>
      <c r="F9" t="s">
        <v>5844</v>
      </c>
      <c r="G9" t="s">
        <v>5909</v>
      </c>
    </row>
    <row r="10" spans="1:7" x14ac:dyDescent="0.3">
      <c r="A10" t="s">
        <v>5846</v>
      </c>
      <c r="B10" t="s">
        <v>7570</v>
      </c>
      <c r="C10" t="s">
        <v>15</v>
      </c>
      <c r="D10" t="s">
        <v>17</v>
      </c>
      <c r="E10" t="s">
        <v>377</v>
      </c>
      <c r="F10" t="s">
        <v>5844</v>
      </c>
      <c r="G10" t="s">
        <v>5917</v>
      </c>
    </row>
    <row r="11" spans="1:7" x14ac:dyDescent="0.3">
      <c r="A11" t="s">
        <v>5846</v>
      </c>
      <c r="B11" t="s">
        <v>7570</v>
      </c>
      <c r="C11" t="s">
        <v>15</v>
      </c>
      <c r="D11" t="s">
        <v>17</v>
      </c>
      <c r="E11" t="s">
        <v>370</v>
      </c>
      <c r="F11" t="s">
        <v>5844</v>
      </c>
      <c r="G11" t="s">
        <v>5910</v>
      </c>
    </row>
    <row r="12" spans="1:7" x14ac:dyDescent="0.3">
      <c r="A12" t="s">
        <v>5846</v>
      </c>
      <c r="B12" t="s">
        <v>7570</v>
      </c>
      <c r="C12" t="s">
        <v>15</v>
      </c>
      <c r="D12" t="s">
        <v>17</v>
      </c>
      <c r="E12" t="s">
        <v>375</v>
      </c>
      <c r="F12" t="s">
        <v>5844</v>
      </c>
      <c r="G12" t="s">
        <v>5915</v>
      </c>
    </row>
    <row r="13" spans="1:7" x14ac:dyDescent="0.3">
      <c r="A13" t="s">
        <v>5846</v>
      </c>
      <c r="B13" t="s">
        <v>7570</v>
      </c>
      <c r="C13" t="s">
        <v>15</v>
      </c>
      <c r="D13" t="s">
        <v>17</v>
      </c>
      <c r="E13" t="s">
        <v>376</v>
      </c>
      <c r="F13" t="s">
        <v>5844</v>
      </c>
      <c r="G13" t="s">
        <v>5916</v>
      </c>
    </row>
    <row r="14" spans="1:7" x14ac:dyDescent="0.3">
      <c r="A14" t="s">
        <v>5846</v>
      </c>
      <c r="B14" t="s">
        <v>7570</v>
      </c>
      <c r="C14" t="s">
        <v>15</v>
      </c>
      <c r="D14" t="s">
        <v>17</v>
      </c>
      <c r="E14" t="s">
        <v>380</v>
      </c>
      <c r="F14" t="s">
        <v>5844</v>
      </c>
      <c r="G14" t="s">
        <v>5920</v>
      </c>
    </row>
    <row r="15" spans="1:7" x14ac:dyDescent="0.3">
      <c r="A15" t="s">
        <v>5846</v>
      </c>
      <c r="B15" t="s">
        <v>7570</v>
      </c>
      <c r="C15" t="s">
        <v>15</v>
      </c>
      <c r="D15" t="s">
        <v>17</v>
      </c>
      <c r="E15" t="s">
        <v>378</v>
      </c>
      <c r="F15" t="s">
        <v>5844</v>
      </c>
      <c r="G15" t="s">
        <v>5918</v>
      </c>
    </row>
    <row r="16" spans="1:7" x14ac:dyDescent="0.3">
      <c r="A16" t="s">
        <v>5846</v>
      </c>
      <c r="B16" t="s">
        <v>7570</v>
      </c>
      <c r="C16" t="s">
        <v>15</v>
      </c>
      <c r="D16" t="s">
        <v>17</v>
      </c>
      <c r="E16" t="s">
        <v>373</v>
      </c>
      <c r="F16" t="s">
        <v>5844</v>
      </c>
      <c r="G16" t="s">
        <v>5913</v>
      </c>
    </row>
    <row r="17" spans="1:7" x14ac:dyDescent="0.3">
      <c r="A17" t="s">
        <v>5846</v>
      </c>
      <c r="B17" t="s">
        <v>7570</v>
      </c>
      <c r="C17" t="s">
        <v>15</v>
      </c>
      <c r="D17" t="s">
        <v>17</v>
      </c>
      <c r="E17" t="s">
        <v>382</v>
      </c>
      <c r="F17" t="s">
        <v>5844</v>
      </c>
      <c r="G17" t="s">
        <v>5958</v>
      </c>
    </row>
    <row r="18" spans="1:7" x14ac:dyDescent="0.3">
      <c r="A18" t="s">
        <v>5846</v>
      </c>
      <c r="B18" t="s">
        <v>7570</v>
      </c>
      <c r="C18" t="s">
        <v>15</v>
      </c>
      <c r="D18" t="s">
        <v>17</v>
      </c>
      <c r="E18" t="s">
        <v>372</v>
      </c>
      <c r="F18" t="s">
        <v>5844</v>
      </c>
      <c r="G18" t="s">
        <v>5912</v>
      </c>
    </row>
    <row r="19" spans="1:7" x14ac:dyDescent="0.3">
      <c r="A19" t="s">
        <v>5846</v>
      </c>
      <c r="B19" t="s">
        <v>7570</v>
      </c>
      <c r="C19" t="s">
        <v>15</v>
      </c>
      <c r="D19" t="s">
        <v>17</v>
      </c>
      <c r="E19" t="s">
        <v>367</v>
      </c>
      <c r="F19" t="s">
        <v>5844</v>
      </c>
      <c r="G19" t="s">
        <v>5907</v>
      </c>
    </row>
    <row r="20" spans="1:7" x14ac:dyDescent="0.3">
      <c r="A20" t="s">
        <v>5846</v>
      </c>
      <c r="B20" t="s">
        <v>7570</v>
      </c>
      <c r="C20" t="s">
        <v>15</v>
      </c>
      <c r="D20" t="s">
        <v>17</v>
      </c>
      <c r="E20" t="s">
        <v>371</v>
      </c>
      <c r="F20" t="s">
        <v>5844</v>
      </c>
      <c r="G20" t="s">
        <v>5911</v>
      </c>
    </row>
    <row r="21" spans="1:7" x14ac:dyDescent="0.3">
      <c r="A21" t="s">
        <v>5846</v>
      </c>
      <c r="B21" t="s">
        <v>7570</v>
      </c>
      <c r="C21" t="s">
        <v>15</v>
      </c>
      <c r="D21" t="s">
        <v>17</v>
      </c>
      <c r="E21" t="s">
        <v>374</v>
      </c>
      <c r="F21" t="s">
        <v>5844</v>
      </c>
      <c r="G21" t="s">
        <v>5914</v>
      </c>
    </row>
    <row r="22" spans="1:7" x14ac:dyDescent="0.3">
      <c r="A22" t="s">
        <v>5846</v>
      </c>
      <c r="B22" t="s">
        <v>7570</v>
      </c>
      <c r="C22" t="s">
        <v>15</v>
      </c>
      <c r="D22" t="s">
        <v>17</v>
      </c>
      <c r="E22" t="s">
        <v>379</v>
      </c>
      <c r="F22" t="s">
        <v>5844</v>
      </c>
      <c r="G22" t="s">
        <v>5919</v>
      </c>
    </row>
    <row r="23" spans="1:7" x14ac:dyDescent="0.3">
      <c r="A23" t="s">
        <v>5846</v>
      </c>
      <c r="B23" t="s">
        <v>7570</v>
      </c>
      <c r="C23" t="s">
        <v>15</v>
      </c>
      <c r="D23" t="s">
        <v>398</v>
      </c>
      <c r="E23" t="s">
        <v>368</v>
      </c>
      <c r="F23" t="s">
        <v>5844</v>
      </c>
      <c r="G23" t="s">
        <v>5923</v>
      </c>
    </row>
    <row r="24" spans="1:7" x14ac:dyDescent="0.3">
      <c r="A24" t="s">
        <v>5846</v>
      </c>
      <c r="B24" t="s">
        <v>7570</v>
      </c>
      <c r="C24" t="s">
        <v>15</v>
      </c>
      <c r="D24" t="s">
        <v>398</v>
      </c>
      <c r="E24" t="s">
        <v>381</v>
      </c>
      <c r="F24" t="s">
        <v>5844</v>
      </c>
      <c r="G24" t="s">
        <v>5937</v>
      </c>
    </row>
    <row r="25" spans="1:7" x14ac:dyDescent="0.3">
      <c r="A25" t="s">
        <v>5846</v>
      </c>
      <c r="B25" t="s">
        <v>7570</v>
      </c>
      <c r="C25" t="s">
        <v>15</v>
      </c>
      <c r="D25" t="s">
        <v>398</v>
      </c>
      <c r="E25" t="s">
        <v>369</v>
      </c>
      <c r="F25" t="s">
        <v>5844</v>
      </c>
      <c r="G25" t="s">
        <v>5925</v>
      </c>
    </row>
    <row r="26" spans="1:7" x14ac:dyDescent="0.3">
      <c r="A26" t="s">
        <v>5846</v>
      </c>
      <c r="B26" t="s">
        <v>7570</v>
      </c>
      <c r="C26" t="s">
        <v>15</v>
      </c>
      <c r="D26" t="s">
        <v>398</v>
      </c>
      <c r="E26" t="s">
        <v>377</v>
      </c>
      <c r="F26" t="s">
        <v>5844</v>
      </c>
      <c r="G26" t="s">
        <v>5933</v>
      </c>
    </row>
    <row r="27" spans="1:7" x14ac:dyDescent="0.3">
      <c r="A27" t="s">
        <v>5846</v>
      </c>
      <c r="B27" t="s">
        <v>7570</v>
      </c>
      <c r="C27" t="s">
        <v>15</v>
      </c>
      <c r="D27" t="s">
        <v>398</v>
      </c>
      <c r="E27" t="s">
        <v>370</v>
      </c>
      <c r="F27" t="s">
        <v>5844</v>
      </c>
      <c r="G27" t="s">
        <v>5926</v>
      </c>
    </row>
    <row r="28" spans="1:7" x14ac:dyDescent="0.3">
      <c r="A28" t="s">
        <v>5846</v>
      </c>
      <c r="B28" t="s">
        <v>7570</v>
      </c>
      <c r="C28" t="s">
        <v>15</v>
      </c>
      <c r="D28" t="s">
        <v>398</v>
      </c>
      <c r="E28" t="s">
        <v>375</v>
      </c>
      <c r="F28" t="s">
        <v>5844</v>
      </c>
      <c r="G28" t="s">
        <v>5931</v>
      </c>
    </row>
    <row r="29" spans="1:7" x14ac:dyDescent="0.3">
      <c r="A29" t="s">
        <v>5846</v>
      </c>
      <c r="B29" t="s">
        <v>7570</v>
      </c>
      <c r="C29" t="s">
        <v>15</v>
      </c>
      <c r="D29" t="s">
        <v>398</v>
      </c>
      <c r="E29" t="s">
        <v>376</v>
      </c>
      <c r="F29" t="s">
        <v>5844</v>
      </c>
      <c r="G29" t="s">
        <v>5932</v>
      </c>
    </row>
    <row r="30" spans="1:7" x14ac:dyDescent="0.3">
      <c r="A30" t="s">
        <v>5846</v>
      </c>
      <c r="B30" t="s">
        <v>7570</v>
      </c>
      <c r="C30" t="s">
        <v>15</v>
      </c>
      <c r="D30" t="s">
        <v>398</v>
      </c>
      <c r="E30" t="s">
        <v>380</v>
      </c>
      <c r="F30" t="s">
        <v>5844</v>
      </c>
      <c r="G30" t="s">
        <v>5936</v>
      </c>
    </row>
    <row r="31" spans="1:7" x14ac:dyDescent="0.3">
      <c r="A31" t="s">
        <v>5846</v>
      </c>
      <c r="B31" t="s">
        <v>7570</v>
      </c>
      <c r="C31" t="s">
        <v>15</v>
      </c>
      <c r="D31" t="s">
        <v>398</v>
      </c>
      <c r="E31" t="s">
        <v>378</v>
      </c>
      <c r="F31" t="s">
        <v>5844</v>
      </c>
      <c r="G31" t="s">
        <v>5934</v>
      </c>
    </row>
    <row r="32" spans="1:7" x14ac:dyDescent="0.3">
      <c r="A32" t="s">
        <v>5846</v>
      </c>
      <c r="B32" t="s">
        <v>7570</v>
      </c>
      <c r="C32" t="s">
        <v>15</v>
      </c>
      <c r="D32" t="s">
        <v>398</v>
      </c>
      <c r="E32" t="s">
        <v>373</v>
      </c>
      <c r="F32" t="s">
        <v>5844</v>
      </c>
      <c r="G32" t="s">
        <v>5929</v>
      </c>
    </row>
    <row r="33" spans="1:7" x14ac:dyDescent="0.3">
      <c r="A33" t="s">
        <v>5846</v>
      </c>
      <c r="B33" t="s">
        <v>7570</v>
      </c>
      <c r="C33" t="s">
        <v>15</v>
      </c>
      <c r="D33" t="s">
        <v>398</v>
      </c>
      <c r="E33" t="s">
        <v>382</v>
      </c>
      <c r="F33" t="s">
        <v>5844</v>
      </c>
      <c r="G33" t="s">
        <v>5924</v>
      </c>
    </row>
    <row r="34" spans="1:7" x14ac:dyDescent="0.3">
      <c r="A34" t="s">
        <v>5846</v>
      </c>
      <c r="B34" t="s">
        <v>7570</v>
      </c>
      <c r="C34" t="s">
        <v>15</v>
      </c>
      <c r="D34" t="s">
        <v>398</v>
      </c>
      <c r="E34" t="s">
        <v>372</v>
      </c>
      <c r="F34" t="s">
        <v>5844</v>
      </c>
      <c r="G34" t="s">
        <v>5928</v>
      </c>
    </row>
    <row r="35" spans="1:7" x14ac:dyDescent="0.3">
      <c r="A35" t="s">
        <v>5846</v>
      </c>
      <c r="B35" t="s">
        <v>7570</v>
      </c>
      <c r="C35" t="s">
        <v>15</v>
      </c>
      <c r="D35" t="s">
        <v>398</v>
      </c>
      <c r="E35" t="s">
        <v>367</v>
      </c>
      <c r="F35" t="s">
        <v>5844</v>
      </c>
      <c r="G35" t="s">
        <v>5922</v>
      </c>
    </row>
    <row r="36" spans="1:7" x14ac:dyDescent="0.3">
      <c r="A36" t="s">
        <v>5846</v>
      </c>
      <c r="B36" t="s">
        <v>7570</v>
      </c>
      <c r="C36" t="s">
        <v>15</v>
      </c>
      <c r="D36" t="s">
        <v>398</v>
      </c>
      <c r="E36" t="s">
        <v>371</v>
      </c>
      <c r="F36" t="s">
        <v>5844</v>
      </c>
      <c r="G36" t="s">
        <v>5927</v>
      </c>
    </row>
    <row r="37" spans="1:7" x14ac:dyDescent="0.3">
      <c r="A37" t="s">
        <v>5846</v>
      </c>
      <c r="B37" t="s">
        <v>7570</v>
      </c>
      <c r="C37" t="s">
        <v>15</v>
      </c>
      <c r="D37" t="s">
        <v>398</v>
      </c>
      <c r="E37" t="s">
        <v>374</v>
      </c>
      <c r="F37" t="s">
        <v>5844</v>
      </c>
      <c r="G37" t="s">
        <v>5930</v>
      </c>
    </row>
    <row r="38" spans="1:7" x14ac:dyDescent="0.3">
      <c r="A38" t="s">
        <v>5846</v>
      </c>
      <c r="B38" t="s">
        <v>7570</v>
      </c>
      <c r="C38" t="s">
        <v>15</v>
      </c>
      <c r="D38" t="s">
        <v>398</v>
      </c>
      <c r="E38" t="s">
        <v>379</v>
      </c>
      <c r="F38" t="s">
        <v>5844</v>
      </c>
      <c r="G38" t="s">
        <v>5935</v>
      </c>
    </row>
    <row r="39" spans="1:7" x14ac:dyDescent="0.3">
      <c r="A39" t="s">
        <v>5955</v>
      </c>
      <c r="B39" t="s">
        <v>7570</v>
      </c>
      <c r="C39" t="s">
        <v>19</v>
      </c>
      <c r="D39" t="s">
        <v>15</v>
      </c>
      <c r="E39" t="s">
        <v>14</v>
      </c>
      <c r="F39" t="s">
        <v>5851</v>
      </c>
      <c r="G39" t="s">
        <v>5906</v>
      </c>
    </row>
    <row r="40" spans="1:7" x14ac:dyDescent="0.3">
      <c r="A40" t="s">
        <v>5955</v>
      </c>
      <c r="B40" t="s">
        <v>7570</v>
      </c>
      <c r="C40" t="s">
        <v>15</v>
      </c>
      <c r="D40" t="s">
        <v>398</v>
      </c>
      <c r="E40" t="s">
        <v>371</v>
      </c>
      <c r="F40" t="s">
        <v>5849</v>
      </c>
      <c r="G40" t="s">
        <v>5927</v>
      </c>
    </row>
    <row r="41" spans="1:7" x14ac:dyDescent="0.3">
      <c r="A41" t="s">
        <v>5955</v>
      </c>
      <c r="B41" t="s">
        <v>7570</v>
      </c>
      <c r="C41" t="s">
        <v>15</v>
      </c>
      <c r="D41" t="s">
        <v>398</v>
      </c>
      <c r="E41" t="s">
        <v>374</v>
      </c>
      <c r="F41" t="s">
        <v>5849</v>
      </c>
      <c r="G41" t="s">
        <v>5930</v>
      </c>
    </row>
    <row r="42" spans="1:7" x14ac:dyDescent="0.3">
      <c r="A42" t="s">
        <v>5955</v>
      </c>
      <c r="B42" t="s">
        <v>7570</v>
      </c>
      <c r="C42" t="s">
        <v>15</v>
      </c>
      <c r="D42" t="s">
        <v>398</v>
      </c>
      <c r="E42" t="s">
        <v>379</v>
      </c>
      <c r="F42" t="s">
        <v>5849</v>
      </c>
      <c r="G42" t="s">
        <v>5935</v>
      </c>
    </row>
    <row r="43" spans="1:7" x14ac:dyDescent="0.3">
      <c r="A43" t="s">
        <v>5956</v>
      </c>
      <c r="B43" t="s">
        <v>7570</v>
      </c>
      <c r="C43" t="s">
        <v>19</v>
      </c>
      <c r="D43" t="s">
        <v>398</v>
      </c>
      <c r="E43" t="s">
        <v>14</v>
      </c>
      <c r="F43" t="s">
        <v>5855</v>
      </c>
      <c r="G43">
        <v>0</v>
      </c>
    </row>
    <row r="44" spans="1:7" x14ac:dyDescent="0.3">
      <c r="A44" t="s">
        <v>5957</v>
      </c>
      <c r="B44" t="s">
        <v>7570</v>
      </c>
      <c r="C44" t="s">
        <v>19</v>
      </c>
      <c r="D44" t="s">
        <v>398</v>
      </c>
      <c r="E44" t="s">
        <v>14</v>
      </c>
      <c r="F44" t="s">
        <v>5851</v>
      </c>
      <c r="G44">
        <v>0</v>
      </c>
    </row>
    <row r="45" spans="1:7" x14ac:dyDescent="0.3">
      <c r="A45" t="s">
        <v>5863</v>
      </c>
      <c r="B45" t="s">
        <v>7570</v>
      </c>
      <c r="C45" t="s">
        <v>19</v>
      </c>
      <c r="D45" t="s">
        <v>398</v>
      </c>
      <c r="E45" t="s">
        <v>14</v>
      </c>
      <c r="F45" t="s">
        <v>5851</v>
      </c>
      <c r="G45">
        <v>0</v>
      </c>
    </row>
    <row r="46" spans="1:7" x14ac:dyDescent="0.3">
      <c r="A46" t="s">
        <v>5959</v>
      </c>
      <c r="B46" t="s">
        <v>5960</v>
      </c>
      <c r="C46" t="s">
        <v>19</v>
      </c>
      <c r="D46" t="s">
        <v>15</v>
      </c>
      <c r="E46" t="s">
        <v>14</v>
      </c>
      <c r="F46" t="s">
        <v>5961</v>
      </c>
      <c r="G46" t="s">
        <v>5906</v>
      </c>
    </row>
    <row r="47" spans="1:7" x14ac:dyDescent="0.3">
      <c r="A47" t="s">
        <v>5959</v>
      </c>
      <c r="B47" t="s">
        <v>5960</v>
      </c>
      <c r="C47" t="s">
        <v>19</v>
      </c>
      <c r="D47" t="s">
        <v>15</v>
      </c>
      <c r="E47" t="s">
        <v>14</v>
      </c>
      <c r="F47" t="s">
        <v>6114</v>
      </c>
      <c r="G47" t="s">
        <v>5906</v>
      </c>
    </row>
    <row r="48" spans="1:7" x14ac:dyDescent="0.3">
      <c r="A48" t="s">
        <v>5959</v>
      </c>
      <c r="B48" t="s">
        <v>5960</v>
      </c>
      <c r="C48" t="s">
        <v>19</v>
      </c>
      <c r="D48" t="s">
        <v>15</v>
      </c>
      <c r="E48" t="s">
        <v>14</v>
      </c>
      <c r="F48" t="s">
        <v>6148</v>
      </c>
      <c r="G48" t="s">
        <v>5906</v>
      </c>
    </row>
    <row r="49" spans="1:7" x14ac:dyDescent="0.3">
      <c r="A49" t="s">
        <v>5959</v>
      </c>
      <c r="B49" t="s">
        <v>5960</v>
      </c>
      <c r="C49" t="s">
        <v>19</v>
      </c>
      <c r="D49" t="s">
        <v>15</v>
      </c>
      <c r="E49" t="s">
        <v>14</v>
      </c>
      <c r="F49" t="s">
        <v>6169</v>
      </c>
      <c r="G49" t="s">
        <v>5906</v>
      </c>
    </row>
    <row r="50" spans="1:7" x14ac:dyDescent="0.3">
      <c r="A50" t="s">
        <v>5959</v>
      </c>
      <c r="B50" t="s">
        <v>5960</v>
      </c>
      <c r="C50" t="s">
        <v>19</v>
      </c>
      <c r="D50" t="s">
        <v>398</v>
      </c>
      <c r="E50" t="s">
        <v>14</v>
      </c>
      <c r="F50" t="s">
        <v>5961</v>
      </c>
      <c r="G50" t="s">
        <v>5906</v>
      </c>
    </row>
    <row r="51" spans="1:7" x14ac:dyDescent="0.3">
      <c r="A51" t="s">
        <v>5959</v>
      </c>
      <c r="B51" t="s">
        <v>5960</v>
      </c>
      <c r="C51" t="s">
        <v>19</v>
      </c>
      <c r="D51" t="s">
        <v>398</v>
      </c>
      <c r="E51" t="s">
        <v>14</v>
      </c>
      <c r="F51" t="s">
        <v>5961</v>
      </c>
      <c r="G51" t="s">
        <v>5951</v>
      </c>
    </row>
    <row r="52" spans="1:7" x14ac:dyDescent="0.3">
      <c r="A52" t="s">
        <v>5959</v>
      </c>
      <c r="B52" t="s">
        <v>5960</v>
      </c>
      <c r="C52" t="s">
        <v>19</v>
      </c>
      <c r="D52" t="s">
        <v>398</v>
      </c>
      <c r="E52" t="s">
        <v>14</v>
      </c>
      <c r="F52" t="s">
        <v>6114</v>
      </c>
      <c r="G52" t="s">
        <v>5951</v>
      </c>
    </row>
    <row r="53" spans="1:7" x14ac:dyDescent="0.3">
      <c r="A53" t="s">
        <v>5959</v>
      </c>
      <c r="B53" t="s">
        <v>5960</v>
      </c>
      <c r="C53" t="s">
        <v>15</v>
      </c>
      <c r="D53" t="s">
        <v>398</v>
      </c>
      <c r="E53" t="s">
        <v>368</v>
      </c>
      <c r="F53" t="s">
        <v>5961</v>
      </c>
      <c r="G53" t="s">
        <v>5908</v>
      </c>
    </row>
    <row r="54" spans="1:7" x14ac:dyDescent="0.3">
      <c r="A54" t="s">
        <v>5959</v>
      </c>
      <c r="B54" t="s">
        <v>5960</v>
      </c>
      <c r="C54" t="s">
        <v>15</v>
      </c>
      <c r="D54" t="s">
        <v>398</v>
      </c>
      <c r="E54" t="s">
        <v>368</v>
      </c>
      <c r="F54" t="s">
        <v>5961</v>
      </c>
      <c r="G54" t="s">
        <v>5923</v>
      </c>
    </row>
    <row r="55" spans="1:7" x14ac:dyDescent="0.3">
      <c r="A55" t="s">
        <v>5959</v>
      </c>
      <c r="B55" t="s">
        <v>5960</v>
      </c>
      <c r="C55" t="s">
        <v>15</v>
      </c>
      <c r="D55" t="s">
        <v>398</v>
      </c>
      <c r="E55" t="s">
        <v>368</v>
      </c>
      <c r="F55" t="s">
        <v>6114</v>
      </c>
      <c r="G55" t="s">
        <v>5908</v>
      </c>
    </row>
    <row r="56" spans="1:7" x14ac:dyDescent="0.3">
      <c r="A56" t="s">
        <v>5959</v>
      </c>
      <c r="B56" t="s">
        <v>5960</v>
      </c>
      <c r="C56" t="s">
        <v>15</v>
      </c>
      <c r="D56" t="s">
        <v>398</v>
      </c>
      <c r="E56" t="s">
        <v>368</v>
      </c>
      <c r="F56" t="s">
        <v>6114</v>
      </c>
      <c r="G56" t="s">
        <v>5923</v>
      </c>
    </row>
    <row r="57" spans="1:7" x14ac:dyDescent="0.3">
      <c r="A57" t="s">
        <v>5959</v>
      </c>
      <c r="B57" t="s">
        <v>5960</v>
      </c>
      <c r="C57" t="s">
        <v>15</v>
      </c>
      <c r="D57" t="s">
        <v>398</v>
      </c>
      <c r="E57" t="s">
        <v>381</v>
      </c>
      <c r="F57" t="s">
        <v>5961</v>
      </c>
      <c r="G57" t="s">
        <v>5921</v>
      </c>
    </row>
    <row r="58" spans="1:7" x14ac:dyDescent="0.3">
      <c r="A58" t="s">
        <v>5959</v>
      </c>
      <c r="B58" t="s">
        <v>5960</v>
      </c>
      <c r="C58" t="s">
        <v>15</v>
      </c>
      <c r="D58" t="s">
        <v>398</v>
      </c>
      <c r="E58" t="s">
        <v>381</v>
      </c>
      <c r="F58" t="s">
        <v>5961</v>
      </c>
      <c r="G58" t="s">
        <v>5937</v>
      </c>
    </row>
    <row r="59" spans="1:7" x14ac:dyDescent="0.3">
      <c r="A59" t="s">
        <v>5959</v>
      </c>
      <c r="B59" t="s">
        <v>5960</v>
      </c>
      <c r="C59" t="s">
        <v>15</v>
      </c>
      <c r="D59" t="s">
        <v>398</v>
      </c>
      <c r="E59" t="s">
        <v>381</v>
      </c>
      <c r="F59" t="s">
        <v>6114</v>
      </c>
      <c r="G59" t="s">
        <v>5921</v>
      </c>
    </row>
    <row r="60" spans="1:7" x14ac:dyDescent="0.3">
      <c r="A60" t="s">
        <v>5959</v>
      </c>
      <c r="B60" t="s">
        <v>5960</v>
      </c>
      <c r="C60" t="s">
        <v>15</v>
      </c>
      <c r="D60" t="s">
        <v>398</v>
      </c>
      <c r="E60" t="s">
        <v>381</v>
      </c>
      <c r="F60" t="s">
        <v>6114</v>
      </c>
      <c r="G60" t="s">
        <v>5937</v>
      </c>
    </row>
    <row r="61" spans="1:7" x14ac:dyDescent="0.3">
      <c r="A61" t="s">
        <v>5959</v>
      </c>
      <c r="B61" t="s">
        <v>5960</v>
      </c>
      <c r="C61" t="s">
        <v>15</v>
      </c>
      <c r="D61" t="s">
        <v>398</v>
      </c>
      <c r="E61" t="s">
        <v>369</v>
      </c>
      <c r="F61" t="s">
        <v>5961</v>
      </c>
      <c r="G61" t="s">
        <v>5909</v>
      </c>
    </row>
    <row r="62" spans="1:7" x14ac:dyDescent="0.3">
      <c r="A62" t="s">
        <v>5959</v>
      </c>
      <c r="B62" t="s">
        <v>5960</v>
      </c>
      <c r="C62" t="s">
        <v>15</v>
      </c>
      <c r="D62" t="s">
        <v>398</v>
      </c>
      <c r="E62" t="s">
        <v>369</v>
      </c>
      <c r="F62" t="s">
        <v>5961</v>
      </c>
      <c r="G62" t="s">
        <v>5925</v>
      </c>
    </row>
    <row r="63" spans="1:7" x14ac:dyDescent="0.3">
      <c r="A63" t="s">
        <v>5959</v>
      </c>
      <c r="B63" t="s">
        <v>5960</v>
      </c>
      <c r="C63" t="s">
        <v>15</v>
      </c>
      <c r="D63" t="s">
        <v>398</v>
      </c>
      <c r="E63" t="s">
        <v>369</v>
      </c>
      <c r="F63" t="s">
        <v>6114</v>
      </c>
      <c r="G63" t="s">
        <v>5909</v>
      </c>
    </row>
    <row r="64" spans="1:7" x14ac:dyDescent="0.3">
      <c r="A64" t="s">
        <v>5959</v>
      </c>
      <c r="B64" t="s">
        <v>5960</v>
      </c>
      <c r="C64" t="s">
        <v>15</v>
      </c>
      <c r="D64" t="s">
        <v>398</v>
      </c>
      <c r="E64" t="s">
        <v>369</v>
      </c>
      <c r="F64" t="s">
        <v>6114</v>
      </c>
      <c r="G64" t="s">
        <v>5925</v>
      </c>
    </row>
    <row r="65" spans="1:7" x14ac:dyDescent="0.3">
      <c r="A65" t="s">
        <v>5959</v>
      </c>
      <c r="B65" t="s">
        <v>5960</v>
      </c>
      <c r="C65" t="s">
        <v>15</v>
      </c>
      <c r="D65" t="s">
        <v>398</v>
      </c>
      <c r="E65" t="s">
        <v>377</v>
      </c>
      <c r="F65" t="s">
        <v>5961</v>
      </c>
      <c r="G65" t="s">
        <v>5917</v>
      </c>
    </row>
    <row r="66" spans="1:7" x14ac:dyDescent="0.3">
      <c r="A66" t="s">
        <v>5959</v>
      </c>
      <c r="B66" t="s">
        <v>5960</v>
      </c>
      <c r="C66" t="s">
        <v>15</v>
      </c>
      <c r="D66" t="s">
        <v>398</v>
      </c>
      <c r="E66" t="s">
        <v>377</v>
      </c>
      <c r="F66" t="s">
        <v>5961</v>
      </c>
      <c r="G66" t="s">
        <v>5933</v>
      </c>
    </row>
    <row r="67" spans="1:7" x14ac:dyDescent="0.3">
      <c r="A67" t="s">
        <v>5959</v>
      </c>
      <c r="B67" t="s">
        <v>5960</v>
      </c>
      <c r="C67" t="s">
        <v>15</v>
      </c>
      <c r="D67" t="s">
        <v>398</v>
      </c>
      <c r="E67" t="s">
        <v>377</v>
      </c>
      <c r="F67" t="s">
        <v>6114</v>
      </c>
      <c r="G67" t="s">
        <v>5917</v>
      </c>
    </row>
    <row r="68" spans="1:7" x14ac:dyDescent="0.3">
      <c r="A68" t="s">
        <v>5959</v>
      </c>
      <c r="B68" t="s">
        <v>5960</v>
      </c>
      <c r="C68" t="s">
        <v>15</v>
      </c>
      <c r="D68" t="s">
        <v>398</v>
      </c>
      <c r="E68" t="s">
        <v>377</v>
      </c>
      <c r="F68" t="s">
        <v>6114</v>
      </c>
      <c r="G68" t="s">
        <v>5933</v>
      </c>
    </row>
    <row r="69" spans="1:7" x14ac:dyDescent="0.3">
      <c r="A69" t="s">
        <v>5959</v>
      </c>
      <c r="B69" t="s">
        <v>5960</v>
      </c>
      <c r="C69" t="s">
        <v>15</v>
      </c>
      <c r="D69" t="s">
        <v>398</v>
      </c>
      <c r="E69" t="s">
        <v>370</v>
      </c>
      <c r="F69" t="s">
        <v>5961</v>
      </c>
      <c r="G69" t="s">
        <v>5910</v>
      </c>
    </row>
    <row r="70" spans="1:7" x14ac:dyDescent="0.3">
      <c r="A70" t="s">
        <v>5959</v>
      </c>
      <c r="B70" t="s">
        <v>5960</v>
      </c>
      <c r="C70" t="s">
        <v>15</v>
      </c>
      <c r="D70" t="s">
        <v>398</v>
      </c>
      <c r="E70" t="s">
        <v>370</v>
      </c>
      <c r="F70" t="s">
        <v>5961</v>
      </c>
      <c r="G70" t="s">
        <v>5926</v>
      </c>
    </row>
    <row r="71" spans="1:7" x14ac:dyDescent="0.3">
      <c r="A71" t="s">
        <v>5959</v>
      </c>
      <c r="B71" t="s">
        <v>5960</v>
      </c>
      <c r="C71" t="s">
        <v>15</v>
      </c>
      <c r="D71" t="s">
        <v>398</v>
      </c>
      <c r="E71" t="s">
        <v>370</v>
      </c>
      <c r="F71" t="s">
        <v>6114</v>
      </c>
      <c r="G71" t="s">
        <v>5910</v>
      </c>
    </row>
    <row r="72" spans="1:7" x14ac:dyDescent="0.3">
      <c r="A72" t="s">
        <v>5959</v>
      </c>
      <c r="B72" t="s">
        <v>5960</v>
      </c>
      <c r="C72" t="s">
        <v>15</v>
      </c>
      <c r="D72" t="s">
        <v>398</v>
      </c>
      <c r="E72" t="s">
        <v>370</v>
      </c>
      <c r="F72" t="s">
        <v>6114</v>
      </c>
      <c r="G72" t="s">
        <v>5926</v>
      </c>
    </row>
    <row r="73" spans="1:7" x14ac:dyDescent="0.3">
      <c r="A73" t="s">
        <v>5959</v>
      </c>
      <c r="B73" t="s">
        <v>5960</v>
      </c>
      <c r="C73" t="s">
        <v>15</v>
      </c>
      <c r="D73" t="s">
        <v>398</v>
      </c>
      <c r="E73" t="s">
        <v>375</v>
      </c>
      <c r="F73" t="s">
        <v>5961</v>
      </c>
      <c r="G73" t="s">
        <v>5915</v>
      </c>
    </row>
    <row r="74" spans="1:7" x14ac:dyDescent="0.3">
      <c r="A74" t="s">
        <v>5959</v>
      </c>
      <c r="B74" t="s">
        <v>5960</v>
      </c>
      <c r="C74" t="s">
        <v>15</v>
      </c>
      <c r="D74" t="s">
        <v>398</v>
      </c>
      <c r="E74" t="s">
        <v>375</v>
      </c>
      <c r="F74" t="s">
        <v>5961</v>
      </c>
      <c r="G74" t="s">
        <v>5931</v>
      </c>
    </row>
    <row r="75" spans="1:7" x14ac:dyDescent="0.3">
      <c r="A75" t="s">
        <v>5959</v>
      </c>
      <c r="B75" t="s">
        <v>5960</v>
      </c>
      <c r="C75" t="s">
        <v>15</v>
      </c>
      <c r="D75" t="s">
        <v>398</v>
      </c>
      <c r="E75" t="s">
        <v>375</v>
      </c>
      <c r="F75" t="s">
        <v>6114</v>
      </c>
      <c r="G75" t="s">
        <v>5915</v>
      </c>
    </row>
    <row r="76" spans="1:7" x14ac:dyDescent="0.3">
      <c r="A76" t="s">
        <v>5959</v>
      </c>
      <c r="B76" t="s">
        <v>5960</v>
      </c>
      <c r="C76" t="s">
        <v>15</v>
      </c>
      <c r="D76" t="s">
        <v>398</v>
      </c>
      <c r="E76" t="s">
        <v>375</v>
      </c>
      <c r="F76" t="s">
        <v>6114</v>
      </c>
      <c r="G76" t="s">
        <v>5931</v>
      </c>
    </row>
    <row r="77" spans="1:7" x14ac:dyDescent="0.3">
      <c r="A77" t="s">
        <v>5959</v>
      </c>
      <c r="B77" t="s">
        <v>5960</v>
      </c>
      <c r="C77" t="s">
        <v>15</v>
      </c>
      <c r="D77" t="s">
        <v>398</v>
      </c>
      <c r="E77" t="s">
        <v>376</v>
      </c>
      <c r="F77" t="s">
        <v>5961</v>
      </c>
      <c r="G77" t="s">
        <v>5916</v>
      </c>
    </row>
    <row r="78" spans="1:7" x14ac:dyDescent="0.3">
      <c r="A78" t="s">
        <v>5959</v>
      </c>
      <c r="B78" t="s">
        <v>5960</v>
      </c>
      <c r="C78" t="s">
        <v>15</v>
      </c>
      <c r="D78" t="s">
        <v>398</v>
      </c>
      <c r="E78" t="s">
        <v>376</v>
      </c>
      <c r="F78" t="s">
        <v>5961</v>
      </c>
      <c r="G78" t="s">
        <v>5932</v>
      </c>
    </row>
    <row r="79" spans="1:7" x14ac:dyDescent="0.3">
      <c r="A79" t="s">
        <v>5959</v>
      </c>
      <c r="B79" t="s">
        <v>5960</v>
      </c>
      <c r="C79" t="s">
        <v>15</v>
      </c>
      <c r="D79" t="s">
        <v>398</v>
      </c>
      <c r="E79" t="s">
        <v>376</v>
      </c>
      <c r="F79" t="s">
        <v>6114</v>
      </c>
      <c r="G79" t="s">
        <v>5916</v>
      </c>
    </row>
    <row r="80" spans="1:7" x14ac:dyDescent="0.3">
      <c r="A80" t="s">
        <v>5959</v>
      </c>
      <c r="B80" t="s">
        <v>5960</v>
      </c>
      <c r="C80" t="s">
        <v>15</v>
      </c>
      <c r="D80" t="s">
        <v>398</v>
      </c>
      <c r="E80" t="s">
        <v>376</v>
      </c>
      <c r="F80" t="s">
        <v>6114</v>
      </c>
      <c r="G80" t="s">
        <v>5932</v>
      </c>
    </row>
    <row r="81" spans="1:7" x14ac:dyDescent="0.3">
      <c r="A81" t="s">
        <v>5959</v>
      </c>
      <c r="B81" t="s">
        <v>5960</v>
      </c>
      <c r="C81" t="s">
        <v>15</v>
      </c>
      <c r="D81" t="s">
        <v>398</v>
      </c>
      <c r="E81" t="s">
        <v>380</v>
      </c>
      <c r="F81" t="s">
        <v>5961</v>
      </c>
      <c r="G81" t="s">
        <v>5920</v>
      </c>
    </row>
    <row r="82" spans="1:7" x14ac:dyDescent="0.3">
      <c r="A82" t="s">
        <v>5959</v>
      </c>
      <c r="B82" t="s">
        <v>5960</v>
      </c>
      <c r="C82" t="s">
        <v>15</v>
      </c>
      <c r="D82" t="s">
        <v>398</v>
      </c>
      <c r="E82" t="s">
        <v>380</v>
      </c>
      <c r="F82" t="s">
        <v>5961</v>
      </c>
      <c r="G82" t="s">
        <v>5936</v>
      </c>
    </row>
    <row r="83" spans="1:7" x14ac:dyDescent="0.3">
      <c r="A83" t="s">
        <v>5959</v>
      </c>
      <c r="B83" t="s">
        <v>5960</v>
      </c>
      <c r="C83" t="s">
        <v>15</v>
      </c>
      <c r="D83" t="s">
        <v>398</v>
      </c>
      <c r="E83" t="s">
        <v>380</v>
      </c>
      <c r="F83" t="s">
        <v>6114</v>
      </c>
      <c r="G83" t="s">
        <v>5920</v>
      </c>
    </row>
    <row r="84" spans="1:7" x14ac:dyDescent="0.3">
      <c r="A84" t="s">
        <v>5959</v>
      </c>
      <c r="B84" t="s">
        <v>5960</v>
      </c>
      <c r="C84" t="s">
        <v>15</v>
      </c>
      <c r="D84" t="s">
        <v>398</v>
      </c>
      <c r="E84" t="s">
        <v>380</v>
      </c>
      <c r="F84" t="s">
        <v>6114</v>
      </c>
      <c r="G84" t="s">
        <v>5936</v>
      </c>
    </row>
    <row r="85" spans="1:7" x14ac:dyDescent="0.3">
      <c r="A85" t="s">
        <v>5959</v>
      </c>
      <c r="B85" t="s">
        <v>5960</v>
      </c>
      <c r="C85" t="s">
        <v>15</v>
      </c>
      <c r="D85" t="s">
        <v>398</v>
      </c>
      <c r="E85" t="s">
        <v>378</v>
      </c>
      <c r="F85" t="s">
        <v>5961</v>
      </c>
      <c r="G85" t="s">
        <v>5918</v>
      </c>
    </row>
    <row r="86" spans="1:7" x14ac:dyDescent="0.3">
      <c r="A86" t="s">
        <v>5959</v>
      </c>
      <c r="B86" t="s">
        <v>5960</v>
      </c>
      <c r="C86" t="s">
        <v>15</v>
      </c>
      <c r="D86" t="s">
        <v>398</v>
      </c>
      <c r="E86" t="s">
        <v>378</v>
      </c>
      <c r="F86" t="s">
        <v>5961</v>
      </c>
      <c r="G86" t="s">
        <v>5934</v>
      </c>
    </row>
    <row r="87" spans="1:7" x14ac:dyDescent="0.3">
      <c r="A87" t="s">
        <v>5959</v>
      </c>
      <c r="B87" t="s">
        <v>5960</v>
      </c>
      <c r="C87" t="s">
        <v>15</v>
      </c>
      <c r="D87" t="s">
        <v>398</v>
      </c>
      <c r="E87" t="s">
        <v>378</v>
      </c>
      <c r="F87" t="s">
        <v>6114</v>
      </c>
      <c r="G87" t="s">
        <v>5918</v>
      </c>
    </row>
    <row r="88" spans="1:7" x14ac:dyDescent="0.3">
      <c r="A88" t="s">
        <v>5959</v>
      </c>
      <c r="B88" t="s">
        <v>5960</v>
      </c>
      <c r="C88" t="s">
        <v>15</v>
      </c>
      <c r="D88" t="s">
        <v>398</v>
      </c>
      <c r="E88" t="s">
        <v>378</v>
      </c>
      <c r="F88" t="s">
        <v>6114</v>
      </c>
      <c r="G88" t="s">
        <v>5934</v>
      </c>
    </row>
    <row r="89" spans="1:7" x14ac:dyDescent="0.3">
      <c r="A89" t="s">
        <v>5959</v>
      </c>
      <c r="B89" t="s">
        <v>5960</v>
      </c>
      <c r="C89" t="s">
        <v>15</v>
      </c>
      <c r="D89" t="s">
        <v>398</v>
      </c>
      <c r="E89" t="s">
        <v>373</v>
      </c>
      <c r="F89" t="s">
        <v>5961</v>
      </c>
      <c r="G89" t="s">
        <v>5913</v>
      </c>
    </row>
    <row r="90" spans="1:7" x14ac:dyDescent="0.3">
      <c r="A90" t="s">
        <v>5959</v>
      </c>
      <c r="B90" t="s">
        <v>5960</v>
      </c>
      <c r="C90" t="s">
        <v>15</v>
      </c>
      <c r="D90" t="s">
        <v>398</v>
      </c>
      <c r="E90" t="s">
        <v>373</v>
      </c>
      <c r="F90" t="s">
        <v>5961</v>
      </c>
      <c r="G90" t="s">
        <v>5929</v>
      </c>
    </row>
    <row r="91" spans="1:7" x14ac:dyDescent="0.3">
      <c r="A91" t="s">
        <v>5959</v>
      </c>
      <c r="B91" t="s">
        <v>5960</v>
      </c>
      <c r="C91" t="s">
        <v>15</v>
      </c>
      <c r="D91" t="s">
        <v>398</v>
      </c>
      <c r="E91" t="s">
        <v>373</v>
      </c>
      <c r="F91" t="s">
        <v>6114</v>
      </c>
      <c r="G91" t="s">
        <v>5913</v>
      </c>
    </row>
    <row r="92" spans="1:7" x14ac:dyDescent="0.3">
      <c r="A92" t="s">
        <v>5959</v>
      </c>
      <c r="B92" t="s">
        <v>5960</v>
      </c>
      <c r="C92" t="s">
        <v>15</v>
      </c>
      <c r="D92" t="s">
        <v>398</v>
      </c>
      <c r="E92" t="s">
        <v>373</v>
      </c>
      <c r="F92" t="s">
        <v>6114</v>
      </c>
      <c r="G92" t="s">
        <v>5929</v>
      </c>
    </row>
    <row r="93" spans="1:7" x14ac:dyDescent="0.3">
      <c r="A93" t="s">
        <v>5959</v>
      </c>
      <c r="B93" t="s">
        <v>5960</v>
      </c>
      <c r="C93" t="s">
        <v>15</v>
      </c>
      <c r="D93" t="s">
        <v>398</v>
      </c>
      <c r="E93" t="s">
        <v>382</v>
      </c>
      <c r="F93" t="s">
        <v>5961</v>
      </c>
      <c r="G93" t="s">
        <v>5958</v>
      </c>
    </row>
    <row r="94" spans="1:7" x14ac:dyDescent="0.3">
      <c r="A94" t="s">
        <v>5959</v>
      </c>
      <c r="B94" t="s">
        <v>5960</v>
      </c>
      <c r="C94" t="s">
        <v>15</v>
      </c>
      <c r="D94" t="s">
        <v>398</v>
      </c>
      <c r="E94" t="s">
        <v>382</v>
      </c>
      <c r="F94" t="s">
        <v>5961</v>
      </c>
      <c r="G94" t="s">
        <v>5924</v>
      </c>
    </row>
    <row r="95" spans="1:7" x14ac:dyDescent="0.3">
      <c r="A95" t="s">
        <v>5959</v>
      </c>
      <c r="B95" t="s">
        <v>5960</v>
      </c>
      <c r="C95" t="s">
        <v>15</v>
      </c>
      <c r="D95" t="s">
        <v>398</v>
      </c>
      <c r="E95" t="s">
        <v>382</v>
      </c>
      <c r="F95" t="s">
        <v>6114</v>
      </c>
      <c r="G95" t="s">
        <v>5958</v>
      </c>
    </row>
    <row r="96" spans="1:7" x14ac:dyDescent="0.3">
      <c r="A96" t="s">
        <v>5959</v>
      </c>
      <c r="B96" t="s">
        <v>5960</v>
      </c>
      <c r="C96" t="s">
        <v>15</v>
      </c>
      <c r="D96" t="s">
        <v>398</v>
      </c>
      <c r="E96" t="s">
        <v>382</v>
      </c>
      <c r="F96" t="s">
        <v>6114</v>
      </c>
      <c r="G96" t="s">
        <v>5924</v>
      </c>
    </row>
    <row r="97" spans="1:7" x14ac:dyDescent="0.3">
      <c r="A97" t="s">
        <v>5959</v>
      </c>
      <c r="B97" t="s">
        <v>5960</v>
      </c>
      <c r="C97" t="s">
        <v>15</v>
      </c>
      <c r="D97" t="s">
        <v>398</v>
      </c>
      <c r="E97" t="s">
        <v>372</v>
      </c>
      <c r="F97" t="s">
        <v>5961</v>
      </c>
      <c r="G97" t="s">
        <v>5912</v>
      </c>
    </row>
    <row r="98" spans="1:7" x14ac:dyDescent="0.3">
      <c r="A98" t="s">
        <v>5959</v>
      </c>
      <c r="B98" t="s">
        <v>5960</v>
      </c>
      <c r="C98" t="s">
        <v>15</v>
      </c>
      <c r="D98" t="s">
        <v>398</v>
      </c>
      <c r="E98" t="s">
        <v>372</v>
      </c>
      <c r="F98" t="s">
        <v>5961</v>
      </c>
      <c r="G98" t="s">
        <v>5928</v>
      </c>
    </row>
    <row r="99" spans="1:7" x14ac:dyDescent="0.3">
      <c r="A99" t="s">
        <v>5959</v>
      </c>
      <c r="B99" t="s">
        <v>5960</v>
      </c>
      <c r="C99" t="s">
        <v>15</v>
      </c>
      <c r="D99" t="s">
        <v>398</v>
      </c>
      <c r="E99" t="s">
        <v>372</v>
      </c>
      <c r="F99" t="s">
        <v>6114</v>
      </c>
      <c r="G99" t="s">
        <v>5912</v>
      </c>
    </row>
    <row r="100" spans="1:7" x14ac:dyDescent="0.3">
      <c r="A100" t="s">
        <v>5959</v>
      </c>
      <c r="B100" t="s">
        <v>5960</v>
      </c>
      <c r="C100" t="s">
        <v>15</v>
      </c>
      <c r="D100" t="s">
        <v>398</v>
      </c>
      <c r="E100" t="s">
        <v>372</v>
      </c>
      <c r="F100" t="s">
        <v>6114</v>
      </c>
      <c r="G100" t="s">
        <v>5928</v>
      </c>
    </row>
    <row r="101" spans="1:7" x14ac:dyDescent="0.3">
      <c r="A101" t="s">
        <v>5959</v>
      </c>
      <c r="B101" t="s">
        <v>5960</v>
      </c>
      <c r="C101" t="s">
        <v>15</v>
      </c>
      <c r="D101" t="s">
        <v>398</v>
      </c>
      <c r="E101" t="s">
        <v>367</v>
      </c>
      <c r="F101" t="s">
        <v>5961</v>
      </c>
      <c r="G101" t="s">
        <v>5907</v>
      </c>
    </row>
    <row r="102" spans="1:7" x14ac:dyDescent="0.3">
      <c r="A102" t="s">
        <v>5959</v>
      </c>
      <c r="B102" t="s">
        <v>5960</v>
      </c>
      <c r="C102" t="s">
        <v>15</v>
      </c>
      <c r="D102" t="s">
        <v>398</v>
      </c>
      <c r="E102" t="s">
        <v>367</v>
      </c>
      <c r="F102" t="s">
        <v>5961</v>
      </c>
      <c r="G102" t="s">
        <v>5922</v>
      </c>
    </row>
    <row r="103" spans="1:7" x14ac:dyDescent="0.3">
      <c r="A103" t="s">
        <v>5959</v>
      </c>
      <c r="B103" t="s">
        <v>5960</v>
      </c>
      <c r="C103" t="s">
        <v>15</v>
      </c>
      <c r="D103" t="s">
        <v>398</v>
      </c>
      <c r="E103" t="s">
        <v>367</v>
      </c>
      <c r="F103" t="s">
        <v>6114</v>
      </c>
      <c r="G103" t="s">
        <v>5907</v>
      </c>
    </row>
    <row r="104" spans="1:7" x14ac:dyDescent="0.3">
      <c r="A104" t="s">
        <v>5959</v>
      </c>
      <c r="B104" t="s">
        <v>5960</v>
      </c>
      <c r="C104" t="s">
        <v>15</v>
      </c>
      <c r="D104" t="s">
        <v>398</v>
      </c>
      <c r="E104" t="s">
        <v>367</v>
      </c>
      <c r="F104" t="s">
        <v>6114</v>
      </c>
      <c r="G104" t="s">
        <v>5922</v>
      </c>
    </row>
    <row r="105" spans="1:7" x14ac:dyDescent="0.3">
      <c r="A105" t="s">
        <v>5959</v>
      </c>
      <c r="B105" t="s">
        <v>5960</v>
      </c>
      <c r="C105" t="s">
        <v>15</v>
      </c>
      <c r="D105" t="s">
        <v>398</v>
      </c>
      <c r="E105" t="s">
        <v>371</v>
      </c>
      <c r="F105" t="s">
        <v>5961</v>
      </c>
      <c r="G105" t="s">
        <v>5911</v>
      </c>
    </row>
    <row r="106" spans="1:7" x14ac:dyDescent="0.3">
      <c r="A106" t="s">
        <v>5959</v>
      </c>
      <c r="B106" t="s">
        <v>5960</v>
      </c>
      <c r="C106" t="s">
        <v>15</v>
      </c>
      <c r="D106" t="s">
        <v>398</v>
      </c>
      <c r="E106" t="s">
        <v>371</v>
      </c>
      <c r="F106" t="s">
        <v>5961</v>
      </c>
      <c r="G106" t="s">
        <v>5927</v>
      </c>
    </row>
    <row r="107" spans="1:7" x14ac:dyDescent="0.3">
      <c r="A107" t="s">
        <v>5959</v>
      </c>
      <c r="B107" t="s">
        <v>5960</v>
      </c>
      <c r="C107" t="s">
        <v>15</v>
      </c>
      <c r="D107" t="s">
        <v>398</v>
      </c>
      <c r="E107" t="s">
        <v>371</v>
      </c>
      <c r="F107" t="s">
        <v>6114</v>
      </c>
      <c r="G107" t="s">
        <v>5911</v>
      </c>
    </row>
    <row r="108" spans="1:7" x14ac:dyDescent="0.3">
      <c r="A108" t="s">
        <v>5959</v>
      </c>
      <c r="B108" t="s">
        <v>5960</v>
      </c>
      <c r="C108" t="s">
        <v>15</v>
      </c>
      <c r="D108" t="s">
        <v>398</v>
      </c>
      <c r="E108" t="s">
        <v>371</v>
      </c>
      <c r="F108" t="s">
        <v>6114</v>
      </c>
      <c r="G108" t="s">
        <v>5927</v>
      </c>
    </row>
    <row r="109" spans="1:7" x14ac:dyDescent="0.3">
      <c r="A109" t="s">
        <v>5959</v>
      </c>
      <c r="B109" t="s">
        <v>5960</v>
      </c>
      <c r="C109" t="s">
        <v>15</v>
      </c>
      <c r="D109" t="s">
        <v>398</v>
      </c>
      <c r="E109" t="s">
        <v>374</v>
      </c>
      <c r="F109" t="s">
        <v>5961</v>
      </c>
      <c r="G109" t="s">
        <v>5914</v>
      </c>
    </row>
    <row r="110" spans="1:7" x14ac:dyDescent="0.3">
      <c r="A110" t="s">
        <v>5959</v>
      </c>
      <c r="B110" t="s">
        <v>5960</v>
      </c>
      <c r="C110" t="s">
        <v>15</v>
      </c>
      <c r="D110" t="s">
        <v>398</v>
      </c>
      <c r="E110" t="s">
        <v>374</v>
      </c>
      <c r="F110" t="s">
        <v>5961</v>
      </c>
      <c r="G110" t="s">
        <v>5930</v>
      </c>
    </row>
    <row r="111" spans="1:7" x14ac:dyDescent="0.3">
      <c r="A111" t="s">
        <v>5959</v>
      </c>
      <c r="B111" t="s">
        <v>5960</v>
      </c>
      <c r="C111" t="s">
        <v>15</v>
      </c>
      <c r="D111" t="s">
        <v>398</v>
      </c>
      <c r="E111" t="s">
        <v>374</v>
      </c>
      <c r="F111" t="s">
        <v>6114</v>
      </c>
      <c r="G111" t="s">
        <v>5914</v>
      </c>
    </row>
    <row r="112" spans="1:7" x14ac:dyDescent="0.3">
      <c r="A112" t="s">
        <v>5959</v>
      </c>
      <c r="B112" t="s">
        <v>5960</v>
      </c>
      <c r="C112" t="s">
        <v>15</v>
      </c>
      <c r="D112" t="s">
        <v>398</v>
      </c>
      <c r="E112" t="s">
        <v>374</v>
      </c>
      <c r="F112" t="s">
        <v>6114</v>
      </c>
      <c r="G112" t="s">
        <v>5930</v>
      </c>
    </row>
    <row r="113" spans="1:7" x14ac:dyDescent="0.3">
      <c r="A113" t="s">
        <v>5959</v>
      </c>
      <c r="B113" t="s">
        <v>5960</v>
      </c>
      <c r="C113" t="s">
        <v>15</v>
      </c>
      <c r="D113" t="s">
        <v>398</v>
      </c>
      <c r="E113" t="s">
        <v>379</v>
      </c>
      <c r="F113" t="s">
        <v>5961</v>
      </c>
      <c r="G113" t="s">
        <v>5919</v>
      </c>
    </row>
    <row r="114" spans="1:7" x14ac:dyDescent="0.3">
      <c r="A114" t="s">
        <v>5959</v>
      </c>
      <c r="B114" t="s">
        <v>5960</v>
      </c>
      <c r="C114" t="s">
        <v>15</v>
      </c>
      <c r="D114" t="s">
        <v>398</v>
      </c>
      <c r="E114" t="s">
        <v>379</v>
      </c>
      <c r="F114" t="s">
        <v>5961</v>
      </c>
      <c r="G114" t="s">
        <v>5935</v>
      </c>
    </row>
    <row r="115" spans="1:7" x14ac:dyDescent="0.3">
      <c r="A115" t="s">
        <v>5959</v>
      </c>
      <c r="B115" t="s">
        <v>5960</v>
      </c>
      <c r="C115" t="s">
        <v>15</v>
      </c>
      <c r="D115" t="s">
        <v>398</v>
      </c>
      <c r="E115" t="s">
        <v>379</v>
      </c>
      <c r="F115" t="s">
        <v>6114</v>
      </c>
      <c r="G115" t="s">
        <v>5919</v>
      </c>
    </row>
    <row r="116" spans="1:7" x14ac:dyDescent="0.3">
      <c r="A116" t="s">
        <v>5959</v>
      </c>
      <c r="B116" t="s">
        <v>5960</v>
      </c>
      <c r="C116" t="s">
        <v>15</v>
      </c>
      <c r="D116" t="s">
        <v>398</v>
      </c>
      <c r="E116" t="s">
        <v>379</v>
      </c>
      <c r="F116" t="s">
        <v>6114</v>
      </c>
      <c r="G116" t="s">
        <v>5935</v>
      </c>
    </row>
    <row r="117" spans="1:7" x14ac:dyDescent="0.3">
      <c r="A117" t="s">
        <v>5959</v>
      </c>
      <c r="B117" t="s">
        <v>5960</v>
      </c>
      <c r="C117" t="s">
        <v>17</v>
      </c>
      <c r="D117" t="s">
        <v>398</v>
      </c>
      <c r="E117" t="s">
        <v>261</v>
      </c>
      <c r="F117" t="s">
        <v>5961</v>
      </c>
      <c r="G117" t="s">
        <v>5916</v>
      </c>
    </row>
    <row r="118" spans="1:7" x14ac:dyDescent="0.3">
      <c r="A118" t="s">
        <v>5959</v>
      </c>
      <c r="B118" t="s">
        <v>5960</v>
      </c>
      <c r="C118" t="s">
        <v>17</v>
      </c>
      <c r="D118" t="s">
        <v>398</v>
      </c>
      <c r="E118" t="s">
        <v>240</v>
      </c>
      <c r="F118" t="s">
        <v>5961</v>
      </c>
      <c r="G118" t="s">
        <v>5915</v>
      </c>
    </row>
    <row r="119" spans="1:7" x14ac:dyDescent="0.3">
      <c r="A119" t="s">
        <v>5959</v>
      </c>
      <c r="B119" t="s">
        <v>5960</v>
      </c>
      <c r="C119" t="s">
        <v>17</v>
      </c>
      <c r="D119" t="s">
        <v>398</v>
      </c>
      <c r="E119" t="s">
        <v>16</v>
      </c>
      <c r="F119" t="s">
        <v>5961</v>
      </c>
      <c r="G119" t="s">
        <v>5908</v>
      </c>
    </row>
    <row r="120" spans="1:7" x14ac:dyDescent="0.3">
      <c r="A120" t="s">
        <v>5959</v>
      </c>
      <c r="B120" t="s">
        <v>5960</v>
      </c>
      <c r="C120" t="s">
        <v>17</v>
      </c>
      <c r="D120" t="s">
        <v>398</v>
      </c>
      <c r="E120" t="s">
        <v>178</v>
      </c>
      <c r="F120" t="s">
        <v>5961</v>
      </c>
      <c r="G120" t="s">
        <v>5914</v>
      </c>
    </row>
    <row r="121" spans="1:7" x14ac:dyDescent="0.3">
      <c r="A121" t="s">
        <v>5959</v>
      </c>
      <c r="B121" t="s">
        <v>5960</v>
      </c>
      <c r="C121" t="s">
        <v>17</v>
      </c>
      <c r="D121" t="s">
        <v>398</v>
      </c>
      <c r="E121" t="s">
        <v>362</v>
      </c>
      <c r="F121" t="s">
        <v>5961</v>
      </c>
      <c r="G121" t="s">
        <v>5921</v>
      </c>
    </row>
    <row r="122" spans="1:7" x14ac:dyDescent="0.3">
      <c r="A122" t="s">
        <v>5959</v>
      </c>
      <c r="B122" t="s">
        <v>5960</v>
      </c>
      <c r="C122" t="s">
        <v>17</v>
      </c>
      <c r="D122" t="s">
        <v>398</v>
      </c>
      <c r="E122" t="s">
        <v>39</v>
      </c>
      <c r="F122" t="s">
        <v>5961</v>
      </c>
      <c r="G122" t="s">
        <v>5908</v>
      </c>
    </row>
    <row r="123" spans="1:7" x14ac:dyDescent="0.3">
      <c r="A123" t="s">
        <v>5959</v>
      </c>
      <c r="B123" t="s">
        <v>5960</v>
      </c>
      <c r="C123" t="s">
        <v>17</v>
      </c>
      <c r="D123" t="s">
        <v>398</v>
      </c>
      <c r="E123" t="s">
        <v>83</v>
      </c>
      <c r="F123" t="s">
        <v>5961</v>
      </c>
      <c r="G123" t="s">
        <v>5911</v>
      </c>
    </row>
    <row r="124" spans="1:7" x14ac:dyDescent="0.3">
      <c r="A124" t="s">
        <v>5959</v>
      </c>
      <c r="B124" t="s">
        <v>5960</v>
      </c>
      <c r="C124" t="s">
        <v>17</v>
      </c>
      <c r="D124" t="s">
        <v>398</v>
      </c>
      <c r="E124" t="s">
        <v>179</v>
      </c>
      <c r="F124" t="s">
        <v>5961</v>
      </c>
      <c r="G124" t="s">
        <v>5914</v>
      </c>
    </row>
    <row r="125" spans="1:7" x14ac:dyDescent="0.3">
      <c r="A125" t="s">
        <v>5959</v>
      </c>
      <c r="B125" t="s">
        <v>5960</v>
      </c>
      <c r="C125" t="s">
        <v>17</v>
      </c>
      <c r="D125" t="s">
        <v>398</v>
      </c>
      <c r="E125" t="s">
        <v>260</v>
      </c>
      <c r="F125" t="s">
        <v>5961</v>
      </c>
      <c r="G125" t="s">
        <v>5916</v>
      </c>
    </row>
    <row r="126" spans="1:7" x14ac:dyDescent="0.3">
      <c r="A126" t="s">
        <v>5959</v>
      </c>
      <c r="B126" t="s">
        <v>5960</v>
      </c>
      <c r="C126" t="s">
        <v>17</v>
      </c>
      <c r="D126" t="s">
        <v>398</v>
      </c>
      <c r="E126" t="s">
        <v>145</v>
      </c>
      <c r="F126" t="s">
        <v>5961</v>
      </c>
      <c r="G126" t="s">
        <v>5913</v>
      </c>
    </row>
    <row r="127" spans="1:7" x14ac:dyDescent="0.3">
      <c r="A127" t="s">
        <v>5959</v>
      </c>
      <c r="B127" t="s">
        <v>5960</v>
      </c>
      <c r="C127" t="s">
        <v>17</v>
      </c>
      <c r="D127" t="s">
        <v>398</v>
      </c>
      <c r="E127" t="s">
        <v>167</v>
      </c>
      <c r="F127" t="s">
        <v>5961</v>
      </c>
      <c r="G127" t="s">
        <v>5914</v>
      </c>
    </row>
    <row r="128" spans="1:7" x14ac:dyDescent="0.3">
      <c r="A128" t="s">
        <v>5959</v>
      </c>
      <c r="B128" t="s">
        <v>5960</v>
      </c>
      <c r="C128" t="s">
        <v>17</v>
      </c>
      <c r="D128" t="s">
        <v>398</v>
      </c>
      <c r="E128" t="s">
        <v>25</v>
      </c>
      <c r="F128" t="s">
        <v>5961</v>
      </c>
      <c r="G128" t="s">
        <v>5910</v>
      </c>
    </row>
    <row r="129" spans="1:7" x14ac:dyDescent="0.3">
      <c r="A129" t="s">
        <v>5959</v>
      </c>
      <c r="B129" t="s">
        <v>5960</v>
      </c>
      <c r="C129" t="s">
        <v>17</v>
      </c>
      <c r="D129" t="s">
        <v>398</v>
      </c>
      <c r="E129" t="s">
        <v>166</v>
      </c>
      <c r="F129" t="s">
        <v>5961</v>
      </c>
      <c r="G129" t="s">
        <v>5914</v>
      </c>
    </row>
    <row r="130" spans="1:7" x14ac:dyDescent="0.3">
      <c r="A130" t="s">
        <v>5959</v>
      </c>
      <c r="B130" t="s">
        <v>5960</v>
      </c>
      <c r="C130" t="s">
        <v>17</v>
      </c>
      <c r="D130" t="s">
        <v>398</v>
      </c>
      <c r="E130" t="s">
        <v>48</v>
      </c>
      <c r="F130" t="s">
        <v>5961</v>
      </c>
      <c r="G130" t="s">
        <v>5909</v>
      </c>
    </row>
    <row r="131" spans="1:7" x14ac:dyDescent="0.3">
      <c r="A131" t="s">
        <v>5959</v>
      </c>
      <c r="B131" t="s">
        <v>5960</v>
      </c>
      <c r="C131" t="s">
        <v>17</v>
      </c>
      <c r="D131" t="s">
        <v>398</v>
      </c>
      <c r="E131" t="s">
        <v>108</v>
      </c>
      <c r="F131" t="s">
        <v>5961</v>
      </c>
      <c r="G131" t="s">
        <v>5912</v>
      </c>
    </row>
    <row r="132" spans="1:7" x14ac:dyDescent="0.3">
      <c r="A132" t="s">
        <v>5959</v>
      </c>
      <c r="B132" t="s">
        <v>5960</v>
      </c>
      <c r="C132" t="s">
        <v>17</v>
      </c>
      <c r="D132" t="s">
        <v>398</v>
      </c>
      <c r="E132" t="s">
        <v>58</v>
      </c>
      <c r="F132" t="s">
        <v>5961</v>
      </c>
      <c r="G132" t="s">
        <v>5910</v>
      </c>
    </row>
    <row r="133" spans="1:7" x14ac:dyDescent="0.3">
      <c r="A133" t="s">
        <v>5959</v>
      </c>
      <c r="B133" t="s">
        <v>5960</v>
      </c>
      <c r="C133" t="s">
        <v>17</v>
      </c>
      <c r="D133" t="s">
        <v>398</v>
      </c>
      <c r="E133" t="s">
        <v>29</v>
      </c>
      <c r="F133" t="s">
        <v>5961</v>
      </c>
      <c r="G133" t="s">
        <v>5907</v>
      </c>
    </row>
    <row r="134" spans="1:7" x14ac:dyDescent="0.3">
      <c r="A134" t="s">
        <v>5959</v>
      </c>
      <c r="B134" t="s">
        <v>5960</v>
      </c>
      <c r="C134" t="s">
        <v>17</v>
      </c>
      <c r="D134" t="s">
        <v>398</v>
      </c>
      <c r="E134" t="s">
        <v>77</v>
      </c>
      <c r="F134" t="s">
        <v>5961</v>
      </c>
      <c r="G134" t="s">
        <v>5911</v>
      </c>
    </row>
    <row r="135" spans="1:7" x14ac:dyDescent="0.3">
      <c r="A135" t="s">
        <v>5959</v>
      </c>
      <c r="B135" t="s">
        <v>5960</v>
      </c>
      <c r="C135" t="s">
        <v>17</v>
      </c>
      <c r="D135" t="s">
        <v>398</v>
      </c>
      <c r="E135" t="s">
        <v>53</v>
      </c>
      <c r="F135" t="s">
        <v>5961</v>
      </c>
      <c r="G135" t="s">
        <v>5910</v>
      </c>
    </row>
    <row r="136" spans="1:7" x14ac:dyDescent="0.3">
      <c r="A136" t="s">
        <v>5959</v>
      </c>
      <c r="B136" t="s">
        <v>5960</v>
      </c>
      <c r="C136" t="s">
        <v>17</v>
      </c>
      <c r="D136" t="s">
        <v>398</v>
      </c>
      <c r="E136" t="s">
        <v>226</v>
      </c>
      <c r="F136" t="s">
        <v>5961</v>
      </c>
      <c r="G136" t="s">
        <v>5915</v>
      </c>
    </row>
    <row r="137" spans="1:7" x14ac:dyDescent="0.3">
      <c r="A137" t="s">
        <v>5959</v>
      </c>
      <c r="B137" t="s">
        <v>5960</v>
      </c>
      <c r="C137" t="s">
        <v>17</v>
      </c>
      <c r="D137" t="s">
        <v>398</v>
      </c>
      <c r="E137" t="s">
        <v>100</v>
      </c>
      <c r="F137" t="s">
        <v>5961</v>
      </c>
      <c r="G137" t="s">
        <v>5911</v>
      </c>
    </row>
    <row r="138" spans="1:7" x14ac:dyDescent="0.3">
      <c r="A138" t="s">
        <v>5959</v>
      </c>
      <c r="B138" t="s">
        <v>5960</v>
      </c>
      <c r="C138" t="s">
        <v>17</v>
      </c>
      <c r="D138" t="s">
        <v>398</v>
      </c>
      <c r="E138" t="s">
        <v>157</v>
      </c>
      <c r="F138" t="s">
        <v>5961</v>
      </c>
      <c r="G138" t="s">
        <v>5913</v>
      </c>
    </row>
    <row r="139" spans="1:7" x14ac:dyDescent="0.3">
      <c r="A139" t="s">
        <v>5959</v>
      </c>
      <c r="B139" t="s">
        <v>5960</v>
      </c>
      <c r="C139" t="s">
        <v>17</v>
      </c>
      <c r="D139" t="s">
        <v>398</v>
      </c>
      <c r="E139" t="s">
        <v>227</v>
      </c>
      <c r="F139" t="s">
        <v>5961</v>
      </c>
      <c r="G139" t="s">
        <v>5915</v>
      </c>
    </row>
    <row r="140" spans="1:7" x14ac:dyDescent="0.3">
      <c r="A140" t="s">
        <v>5959</v>
      </c>
      <c r="B140" t="s">
        <v>5960</v>
      </c>
      <c r="C140" t="s">
        <v>17</v>
      </c>
      <c r="D140" t="s">
        <v>398</v>
      </c>
      <c r="E140" t="s">
        <v>73</v>
      </c>
      <c r="F140" t="s">
        <v>5961</v>
      </c>
      <c r="G140" t="s">
        <v>5911</v>
      </c>
    </row>
    <row r="141" spans="1:7" x14ac:dyDescent="0.3">
      <c r="A141" t="s">
        <v>5959</v>
      </c>
      <c r="B141" t="s">
        <v>5960</v>
      </c>
      <c r="C141" t="s">
        <v>17</v>
      </c>
      <c r="D141" t="s">
        <v>398</v>
      </c>
      <c r="E141" t="s">
        <v>184</v>
      </c>
      <c r="F141" t="s">
        <v>5961</v>
      </c>
      <c r="G141" t="s">
        <v>5914</v>
      </c>
    </row>
    <row r="142" spans="1:7" x14ac:dyDescent="0.3">
      <c r="A142" t="s">
        <v>5959</v>
      </c>
      <c r="B142" t="s">
        <v>5960</v>
      </c>
      <c r="C142" t="s">
        <v>17</v>
      </c>
      <c r="D142" t="s">
        <v>398</v>
      </c>
      <c r="E142" t="s">
        <v>28</v>
      </c>
      <c r="F142" t="s">
        <v>5961</v>
      </c>
      <c r="G142" t="s">
        <v>5920</v>
      </c>
    </row>
    <row r="143" spans="1:7" x14ac:dyDescent="0.3">
      <c r="A143" t="s">
        <v>5959</v>
      </c>
      <c r="B143" t="s">
        <v>5960</v>
      </c>
      <c r="C143" t="s">
        <v>17</v>
      </c>
      <c r="D143" t="s">
        <v>398</v>
      </c>
      <c r="E143" t="s">
        <v>355</v>
      </c>
      <c r="F143" t="s">
        <v>5961</v>
      </c>
      <c r="G143" t="s">
        <v>5920</v>
      </c>
    </row>
    <row r="144" spans="1:7" x14ac:dyDescent="0.3">
      <c r="A144" t="s">
        <v>5959</v>
      </c>
      <c r="B144" t="s">
        <v>5960</v>
      </c>
      <c r="C144" t="s">
        <v>17</v>
      </c>
      <c r="D144" t="s">
        <v>398</v>
      </c>
      <c r="E144" t="s">
        <v>151</v>
      </c>
      <c r="F144" t="s">
        <v>5961</v>
      </c>
      <c r="G144" t="s">
        <v>5913</v>
      </c>
    </row>
    <row r="145" spans="1:7" x14ac:dyDescent="0.3">
      <c r="A145" t="s">
        <v>5959</v>
      </c>
      <c r="B145" t="s">
        <v>5960</v>
      </c>
      <c r="C145" t="s">
        <v>17</v>
      </c>
      <c r="D145" t="s">
        <v>398</v>
      </c>
      <c r="E145" t="s">
        <v>229</v>
      </c>
      <c r="F145" t="s">
        <v>5961</v>
      </c>
      <c r="G145" t="s">
        <v>5915</v>
      </c>
    </row>
    <row r="146" spans="1:7" x14ac:dyDescent="0.3">
      <c r="A146" t="s">
        <v>5959</v>
      </c>
      <c r="B146" t="s">
        <v>5960</v>
      </c>
      <c r="C146" t="s">
        <v>17</v>
      </c>
      <c r="D146" t="s">
        <v>398</v>
      </c>
      <c r="E146" t="s">
        <v>270</v>
      </c>
      <c r="F146" t="s">
        <v>5961</v>
      </c>
      <c r="G146" t="s">
        <v>5916</v>
      </c>
    </row>
    <row r="147" spans="1:7" x14ac:dyDescent="0.3">
      <c r="A147" t="s">
        <v>5959</v>
      </c>
      <c r="B147" t="s">
        <v>5960</v>
      </c>
      <c r="C147" t="s">
        <v>17</v>
      </c>
      <c r="D147" t="s">
        <v>398</v>
      </c>
      <c r="E147" t="s">
        <v>21</v>
      </c>
      <c r="F147" t="s">
        <v>5961</v>
      </c>
      <c r="G147" t="s">
        <v>5910</v>
      </c>
    </row>
    <row r="148" spans="1:7" x14ac:dyDescent="0.3">
      <c r="A148" t="s">
        <v>5959</v>
      </c>
      <c r="B148" t="s">
        <v>5960</v>
      </c>
      <c r="C148" t="s">
        <v>17</v>
      </c>
      <c r="D148" t="s">
        <v>398</v>
      </c>
      <c r="E148" t="s">
        <v>160</v>
      </c>
      <c r="F148" t="s">
        <v>5961</v>
      </c>
      <c r="G148" t="s">
        <v>5913</v>
      </c>
    </row>
    <row r="149" spans="1:7" x14ac:dyDescent="0.3">
      <c r="A149" t="s">
        <v>5959</v>
      </c>
      <c r="B149" t="s">
        <v>5960</v>
      </c>
      <c r="C149" t="s">
        <v>17</v>
      </c>
      <c r="D149" t="s">
        <v>398</v>
      </c>
      <c r="E149" t="s">
        <v>251</v>
      </c>
      <c r="F149" t="s">
        <v>5961</v>
      </c>
      <c r="G149" t="s">
        <v>5916</v>
      </c>
    </row>
    <row r="150" spans="1:7" x14ac:dyDescent="0.3">
      <c r="A150" t="s">
        <v>5959</v>
      </c>
      <c r="B150" t="s">
        <v>5960</v>
      </c>
      <c r="C150" t="s">
        <v>17</v>
      </c>
      <c r="D150" t="s">
        <v>398</v>
      </c>
      <c r="E150" t="s">
        <v>259</v>
      </c>
      <c r="F150" t="s">
        <v>5961</v>
      </c>
      <c r="G150" t="s">
        <v>5916</v>
      </c>
    </row>
    <row r="151" spans="1:7" x14ac:dyDescent="0.3">
      <c r="A151" t="s">
        <v>5959</v>
      </c>
      <c r="B151" t="s">
        <v>5960</v>
      </c>
      <c r="C151" t="s">
        <v>17</v>
      </c>
      <c r="D151" t="s">
        <v>398</v>
      </c>
      <c r="E151" t="s">
        <v>290</v>
      </c>
      <c r="F151" t="s">
        <v>5961</v>
      </c>
      <c r="G151" t="s">
        <v>5918</v>
      </c>
    </row>
    <row r="152" spans="1:7" x14ac:dyDescent="0.3">
      <c r="A152" t="s">
        <v>5959</v>
      </c>
      <c r="B152" t="s">
        <v>5960</v>
      </c>
      <c r="C152" t="s">
        <v>17</v>
      </c>
      <c r="D152" t="s">
        <v>398</v>
      </c>
      <c r="E152" t="s">
        <v>82</v>
      </c>
      <c r="F152" t="s">
        <v>5961</v>
      </c>
      <c r="G152" t="s">
        <v>5911</v>
      </c>
    </row>
    <row r="153" spans="1:7" x14ac:dyDescent="0.3">
      <c r="A153" t="s">
        <v>5959</v>
      </c>
      <c r="B153" t="s">
        <v>5960</v>
      </c>
      <c r="C153" t="s">
        <v>17</v>
      </c>
      <c r="D153" t="s">
        <v>398</v>
      </c>
      <c r="E153" t="s">
        <v>103</v>
      </c>
      <c r="F153" t="s">
        <v>5961</v>
      </c>
      <c r="G153" t="s">
        <v>5912</v>
      </c>
    </row>
    <row r="154" spans="1:7" x14ac:dyDescent="0.3">
      <c r="A154" t="s">
        <v>5959</v>
      </c>
      <c r="B154" t="s">
        <v>5960</v>
      </c>
      <c r="C154" t="s">
        <v>17</v>
      </c>
      <c r="D154" t="s">
        <v>398</v>
      </c>
      <c r="E154" t="s">
        <v>117</v>
      </c>
      <c r="F154" t="s">
        <v>5961</v>
      </c>
      <c r="G154" t="s">
        <v>5912</v>
      </c>
    </row>
    <row r="155" spans="1:7" x14ac:dyDescent="0.3">
      <c r="A155" t="s">
        <v>5959</v>
      </c>
      <c r="B155" t="s">
        <v>5960</v>
      </c>
      <c r="C155" t="s">
        <v>17</v>
      </c>
      <c r="D155" t="s">
        <v>398</v>
      </c>
      <c r="E155" t="s">
        <v>213</v>
      </c>
      <c r="F155" t="s">
        <v>5961</v>
      </c>
      <c r="G155" t="s">
        <v>5958</v>
      </c>
    </row>
    <row r="156" spans="1:7" x14ac:dyDescent="0.3">
      <c r="A156" t="s">
        <v>5959</v>
      </c>
      <c r="B156" t="s">
        <v>5960</v>
      </c>
      <c r="C156" t="s">
        <v>17</v>
      </c>
      <c r="D156" t="s">
        <v>398</v>
      </c>
      <c r="E156" t="s">
        <v>93</v>
      </c>
      <c r="F156" t="s">
        <v>5961</v>
      </c>
      <c r="G156" t="s">
        <v>5911</v>
      </c>
    </row>
    <row r="157" spans="1:7" x14ac:dyDescent="0.3">
      <c r="A157" t="s">
        <v>5959</v>
      </c>
      <c r="B157" t="s">
        <v>5960</v>
      </c>
      <c r="C157" t="s">
        <v>17</v>
      </c>
      <c r="D157" t="s">
        <v>398</v>
      </c>
      <c r="E157" t="s">
        <v>126</v>
      </c>
      <c r="F157" t="s">
        <v>5961</v>
      </c>
      <c r="G157" t="s">
        <v>5912</v>
      </c>
    </row>
    <row r="158" spans="1:7" x14ac:dyDescent="0.3">
      <c r="A158" t="s">
        <v>5959</v>
      </c>
      <c r="B158" t="s">
        <v>5960</v>
      </c>
      <c r="C158" t="s">
        <v>17</v>
      </c>
      <c r="D158" t="s">
        <v>398</v>
      </c>
      <c r="E158" t="s">
        <v>162</v>
      </c>
      <c r="F158" t="s">
        <v>5961</v>
      </c>
      <c r="G158" t="s">
        <v>5913</v>
      </c>
    </row>
    <row r="159" spans="1:7" x14ac:dyDescent="0.3">
      <c r="A159" t="s">
        <v>5959</v>
      </c>
      <c r="B159" t="s">
        <v>5960</v>
      </c>
      <c r="C159" t="s">
        <v>17</v>
      </c>
      <c r="D159" t="s">
        <v>398</v>
      </c>
      <c r="E159" t="s">
        <v>119</v>
      </c>
      <c r="F159" t="s">
        <v>5961</v>
      </c>
      <c r="G159" t="s">
        <v>5912</v>
      </c>
    </row>
    <row r="160" spans="1:7" x14ac:dyDescent="0.3">
      <c r="A160" t="s">
        <v>5959</v>
      </c>
      <c r="B160" t="s">
        <v>5960</v>
      </c>
      <c r="C160" t="s">
        <v>17</v>
      </c>
      <c r="D160" t="s">
        <v>398</v>
      </c>
      <c r="E160" t="s">
        <v>135</v>
      </c>
      <c r="F160" t="s">
        <v>5961</v>
      </c>
      <c r="G160" t="s">
        <v>5912</v>
      </c>
    </row>
    <row r="161" spans="1:7" x14ac:dyDescent="0.3">
      <c r="A161" t="s">
        <v>5959</v>
      </c>
      <c r="B161" t="s">
        <v>5960</v>
      </c>
      <c r="C161" t="s">
        <v>17</v>
      </c>
      <c r="D161" t="s">
        <v>398</v>
      </c>
      <c r="E161" t="s">
        <v>300</v>
      </c>
      <c r="F161" t="s">
        <v>5961</v>
      </c>
      <c r="G161" t="s">
        <v>5919</v>
      </c>
    </row>
    <row r="162" spans="1:7" x14ac:dyDescent="0.3">
      <c r="A162" t="s">
        <v>5959</v>
      </c>
      <c r="B162" t="s">
        <v>5960</v>
      </c>
      <c r="C162" t="s">
        <v>17</v>
      </c>
      <c r="D162" t="s">
        <v>398</v>
      </c>
      <c r="E162" t="s">
        <v>136</v>
      </c>
      <c r="F162" t="s">
        <v>5961</v>
      </c>
      <c r="G162" t="s">
        <v>5913</v>
      </c>
    </row>
    <row r="163" spans="1:7" x14ac:dyDescent="0.3">
      <c r="A163" t="s">
        <v>5959</v>
      </c>
      <c r="B163" t="s">
        <v>5960</v>
      </c>
      <c r="C163" t="s">
        <v>17</v>
      </c>
      <c r="D163" t="s">
        <v>398</v>
      </c>
      <c r="E163" t="s">
        <v>174</v>
      </c>
      <c r="F163" t="s">
        <v>5961</v>
      </c>
      <c r="G163" t="s">
        <v>5914</v>
      </c>
    </row>
    <row r="164" spans="1:7" x14ac:dyDescent="0.3">
      <c r="A164" t="s">
        <v>5959</v>
      </c>
      <c r="B164" t="s">
        <v>5960</v>
      </c>
      <c r="C164" t="s">
        <v>17</v>
      </c>
      <c r="D164" t="s">
        <v>398</v>
      </c>
      <c r="E164" t="s">
        <v>219</v>
      </c>
      <c r="F164" t="s">
        <v>5961</v>
      </c>
      <c r="G164" t="s">
        <v>5915</v>
      </c>
    </row>
    <row r="165" spans="1:7" x14ac:dyDescent="0.3">
      <c r="A165" t="s">
        <v>5959</v>
      </c>
      <c r="B165" t="s">
        <v>5960</v>
      </c>
      <c r="C165" t="s">
        <v>17</v>
      </c>
      <c r="D165" t="s">
        <v>398</v>
      </c>
      <c r="E165" t="s">
        <v>42</v>
      </c>
      <c r="F165" t="s">
        <v>5961</v>
      </c>
      <c r="G165" t="s">
        <v>5908</v>
      </c>
    </row>
    <row r="166" spans="1:7" x14ac:dyDescent="0.3">
      <c r="A166" t="s">
        <v>5959</v>
      </c>
      <c r="B166" t="s">
        <v>5960</v>
      </c>
      <c r="C166" t="s">
        <v>17</v>
      </c>
      <c r="D166" t="s">
        <v>398</v>
      </c>
      <c r="E166" t="s">
        <v>351</v>
      </c>
      <c r="F166" t="s">
        <v>5961</v>
      </c>
      <c r="G166" t="s">
        <v>5920</v>
      </c>
    </row>
    <row r="167" spans="1:7" x14ac:dyDescent="0.3">
      <c r="A167" t="s">
        <v>5959</v>
      </c>
      <c r="B167" t="s">
        <v>5960</v>
      </c>
      <c r="C167" t="s">
        <v>17</v>
      </c>
      <c r="D167" t="s">
        <v>398</v>
      </c>
      <c r="E167" t="s">
        <v>49</v>
      </c>
      <c r="F167" t="s">
        <v>5961</v>
      </c>
      <c r="G167" t="s">
        <v>5909</v>
      </c>
    </row>
    <row r="168" spans="1:7" x14ac:dyDescent="0.3">
      <c r="A168" t="s">
        <v>5959</v>
      </c>
      <c r="B168" t="s">
        <v>5960</v>
      </c>
      <c r="C168" t="s">
        <v>17</v>
      </c>
      <c r="D168" t="s">
        <v>398</v>
      </c>
      <c r="E168" t="s">
        <v>250</v>
      </c>
      <c r="F168" t="s">
        <v>5961</v>
      </c>
      <c r="G168" t="s">
        <v>5915</v>
      </c>
    </row>
    <row r="169" spans="1:7" x14ac:dyDescent="0.3">
      <c r="A169" t="s">
        <v>5959</v>
      </c>
      <c r="B169" t="s">
        <v>5960</v>
      </c>
      <c r="C169" t="s">
        <v>17</v>
      </c>
      <c r="D169" t="s">
        <v>398</v>
      </c>
      <c r="E169" t="s">
        <v>57</v>
      </c>
      <c r="F169" t="s">
        <v>5961</v>
      </c>
      <c r="G169" t="s">
        <v>5910</v>
      </c>
    </row>
    <row r="170" spans="1:7" x14ac:dyDescent="0.3">
      <c r="A170" t="s">
        <v>5959</v>
      </c>
      <c r="B170" t="s">
        <v>5960</v>
      </c>
      <c r="C170" t="s">
        <v>17</v>
      </c>
      <c r="D170" t="s">
        <v>398</v>
      </c>
      <c r="E170" t="s">
        <v>102</v>
      </c>
      <c r="F170" t="s">
        <v>5961</v>
      </c>
      <c r="G170" t="s">
        <v>5911</v>
      </c>
    </row>
    <row r="171" spans="1:7" x14ac:dyDescent="0.3">
      <c r="A171" t="s">
        <v>5959</v>
      </c>
      <c r="B171" t="s">
        <v>5960</v>
      </c>
      <c r="C171" t="s">
        <v>17</v>
      </c>
      <c r="D171" t="s">
        <v>398</v>
      </c>
      <c r="E171" t="s">
        <v>238</v>
      </c>
      <c r="F171" t="s">
        <v>5961</v>
      </c>
      <c r="G171" t="s">
        <v>5915</v>
      </c>
    </row>
    <row r="172" spans="1:7" x14ac:dyDescent="0.3">
      <c r="A172" t="s">
        <v>5959</v>
      </c>
      <c r="B172" t="s">
        <v>5960</v>
      </c>
      <c r="C172" t="s">
        <v>17</v>
      </c>
      <c r="D172" t="s">
        <v>398</v>
      </c>
      <c r="E172" t="s">
        <v>6030</v>
      </c>
      <c r="F172" t="s">
        <v>5961</v>
      </c>
      <c r="G172" t="s">
        <v>5911</v>
      </c>
    </row>
    <row r="173" spans="1:7" x14ac:dyDescent="0.3">
      <c r="A173" t="s">
        <v>5959</v>
      </c>
      <c r="B173" t="s">
        <v>5960</v>
      </c>
      <c r="C173" t="s">
        <v>17</v>
      </c>
      <c r="D173" t="s">
        <v>398</v>
      </c>
      <c r="E173" t="s">
        <v>218</v>
      </c>
      <c r="F173" t="s">
        <v>5961</v>
      </c>
      <c r="G173" t="s">
        <v>5958</v>
      </c>
    </row>
    <row r="174" spans="1:7" x14ac:dyDescent="0.3">
      <c r="A174" t="s">
        <v>5959</v>
      </c>
      <c r="B174" t="s">
        <v>5960</v>
      </c>
      <c r="C174" t="s">
        <v>17</v>
      </c>
      <c r="D174" t="s">
        <v>398</v>
      </c>
      <c r="E174" t="s">
        <v>6010</v>
      </c>
      <c r="F174" t="s">
        <v>5961</v>
      </c>
      <c r="G174" t="s">
        <v>5909</v>
      </c>
    </row>
    <row r="175" spans="1:7" x14ac:dyDescent="0.3">
      <c r="A175" t="s">
        <v>5959</v>
      </c>
      <c r="B175" t="s">
        <v>5960</v>
      </c>
      <c r="C175" t="s">
        <v>17</v>
      </c>
      <c r="D175" t="s">
        <v>398</v>
      </c>
      <c r="E175" t="s">
        <v>6024</v>
      </c>
      <c r="F175" t="s">
        <v>5961</v>
      </c>
      <c r="G175" t="s">
        <v>5911</v>
      </c>
    </row>
    <row r="176" spans="1:7" x14ac:dyDescent="0.3">
      <c r="A176" t="s">
        <v>5959</v>
      </c>
      <c r="B176" t="s">
        <v>5960</v>
      </c>
      <c r="C176" t="s">
        <v>17</v>
      </c>
      <c r="D176" t="s">
        <v>398</v>
      </c>
      <c r="E176" t="s">
        <v>6027</v>
      </c>
      <c r="F176" t="s">
        <v>5961</v>
      </c>
      <c r="G176" t="s">
        <v>5911</v>
      </c>
    </row>
    <row r="177" spans="1:7" x14ac:dyDescent="0.3">
      <c r="A177" t="s">
        <v>5959</v>
      </c>
      <c r="B177" t="s">
        <v>5960</v>
      </c>
      <c r="C177" t="s">
        <v>17</v>
      </c>
      <c r="D177" t="s">
        <v>398</v>
      </c>
      <c r="E177" t="s">
        <v>6039</v>
      </c>
      <c r="F177" t="s">
        <v>5961</v>
      </c>
      <c r="G177" t="s">
        <v>5913</v>
      </c>
    </row>
    <row r="178" spans="1:7" x14ac:dyDescent="0.3">
      <c r="A178" t="s">
        <v>5959</v>
      </c>
      <c r="B178" t="s">
        <v>5960</v>
      </c>
      <c r="C178" t="s">
        <v>17</v>
      </c>
      <c r="D178" t="s">
        <v>398</v>
      </c>
      <c r="E178" t="s">
        <v>6041</v>
      </c>
      <c r="F178" t="s">
        <v>5961</v>
      </c>
      <c r="G178" t="s">
        <v>5913</v>
      </c>
    </row>
    <row r="179" spans="1:7" x14ac:dyDescent="0.3">
      <c r="A179" t="s">
        <v>5959</v>
      </c>
      <c r="B179" t="s">
        <v>5960</v>
      </c>
      <c r="C179" t="s">
        <v>17</v>
      </c>
      <c r="D179" t="s">
        <v>398</v>
      </c>
      <c r="E179" t="s">
        <v>6051</v>
      </c>
      <c r="F179" t="s">
        <v>5961</v>
      </c>
      <c r="G179" t="s">
        <v>5914</v>
      </c>
    </row>
    <row r="180" spans="1:7" x14ac:dyDescent="0.3">
      <c r="A180" t="s">
        <v>5959</v>
      </c>
      <c r="B180" t="s">
        <v>5960</v>
      </c>
      <c r="C180" t="s">
        <v>17</v>
      </c>
      <c r="D180" t="s">
        <v>398</v>
      </c>
      <c r="E180" t="s">
        <v>6056</v>
      </c>
      <c r="F180" t="s">
        <v>5961</v>
      </c>
      <c r="G180" t="s">
        <v>5914</v>
      </c>
    </row>
    <row r="181" spans="1:7" x14ac:dyDescent="0.3">
      <c r="A181" t="s">
        <v>5959</v>
      </c>
      <c r="B181" t="s">
        <v>5960</v>
      </c>
      <c r="C181" t="s">
        <v>17</v>
      </c>
      <c r="D181" t="s">
        <v>398</v>
      </c>
      <c r="E181" t="s">
        <v>6062</v>
      </c>
      <c r="F181" t="s">
        <v>5961</v>
      </c>
      <c r="G181" t="s">
        <v>5915</v>
      </c>
    </row>
    <row r="182" spans="1:7" x14ac:dyDescent="0.3">
      <c r="A182" t="s">
        <v>5959</v>
      </c>
      <c r="B182" t="s">
        <v>5960</v>
      </c>
      <c r="C182" t="s">
        <v>17</v>
      </c>
      <c r="D182" t="s">
        <v>398</v>
      </c>
      <c r="E182" t="s">
        <v>6072</v>
      </c>
      <c r="F182" t="s">
        <v>5961</v>
      </c>
      <c r="G182" t="s">
        <v>5916</v>
      </c>
    </row>
    <row r="183" spans="1:7" x14ac:dyDescent="0.3">
      <c r="A183" t="s">
        <v>5959</v>
      </c>
      <c r="B183" t="s">
        <v>5960</v>
      </c>
      <c r="C183" t="s">
        <v>17</v>
      </c>
      <c r="D183" t="s">
        <v>398</v>
      </c>
      <c r="E183" t="s">
        <v>6074</v>
      </c>
      <c r="F183" t="s">
        <v>5961</v>
      </c>
      <c r="G183" t="s">
        <v>5917</v>
      </c>
    </row>
    <row r="184" spans="1:7" x14ac:dyDescent="0.3">
      <c r="A184" t="s">
        <v>5959</v>
      </c>
      <c r="B184" t="s">
        <v>5960</v>
      </c>
      <c r="C184" t="s">
        <v>17</v>
      </c>
      <c r="D184" t="s">
        <v>398</v>
      </c>
      <c r="E184" t="s">
        <v>6082</v>
      </c>
      <c r="F184" t="s">
        <v>5961</v>
      </c>
      <c r="G184" t="s">
        <v>5958</v>
      </c>
    </row>
    <row r="185" spans="1:7" x14ac:dyDescent="0.3">
      <c r="A185" t="s">
        <v>7577</v>
      </c>
      <c r="B185" t="s">
        <v>7576</v>
      </c>
      <c r="C185" t="s">
        <v>19</v>
      </c>
      <c r="D185" t="s">
        <v>398</v>
      </c>
      <c r="E185" t="s">
        <v>14</v>
      </c>
      <c r="F185" t="s">
        <v>6191</v>
      </c>
      <c r="G185" t="s">
        <v>5906</v>
      </c>
    </row>
    <row r="186" spans="1:7" x14ac:dyDescent="0.3">
      <c r="A186" t="s">
        <v>7577</v>
      </c>
      <c r="B186" t="s">
        <v>7576</v>
      </c>
      <c r="C186" t="s">
        <v>19</v>
      </c>
      <c r="D186" t="s">
        <v>398</v>
      </c>
      <c r="E186" t="s">
        <v>14</v>
      </c>
      <c r="F186" t="s">
        <v>6191</v>
      </c>
      <c r="G186">
        <v>0</v>
      </c>
    </row>
    <row r="187" spans="1:7" x14ac:dyDescent="0.3">
      <c r="A187" t="s">
        <v>7577</v>
      </c>
      <c r="B187" t="s">
        <v>7576</v>
      </c>
      <c r="C187" t="s">
        <v>19</v>
      </c>
      <c r="D187" t="s">
        <v>398</v>
      </c>
      <c r="E187" t="s">
        <v>14</v>
      </c>
      <c r="F187" t="s">
        <v>6191</v>
      </c>
      <c r="G187" t="s">
        <v>5951</v>
      </c>
    </row>
    <row r="188" spans="1:7" x14ac:dyDescent="0.3">
      <c r="A188" t="s">
        <v>7577</v>
      </c>
      <c r="B188" t="s">
        <v>7576</v>
      </c>
      <c r="C188" t="s">
        <v>19</v>
      </c>
      <c r="D188" t="s">
        <v>398</v>
      </c>
      <c r="E188" t="s">
        <v>14</v>
      </c>
      <c r="F188" t="s">
        <v>6396</v>
      </c>
      <c r="G188" t="s">
        <v>5906</v>
      </c>
    </row>
    <row r="189" spans="1:7" x14ac:dyDescent="0.3">
      <c r="A189" t="s">
        <v>7579</v>
      </c>
      <c r="B189" t="s">
        <v>7576</v>
      </c>
      <c r="C189" t="s">
        <v>19</v>
      </c>
      <c r="D189" t="s">
        <v>398</v>
      </c>
      <c r="E189" t="s">
        <v>14</v>
      </c>
      <c r="F189" t="s">
        <v>6191</v>
      </c>
      <c r="G189" t="s">
        <v>5906</v>
      </c>
    </row>
    <row r="190" spans="1:7" x14ac:dyDescent="0.3">
      <c r="A190" t="s">
        <v>7579</v>
      </c>
      <c r="B190" t="s">
        <v>7576</v>
      </c>
      <c r="C190" t="s">
        <v>19</v>
      </c>
      <c r="D190" t="s">
        <v>398</v>
      </c>
      <c r="E190" t="s">
        <v>14</v>
      </c>
      <c r="F190" t="s">
        <v>6191</v>
      </c>
      <c r="G190">
        <v>0</v>
      </c>
    </row>
    <row r="191" spans="1:7" x14ac:dyDescent="0.3">
      <c r="A191" t="s">
        <v>7579</v>
      </c>
      <c r="B191" t="s">
        <v>7576</v>
      </c>
      <c r="C191" t="s">
        <v>19</v>
      </c>
      <c r="D191" t="s">
        <v>398</v>
      </c>
      <c r="E191" t="s">
        <v>14</v>
      </c>
      <c r="F191" t="s">
        <v>6191</v>
      </c>
      <c r="G191" t="s">
        <v>5951</v>
      </c>
    </row>
    <row r="192" spans="1:7" x14ac:dyDescent="0.3">
      <c r="A192" t="s">
        <v>7579</v>
      </c>
      <c r="B192" t="s">
        <v>7576</v>
      </c>
      <c r="C192" t="s">
        <v>19</v>
      </c>
      <c r="D192" t="s">
        <v>398</v>
      </c>
      <c r="E192" t="s">
        <v>14</v>
      </c>
      <c r="F192" t="s">
        <v>6396</v>
      </c>
      <c r="G192" t="s">
        <v>5906</v>
      </c>
    </row>
    <row r="193" spans="1:7" x14ac:dyDescent="0.3">
      <c r="A193" t="s">
        <v>7579</v>
      </c>
      <c r="B193" t="s">
        <v>7576</v>
      </c>
      <c r="C193" t="s">
        <v>19</v>
      </c>
      <c r="D193" t="s">
        <v>398</v>
      </c>
      <c r="E193" t="s">
        <v>14</v>
      </c>
      <c r="F193" t="s">
        <v>6396</v>
      </c>
      <c r="G193" t="s">
        <v>5951</v>
      </c>
    </row>
    <row r="194" spans="1:7" x14ac:dyDescent="0.3">
      <c r="A194" t="s">
        <v>7580</v>
      </c>
      <c r="B194" t="s">
        <v>7576</v>
      </c>
      <c r="C194" t="s">
        <v>19</v>
      </c>
      <c r="D194" t="s">
        <v>398</v>
      </c>
      <c r="E194" t="s">
        <v>14</v>
      </c>
      <c r="F194" t="s">
        <v>6191</v>
      </c>
      <c r="G194" t="s">
        <v>5906</v>
      </c>
    </row>
    <row r="195" spans="1:7" x14ac:dyDescent="0.3">
      <c r="A195" t="s">
        <v>7580</v>
      </c>
      <c r="B195" t="s">
        <v>7576</v>
      </c>
      <c r="C195" t="s">
        <v>19</v>
      </c>
      <c r="D195" t="s">
        <v>398</v>
      </c>
      <c r="E195" t="s">
        <v>14</v>
      </c>
      <c r="F195" t="s">
        <v>6191</v>
      </c>
      <c r="G195">
        <v>0</v>
      </c>
    </row>
    <row r="196" spans="1:7" x14ac:dyDescent="0.3">
      <c r="A196" t="s">
        <v>7580</v>
      </c>
      <c r="B196" t="s">
        <v>7576</v>
      </c>
      <c r="C196" t="s">
        <v>19</v>
      </c>
      <c r="D196" t="s">
        <v>398</v>
      </c>
      <c r="E196" t="s">
        <v>14</v>
      </c>
      <c r="F196" t="s">
        <v>6191</v>
      </c>
      <c r="G196" t="s">
        <v>5951</v>
      </c>
    </row>
    <row r="197" spans="1:7" x14ac:dyDescent="0.3">
      <c r="A197" t="s">
        <v>7580</v>
      </c>
      <c r="B197" t="s">
        <v>7576</v>
      </c>
      <c r="C197" t="s">
        <v>19</v>
      </c>
      <c r="D197" t="s">
        <v>398</v>
      </c>
      <c r="E197" t="s">
        <v>14</v>
      </c>
      <c r="F197" t="s">
        <v>6396</v>
      </c>
      <c r="G197" t="s">
        <v>5906</v>
      </c>
    </row>
    <row r="198" spans="1:7" x14ac:dyDescent="0.3">
      <c r="A198" t="s">
        <v>7581</v>
      </c>
      <c r="B198" t="s">
        <v>7576</v>
      </c>
      <c r="C198" t="s">
        <v>19</v>
      </c>
      <c r="D198" t="s">
        <v>15</v>
      </c>
      <c r="E198" t="s">
        <v>14</v>
      </c>
      <c r="F198" t="s">
        <v>6148</v>
      </c>
      <c r="G198" t="s">
        <v>5906</v>
      </c>
    </row>
    <row r="199" spans="1:7" x14ac:dyDescent="0.3">
      <c r="A199" t="s">
        <v>7581</v>
      </c>
      <c r="B199" t="s">
        <v>7576</v>
      </c>
      <c r="C199" t="s">
        <v>19</v>
      </c>
      <c r="D199" t="s">
        <v>15</v>
      </c>
      <c r="E199" t="s">
        <v>14</v>
      </c>
      <c r="F199" t="s">
        <v>6169</v>
      </c>
      <c r="G199" t="s">
        <v>5906</v>
      </c>
    </row>
    <row r="200" spans="1:7" x14ac:dyDescent="0.3">
      <c r="A200" t="s">
        <v>7581</v>
      </c>
      <c r="B200" t="s">
        <v>7576</v>
      </c>
      <c r="C200" t="s">
        <v>15</v>
      </c>
      <c r="D200" t="s">
        <v>398</v>
      </c>
      <c r="E200" t="s">
        <v>368</v>
      </c>
      <c r="F200" t="s">
        <v>6191</v>
      </c>
      <c r="G200" t="s">
        <v>5908</v>
      </c>
    </row>
    <row r="201" spans="1:7" x14ac:dyDescent="0.3">
      <c r="A201" t="s">
        <v>7581</v>
      </c>
      <c r="B201" t="s">
        <v>7576</v>
      </c>
      <c r="C201" t="s">
        <v>15</v>
      </c>
      <c r="D201" t="s">
        <v>398</v>
      </c>
      <c r="E201" t="s">
        <v>368</v>
      </c>
      <c r="F201" t="s">
        <v>6191</v>
      </c>
      <c r="G201" t="s">
        <v>5923</v>
      </c>
    </row>
    <row r="202" spans="1:7" x14ac:dyDescent="0.3">
      <c r="A202" t="s">
        <v>7581</v>
      </c>
      <c r="B202" t="s">
        <v>7576</v>
      </c>
      <c r="C202" t="s">
        <v>15</v>
      </c>
      <c r="D202" t="s">
        <v>398</v>
      </c>
      <c r="E202" t="s">
        <v>368</v>
      </c>
      <c r="F202" t="s">
        <v>6396</v>
      </c>
      <c r="G202" t="s">
        <v>5923</v>
      </c>
    </row>
    <row r="203" spans="1:7" x14ac:dyDescent="0.3">
      <c r="A203" t="s">
        <v>7581</v>
      </c>
      <c r="B203" t="s">
        <v>7576</v>
      </c>
      <c r="C203" t="s">
        <v>15</v>
      </c>
      <c r="D203" t="s">
        <v>398</v>
      </c>
      <c r="E203" t="s">
        <v>381</v>
      </c>
      <c r="F203" t="s">
        <v>6191</v>
      </c>
      <c r="G203" t="s">
        <v>5921</v>
      </c>
    </row>
    <row r="204" spans="1:7" x14ac:dyDescent="0.3">
      <c r="A204" t="s">
        <v>7581</v>
      </c>
      <c r="B204" t="s">
        <v>7576</v>
      </c>
      <c r="C204" t="s">
        <v>15</v>
      </c>
      <c r="D204" t="s">
        <v>398</v>
      </c>
      <c r="E204" t="s">
        <v>381</v>
      </c>
      <c r="F204" t="s">
        <v>6191</v>
      </c>
      <c r="G204" t="s">
        <v>5937</v>
      </c>
    </row>
    <row r="205" spans="1:7" x14ac:dyDescent="0.3">
      <c r="A205" t="s">
        <v>7581</v>
      </c>
      <c r="B205" t="s">
        <v>7576</v>
      </c>
      <c r="C205" t="s">
        <v>15</v>
      </c>
      <c r="D205" t="s">
        <v>398</v>
      </c>
      <c r="E205" t="s">
        <v>381</v>
      </c>
      <c r="F205" t="s">
        <v>6396</v>
      </c>
      <c r="G205" t="s">
        <v>5937</v>
      </c>
    </row>
    <row r="206" spans="1:7" x14ac:dyDescent="0.3">
      <c r="A206" t="s">
        <v>7581</v>
      </c>
      <c r="B206" t="s">
        <v>7576</v>
      </c>
      <c r="C206" t="s">
        <v>15</v>
      </c>
      <c r="D206" t="s">
        <v>398</v>
      </c>
      <c r="E206" t="s">
        <v>369</v>
      </c>
      <c r="F206" t="s">
        <v>6191</v>
      </c>
      <c r="G206" t="s">
        <v>5909</v>
      </c>
    </row>
    <row r="207" spans="1:7" x14ac:dyDescent="0.3">
      <c r="A207" t="s">
        <v>7581</v>
      </c>
      <c r="B207" t="s">
        <v>7576</v>
      </c>
      <c r="C207" t="s">
        <v>15</v>
      </c>
      <c r="D207" t="s">
        <v>398</v>
      </c>
      <c r="E207" t="s">
        <v>369</v>
      </c>
      <c r="F207" t="s">
        <v>6191</v>
      </c>
      <c r="G207" t="s">
        <v>5925</v>
      </c>
    </row>
    <row r="208" spans="1:7" x14ac:dyDescent="0.3">
      <c r="A208" t="s">
        <v>7581</v>
      </c>
      <c r="B208" t="s">
        <v>7576</v>
      </c>
      <c r="C208" t="s">
        <v>15</v>
      </c>
      <c r="D208" t="s">
        <v>398</v>
      </c>
      <c r="E208" t="s">
        <v>369</v>
      </c>
      <c r="F208" t="s">
        <v>6396</v>
      </c>
      <c r="G208" t="s">
        <v>5925</v>
      </c>
    </row>
    <row r="209" spans="1:7" x14ac:dyDescent="0.3">
      <c r="A209" t="s">
        <v>7581</v>
      </c>
      <c r="B209" t="s">
        <v>7576</v>
      </c>
      <c r="C209" t="s">
        <v>15</v>
      </c>
      <c r="D209" t="s">
        <v>398</v>
      </c>
      <c r="E209" t="s">
        <v>377</v>
      </c>
      <c r="F209" t="s">
        <v>6191</v>
      </c>
      <c r="G209" t="s">
        <v>5917</v>
      </c>
    </row>
    <row r="210" spans="1:7" x14ac:dyDescent="0.3">
      <c r="A210" t="s">
        <v>7581</v>
      </c>
      <c r="B210" t="s">
        <v>7576</v>
      </c>
      <c r="C210" t="s">
        <v>15</v>
      </c>
      <c r="D210" t="s">
        <v>398</v>
      </c>
      <c r="E210" t="s">
        <v>377</v>
      </c>
      <c r="F210" t="s">
        <v>6191</v>
      </c>
      <c r="G210" t="s">
        <v>5933</v>
      </c>
    </row>
    <row r="211" spans="1:7" x14ac:dyDescent="0.3">
      <c r="A211" t="s">
        <v>7581</v>
      </c>
      <c r="B211" t="s">
        <v>7576</v>
      </c>
      <c r="C211" t="s">
        <v>15</v>
      </c>
      <c r="D211" t="s">
        <v>398</v>
      </c>
      <c r="E211" t="s">
        <v>377</v>
      </c>
      <c r="F211" t="s">
        <v>6396</v>
      </c>
      <c r="G211" t="s">
        <v>5933</v>
      </c>
    </row>
    <row r="212" spans="1:7" x14ac:dyDescent="0.3">
      <c r="A212" t="s">
        <v>7581</v>
      </c>
      <c r="B212" t="s">
        <v>7576</v>
      </c>
      <c r="C212" t="s">
        <v>15</v>
      </c>
      <c r="D212" t="s">
        <v>398</v>
      </c>
      <c r="E212" t="s">
        <v>370</v>
      </c>
      <c r="F212" t="s">
        <v>6191</v>
      </c>
      <c r="G212" t="s">
        <v>5910</v>
      </c>
    </row>
    <row r="213" spans="1:7" x14ac:dyDescent="0.3">
      <c r="A213" t="s">
        <v>7581</v>
      </c>
      <c r="B213" t="s">
        <v>7576</v>
      </c>
      <c r="C213" t="s">
        <v>15</v>
      </c>
      <c r="D213" t="s">
        <v>398</v>
      </c>
      <c r="E213" t="s">
        <v>370</v>
      </c>
      <c r="F213" t="s">
        <v>6191</v>
      </c>
      <c r="G213" t="s">
        <v>5926</v>
      </c>
    </row>
    <row r="214" spans="1:7" x14ac:dyDescent="0.3">
      <c r="A214" t="s">
        <v>7581</v>
      </c>
      <c r="B214" t="s">
        <v>7576</v>
      </c>
      <c r="C214" t="s">
        <v>15</v>
      </c>
      <c r="D214" t="s">
        <v>398</v>
      </c>
      <c r="E214" t="s">
        <v>370</v>
      </c>
      <c r="F214" t="s">
        <v>6396</v>
      </c>
      <c r="G214" t="s">
        <v>5926</v>
      </c>
    </row>
    <row r="215" spans="1:7" x14ac:dyDescent="0.3">
      <c r="A215" t="s">
        <v>7581</v>
      </c>
      <c r="B215" t="s">
        <v>7576</v>
      </c>
      <c r="C215" t="s">
        <v>15</v>
      </c>
      <c r="D215" t="s">
        <v>398</v>
      </c>
      <c r="E215" t="s">
        <v>375</v>
      </c>
      <c r="F215" t="s">
        <v>6191</v>
      </c>
      <c r="G215" t="s">
        <v>5915</v>
      </c>
    </row>
    <row r="216" spans="1:7" x14ac:dyDescent="0.3">
      <c r="A216" t="s">
        <v>7581</v>
      </c>
      <c r="B216" t="s">
        <v>7576</v>
      </c>
      <c r="C216" t="s">
        <v>15</v>
      </c>
      <c r="D216" t="s">
        <v>398</v>
      </c>
      <c r="E216" t="s">
        <v>375</v>
      </c>
      <c r="F216" t="s">
        <v>6191</v>
      </c>
      <c r="G216" t="s">
        <v>5931</v>
      </c>
    </row>
    <row r="217" spans="1:7" x14ac:dyDescent="0.3">
      <c r="A217" t="s">
        <v>7581</v>
      </c>
      <c r="B217" t="s">
        <v>7576</v>
      </c>
      <c r="C217" t="s">
        <v>15</v>
      </c>
      <c r="D217" t="s">
        <v>398</v>
      </c>
      <c r="E217" t="s">
        <v>375</v>
      </c>
      <c r="F217" t="s">
        <v>6396</v>
      </c>
      <c r="G217" t="s">
        <v>5931</v>
      </c>
    </row>
    <row r="218" spans="1:7" x14ac:dyDescent="0.3">
      <c r="A218" t="s">
        <v>7581</v>
      </c>
      <c r="B218" t="s">
        <v>7576</v>
      </c>
      <c r="C218" t="s">
        <v>15</v>
      </c>
      <c r="D218" t="s">
        <v>398</v>
      </c>
      <c r="E218" t="s">
        <v>376</v>
      </c>
      <c r="F218" t="s">
        <v>6191</v>
      </c>
      <c r="G218" t="s">
        <v>5916</v>
      </c>
    </row>
    <row r="219" spans="1:7" x14ac:dyDescent="0.3">
      <c r="A219" t="s">
        <v>7581</v>
      </c>
      <c r="B219" t="s">
        <v>7576</v>
      </c>
      <c r="C219" t="s">
        <v>15</v>
      </c>
      <c r="D219" t="s">
        <v>398</v>
      </c>
      <c r="E219" t="s">
        <v>376</v>
      </c>
      <c r="F219" t="s">
        <v>6191</v>
      </c>
      <c r="G219" t="s">
        <v>5932</v>
      </c>
    </row>
    <row r="220" spans="1:7" x14ac:dyDescent="0.3">
      <c r="A220" t="s">
        <v>7581</v>
      </c>
      <c r="B220" t="s">
        <v>7576</v>
      </c>
      <c r="C220" t="s">
        <v>15</v>
      </c>
      <c r="D220" t="s">
        <v>398</v>
      </c>
      <c r="E220" t="s">
        <v>376</v>
      </c>
      <c r="F220" t="s">
        <v>6396</v>
      </c>
      <c r="G220" t="s">
        <v>5932</v>
      </c>
    </row>
    <row r="221" spans="1:7" x14ac:dyDescent="0.3">
      <c r="A221" t="s">
        <v>7581</v>
      </c>
      <c r="B221" t="s">
        <v>7576</v>
      </c>
      <c r="C221" t="s">
        <v>15</v>
      </c>
      <c r="D221" t="s">
        <v>398</v>
      </c>
      <c r="E221" t="s">
        <v>380</v>
      </c>
      <c r="F221" t="s">
        <v>6191</v>
      </c>
      <c r="G221" t="s">
        <v>5920</v>
      </c>
    </row>
    <row r="222" spans="1:7" x14ac:dyDescent="0.3">
      <c r="A222" t="s">
        <v>7581</v>
      </c>
      <c r="B222" t="s">
        <v>7576</v>
      </c>
      <c r="C222" t="s">
        <v>15</v>
      </c>
      <c r="D222" t="s">
        <v>398</v>
      </c>
      <c r="E222" t="s">
        <v>380</v>
      </c>
      <c r="F222" t="s">
        <v>6191</v>
      </c>
      <c r="G222" t="s">
        <v>5936</v>
      </c>
    </row>
    <row r="223" spans="1:7" x14ac:dyDescent="0.3">
      <c r="A223" t="s">
        <v>7581</v>
      </c>
      <c r="B223" t="s">
        <v>7576</v>
      </c>
      <c r="C223" t="s">
        <v>15</v>
      </c>
      <c r="D223" t="s">
        <v>398</v>
      </c>
      <c r="E223" t="s">
        <v>380</v>
      </c>
      <c r="F223" t="s">
        <v>6396</v>
      </c>
      <c r="G223" t="s">
        <v>5936</v>
      </c>
    </row>
    <row r="224" spans="1:7" x14ac:dyDescent="0.3">
      <c r="A224" t="s">
        <v>7581</v>
      </c>
      <c r="B224" t="s">
        <v>7576</v>
      </c>
      <c r="C224" t="s">
        <v>15</v>
      </c>
      <c r="D224" t="s">
        <v>398</v>
      </c>
      <c r="E224" t="s">
        <v>378</v>
      </c>
      <c r="F224" t="s">
        <v>6191</v>
      </c>
      <c r="G224" t="s">
        <v>5918</v>
      </c>
    </row>
    <row r="225" spans="1:7" x14ac:dyDescent="0.3">
      <c r="A225" t="s">
        <v>7581</v>
      </c>
      <c r="B225" t="s">
        <v>7576</v>
      </c>
      <c r="C225" t="s">
        <v>15</v>
      </c>
      <c r="D225" t="s">
        <v>398</v>
      </c>
      <c r="E225" t="s">
        <v>378</v>
      </c>
      <c r="F225" t="s">
        <v>6191</v>
      </c>
      <c r="G225" t="s">
        <v>5934</v>
      </c>
    </row>
    <row r="226" spans="1:7" x14ac:dyDescent="0.3">
      <c r="A226" t="s">
        <v>7581</v>
      </c>
      <c r="B226" t="s">
        <v>7576</v>
      </c>
      <c r="C226" t="s">
        <v>15</v>
      </c>
      <c r="D226" t="s">
        <v>398</v>
      </c>
      <c r="E226" t="s">
        <v>378</v>
      </c>
      <c r="F226" t="s">
        <v>6396</v>
      </c>
      <c r="G226" t="s">
        <v>5934</v>
      </c>
    </row>
    <row r="227" spans="1:7" x14ac:dyDescent="0.3">
      <c r="A227" t="s">
        <v>7581</v>
      </c>
      <c r="B227" t="s">
        <v>7576</v>
      </c>
      <c r="C227" t="s">
        <v>15</v>
      </c>
      <c r="D227" t="s">
        <v>398</v>
      </c>
      <c r="E227" t="s">
        <v>373</v>
      </c>
      <c r="F227" t="s">
        <v>6191</v>
      </c>
      <c r="G227" t="s">
        <v>5913</v>
      </c>
    </row>
    <row r="228" spans="1:7" x14ac:dyDescent="0.3">
      <c r="A228" t="s">
        <v>7581</v>
      </c>
      <c r="B228" t="s">
        <v>7576</v>
      </c>
      <c r="C228" t="s">
        <v>15</v>
      </c>
      <c r="D228" t="s">
        <v>398</v>
      </c>
      <c r="E228" t="s">
        <v>373</v>
      </c>
      <c r="F228" t="s">
        <v>6191</v>
      </c>
      <c r="G228" t="s">
        <v>5929</v>
      </c>
    </row>
    <row r="229" spans="1:7" x14ac:dyDescent="0.3">
      <c r="A229" t="s">
        <v>7581</v>
      </c>
      <c r="B229" t="s">
        <v>7576</v>
      </c>
      <c r="C229" t="s">
        <v>15</v>
      </c>
      <c r="D229" t="s">
        <v>398</v>
      </c>
      <c r="E229" t="s">
        <v>373</v>
      </c>
      <c r="F229" t="s">
        <v>6396</v>
      </c>
      <c r="G229" t="s">
        <v>5929</v>
      </c>
    </row>
    <row r="230" spans="1:7" x14ac:dyDescent="0.3">
      <c r="A230" t="s">
        <v>7581</v>
      </c>
      <c r="B230" t="s">
        <v>7576</v>
      </c>
      <c r="C230" t="s">
        <v>15</v>
      </c>
      <c r="D230" t="s">
        <v>398</v>
      </c>
      <c r="E230" t="s">
        <v>382</v>
      </c>
      <c r="F230" t="s">
        <v>6191</v>
      </c>
      <c r="G230" t="s">
        <v>5958</v>
      </c>
    </row>
    <row r="231" spans="1:7" x14ac:dyDescent="0.3">
      <c r="A231" t="s">
        <v>7581</v>
      </c>
      <c r="B231" t="s">
        <v>7576</v>
      </c>
      <c r="C231" t="s">
        <v>15</v>
      </c>
      <c r="D231" t="s">
        <v>398</v>
      </c>
      <c r="E231" t="s">
        <v>382</v>
      </c>
      <c r="F231" t="s">
        <v>6191</v>
      </c>
      <c r="G231" t="s">
        <v>5924</v>
      </c>
    </row>
    <row r="232" spans="1:7" x14ac:dyDescent="0.3">
      <c r="A232" t="s">
        <v>7581</v>
      </c>
      <c r="B232" t="s">
        <v>7576</v>
      </c>
      <c r="C232" t="s">
        <v>15</v>
      </c>
      <c r="D232" t="s">
        <v>398</v>
      </c>
      <c r="E232" t="s">
        <v>382</v>
      </c>
      <c r="F232" t="s">
        <v>6396</v>
      </c>
      <c r="G232" t="s">
        <v>5924</v>
      </c>
    </row>
    <row r="233" spans="1:7" x14ac:dyDescent="0.3">
      <c r="A233" t="s">
        <v>7581</v>
      </c>
      <c r="B233" t="s">
        <v>7576</v>
      </c>
      <c r="C233" t="s">
        <v>15</v>
      </c>
      <c r="D233" t="s">
        <v>398</v>
      </c>
      <c r="E233" t="s">
        <v>372</v>
      </c>
      <c r="F233" t="s">
        <v>6191</v>
      </c>
      <c r="G233" t="s">
        <v>5912</v>
      </c>
    </row>
    <row r="234" spans="1:7" x14ac:dyDescent="0.3">
      <c r="A234" t="s">
        <v>7581</v>
      </c>
      <c r="B234" t="s">
        <v>7576</v>
      </c>
      <c r="C234" t="s">
        <v>15</v>
      </c>
      <c r="D234" t="s">
        <v>398</v>
      </c>
      <c r="E234" t="s">
        <v>372</v>
      </c>
      <c r="F234" t="s">
        <v>6191</v>
      </c>
      <c r="G234" t="s">
        <v>5928</v>
      </c>
    </row>
    <row r="235" spans="1:7" x14ac:dyDescent="0.3">
      <c r="A235" t="s">
        <v>7581</v>
      </c>
      <c r="B235" t="s">
        <v>7576</v>
      </c>
      <c r="C235" t="s">
        <v>15</v>
      </c>
      <c r="D235" t="s">
        <v>398</v>
      </c>
      <c r="E235" t="s">
        <v>372</v>
      </c>
      <c r="F235" t="s">
        <v>6396</v>
      </c>
      <c r="G235" t="s">
        <v>5928</v>
      </c>
    </row>
    <row r="236" spans="1:7" x14ac:dyDescent="0.3">
      <c r="A236" t="s">
        <v>7581</v>
      </c>
      <c r="B236" t="s">
        <v>7576</v>
      </c>
      <c r="C236" t="s">
        <v>15</v>
      </c>
      <c r="D236" t="s">
        <v>398</v>
      </c>
      <c r="E236" t="s">
        <v>367</v>
      </c>
      <c r="F236" t="s">
        <v>6191</v>
      </c>
      <c r="G236" t="s">
        <v>5907</v>
      </c>
    </row>
    <row r="237" spans="1:7" x14ac:dyDescent="0.3">
      <c r="A237" t="s">
        <v>7581</v>
      </c>
      <c r="B237" t="s">
        <v>7576</v>
      </c>
      <c r="C237" t="s">
        <v>15</v>
      </c>
      <c r="D237" t="s">
        <v>398</v>
      </c>
      <c r="E237" t="s">
        <v>367</v>
      </c>
      <c r="F237" t="s">
        <v>6191</v>
      </c>
      <c r="G237" t="s">
        <v>5922</v>
      </c>
    </row>
    <row r="238" spans="1:7" x14ac:dyDescent="0.3">
      <c r="A238" t="s">
        <v>7581</v>
      </c>
      <c r="B238" t="s">
        <v>7576</v>
      </c>
      <c r="C238" t="s">
        <v>15</v>
      </c>
      <c r="D238" t="s">
        <v>398</v>
      </c>
      <c r="E238" t="s">
        <v>367</v>
      </c>
      <c r="F238" t="s">
        <v>6396</v>
      </c>
      <c r="G238" t="s">
        <v>5922</v>
      </c>
    </row>
    <row r="239" spans="1:7" x14ac:dyDescent="0.3">
      <c r="A239" t="s">
        <v>7581</v>
      </c>
      <c r="B239" t="s">
        <v>7576</v>
      </c>
      <c r="C239" t="s">
        <v>15</v>
      </c>
      <c r="D239" t="s">
        <v>398</v>
      </c>
      <c r="E239" t="s">
        <v>371</v>
      </c>
      <c r="F239" t="s">
        <v>6191</v>
      </c>
      <c r="G239" t="s">
        <v>5911</v>
      </c>
    </row>
    <row r="240" spans="1:7" x14ac:dyDescent="0.3">
      <c r="A240" t="s">
        <v>7581</v>
      </c>
      <c r="B240" t="s">
        <v>7576</v>
      </c>
      <c r="C240" t="s">
        <v>15</v>
      </c>
      <c r="D240" t="s">
        <v>398</v>
      </c>
      <c r="E240" t="s">
        <v>371</v>
      </c>
      <c r="F240" t="s">
        <v>6191</v>
      </c>
      <c r="G240" t="s">
        <v>5927</v>
      </c>
    </row>
    <row r="241" spans="1:7" x14ac:dyDescent="0.3">
      <c r="A241" t="s">
        <v>7581</v>
      </c>
      <c r="B241" t="s">
        <v>7576</v>
      </c>
      <c r="C241" t="s">
        <v>15</v>
      </c>
      <c r="D241" t="s">
        <v>398</v>
      </c>
      <c r="E241" t="s">
        <v>371</v>
      </c>
      <c r="F241" t="s">
        <v>6396</v>
      </c>
      <c r="G241" t="s">
        <v>5927</v>
      </c>
    </row>
    <row r="242" spans="1:7" x14ac:dyDescent="0.3">
      <c r="A242" t="s">
        <v>7581</v>
      </c>
      <c r="B242" t="s">
        <v>7576</v>
      </c>
      <c r="C242" t="s">
        <v>15</v>
      </c>
      <c r="D242" t="s">
        <v>398</v>
      </c>
      <c r="E242" t="s">
        <v>374</v>
      </c>
      <c r="F242" t="s">
        <v>6191</v>
      </c>
      <c r="G242" t="s">
        <v>5914</v>
      </c>
    </row>
    <row r="243" spans="1:7" x14ac:dyDescent="0.3">
      <c r="A243" t="s">
        <v>7581</v>
      </c>
      <c r="B243" t="s">
        <v>7576</v>
      </c>
      <c r="C243" t="s">
        <v>15</v>
      </c>
      <c r="D243" t="s">
        <v>398</v>
      </c>
      <c r="E243" t="s">
        <v>374</v>
      </c>
      <c r="F243" t="s">
        <v>6191</v>
      </c>
      <c r="G243" t="s">
        <v>5930</v>
      </c>
    </row>
    <row r="244" spans="1:7" x14ac:dyDescent="0.3">
      <c r="A244" t="s">
        <v>7581</v>
      </c>
      <c r="B244" t="s">
        <v>7576</v>
      </c>
      <c r="C244" t="s">
        <v>15</v>
      </c>
      <c r="D244" t="s">
        <v>398</v>
      </c>
      <c r="E244" t="s">
        <v>374</v>
      </c>
      <c r="F244" t="s">
        <v>6396</v>
      </c>
      <c r="G244" t="s">
        <v>5930</v>
      </c>
    </row>
    <row r="245" spans="1:7" x14ac:dyDescent="0.3">
      <c r="A245" t="s">
        <v>7581</v>
      </c>
      <c r="B245" t="s">
        <v>7576</v>
      </c>
      <c r="C245" t="s">
        <v>15</v>
      </c>
      <c r="D245" t="s">
        <v>398</v>
      </c>
      <c r="E245" t="s">
        <v>379</v>
      </c>
      <c r="F245" t="s">
        <v>6191</v>
      </c>
      <c r="G245" t="s">
        <v>5919</v>
      </c>
    </row>
    <row r="246" spans="1:7" x14ac:dyDescent="0.3">
      <c r="A246" t="s">
        <v>7581</v>
      </c>
      <c r="B246" t="s">
        <v>7576</v>
      </c>
      <c r="C246" t="s">
        <v>15</v>
      </c>
      <c r="D246" t="s">
        <v>398</v>
      </c>
      <c r="E246" t="s">
        <v>379</v>
      </c>
      <c r="F246" t="s">
        <v>6191</v>
      </c>
      <c r="G246" t="s">
        <v>5935</v>
      </c>
    </row>
    <row r="247" spans="1:7" x14ac:dyDescent="0.3">
      <c r="A247" t="s">
        <v>7581</v>
      </c>
      <c r="B247" t="s">
        <v>7576</v>
      </c>
      <c r="C247" t="s">
        <v>15</v>
      </c>
      <c r="D247" t="s">
        <v>398</v>
      </c>
      <c r="E247" t="s">
        <v>379</v>
      </c>
      <c r="F247" t="s">
        <v>6396</v>
      </c>
      <c r="G247" t="s">
        <v>5935</v>
      </c>
    </row>
    <row r="248" spans="1:7" x14ac:dyDescent="0.3">
      <c r="A248" t="s">
        <v>7581</v>
      </c>
      <c r="B248" t="s">
        <v>7576</v>
      </c>
      <c r="C248" t="s">
        <v>17</v>
      </c>
      <c r="D248" t="s">
        <v>398</v>
      </c>
      <c r="E248" t="s">
        <v>261</v>
      </c>
      <c r="F248" t="s">
        <v>6191</v>
      </c>
      <c r="G248" t="s">
        <v>5916</v>
      </c>
    </row>
    <row r="249" spans="1:7" x14ac:dyDescent="0.3">
      <c r="A249" t="s">
        <v>7581</v>
      </c>
      <c r="B249" t="s">
        <v>7576</v>
      </c>
      <c r="C249" t="s">
        <v>17</v>
      </c>
      <c r="D249" t="s">
        <v>398</v>
      </c>
      <c r="E249" t="s">
        <v>240</v>
      </c>
      <c r="F249" t="s">
        <v>6191</v>
      </c>
      <c r="G249" t="s">
        <v>5915</v>
      </c>
    </row>
    <row r="250" spans="1:7" x14ac:dyDescent="0.3">
      <c r="A250" t="s">
        <v>7581</v>
      </c>
      <c r="B250" t="s">
        <v>7576</v>
      </c>
      <c r="C250" t="s">
        <v>17</v>
      </c>
      <c r="D250" t="s">
        <v>398</v>
      </c>
      <c r="E250" t="s">
        <v>16</v>
      </c>
      <c r="F250" t="s">
        <v>6191</v>
      </c>
      <c r="G250" t="s">
        <v>5908</v>
      </c>
    </row>
    <row r="251" spans="1:7" x14ac:dyDescent="0.3">
      <c r="A251" t="s">
        <v>7581</v>
      </c>
      <c r="B251" t="s">
        <v>7576</v>
      </c>
      <c r="C251" t="s">
        <v>17</v>
      </c>
      <c r="D251" t="s">
        <v>398</v>
      </c>
      <c r="E251" t="s">
        <v>178</v>
      </c>
      <c r="F251" t="s">
        <v>6191</v>
      </c>
      <c r="G251" t="s">
        <v>5914</v>
      </c>
    </row>
    <row r="252" spans="1:7" x14ac:dyDescent="0.3">
      <c r="A252" t="s">
        <v>7581</v>
      </c>
      <c r="B252" t="s">
        <v>7576</v>
      </c>
      <c r="C252" t="s">
        <v>17</v>
      </c>
      <c r="D252" t="s">
        <v>398</v>
      </c>
      <c r="E252" t="s">
        <v>362</v>
      </c>
      <c r="F252" t="s">
        <v>6191</v>
      </c>
      <c r="G252" t="s">
        <v>5921</v>
      </c>
    </row>
    <row r="253" spans="1:7" x14ac:dyDescent="0.3">
      <c r="A253" t="s">
        <v>7581</v>
      </c>
      <c r="B253" t="s">
        <v>7576</v>
      </c>
      <c r="C253" t="s">
        <v>17</v>
      </c>
      <c r="D253" t="s">
        <v>398</v>
      </c>
      <c r="E253" t="s">
        <v>39</v>
      </c>
      <c r="F253" t="s">
        <v>6191</v>
      </c>
      <c r="G253" t="s">
        <v>5908</v>
      </c>
    </row>
    <row r="254" spans="1:7" x14ac:dyDescent="0.3">
      <c r="A254" t="s">
        <v>7581</v>
      </c>
      <c r="B254" t="s">
        <v>7576</v>
      </c>
      <c r="C254" t="s">
        <v>17</v>
      </c>
      <c r="D254" t="s">
        <v>398</v>
      </c>
      <c r="E254" t="s">
        <v>83</v>
      </c>
      <c r="F254" t="s">
        <v>6191</v>
      </c>
      <c r="G254" t="s">
        <v>5911</v>
      </c>
    </row>
    <row r="255" spans="1:7" x14ac:dyDescent="0.3">
      <c r="A255" t="s">
        <v>7581</v>
      </c>
      <c r="B255" t="s">
        <v>7576</v>
      </c>
      <c r="C255" t="s">
        <v>17</v>
      </c>
      <c r="D255" t="s">
        <v>398</v>
      </c>
      <c r="E255" t="s">
        <v>179</v>
      </c>
      <c r="F255" t="s">
        <v>6191</v>
      </c>
      <c r="G255" t="s">
        <v>5914</v>
      </c>
    </row>
    <row r="256" spans="1:7" x14ac:dyDescent="0.3">
      <c r="A256" t="s">
        <v>7581</v>
      </c>
      <c r="B256" t="s">
        <v>7576</v>
      </c>
      <c r="C256" t="s">
        <v>17</v>
      </c>
      <c r="D256" t="s">
        <v>398</v>
      </c>
      <c r="E256" t="s">
        <v>260</v>
      </c>
      <c r="F256" t="s">
        <v>6191</v>
      </c>
      <c r="G256" t="s">
        <v>5916</v>
      </c>
    </row>
    <row r="257" spans="1:7" x14ac:dyDescent="0.3">
      <c r="A257" t="s">
        <v>7581</v>
      </c>
      <c r="B257" t="s">
        <v>7576</v>
      </c>
      <c r="C257" t="s">
        <v>17</v>
      </c>
      <c r="D257" t="s">
        <v>398</v>
      </c>
      <c r="E257" t="s">
        <v>145</v>
      </c>
      <c r="F257" t="s">
        <v>6191</v>
      </c>
      <c r="G257" t="s">
        <v>5913</v>
      </c>
    </row>
    <row r="258" spans="1:7" x14ac:dyDescent="0.3">
      <c r="A258" t="s">
        <v>7581</v>
      </c>
      <c r="B258" t="s">
        <v>7576</v>
      </c>
      <c r="C258" t="s">
        <v>17</v>
      </c>
      <c r="D258" t="s">
        <v>398</v>
      </c>
      <c r="E258" t="s">
        <v>167</v>
      </c>
      <c r="F258" t="s">
        <v>6191</v>
      </c>
      <c r="G258" t="s">
        <v>5914</v>
      </c>
    </row>
    <row r="259" spans="1:7" x14ac:dyDescent="0.3">
      <c r="A259" t="s">
        <v>7581</v>
      </c>
      <c r="B259" t="s">
        <v>7576</v>
      </c>
      <c r="C259" t="s">
        <v>17</v>
      </c>
      <c r="D259" t="s">
        <v>398</v>
      </c>
      <c r="E259" t="s">
        <v>25</v>
      </c>
      <c r="F259" t="s">
        <v>6191</v>
      </c>
      <c r="G259" t="s">
        <v>5910</v>
      </c>
    </row>
    <row r="260" spans="1:7" x14ac:dyDescent="0.3">
      <c r="A260" t="s">
        <v>7581</v>
      </c>
      <c r="B260" t="s">
        <v>7576</v>
      </c>
      <c r="C260" t="s">
        <v>17</v>
      </c>
      <c r="D260" t="s">
        <v>398</v>
      </c>
      <c r="E260" t="s">
        <v>166</v>
      </c>
      <c r="F260" t="s">
        <v>6191</v>
      </c>
      <c r="G260" t="s">
        <v>5914</v>
      </c>
    </row>
    <row r="261" spans="1:7" x14ac:dyDescent="0.3">
      <c r="A261" t="s">
        <v>7581</v>
      </c>
      <c r="B261" t="s">
        <v>7576</v>
      </c>
      <c r="C261" t="s">
        <v>17</v>
      </c>
      <c r="D261" t="s">
        <v>398</v>
      </c>
      <c r="E261" t="s">
        <v>48</v>
      </c>
      <c r="F261" t="s">
        <v>6191</v>
      </c>
      <c r="G261" t="s">
        <v>5909</v>
      </c>
    </row>
    <row r="262" spans="1:7" x14ac:dyDescent="0.3">
      <c r="A262" t="s">
        <v>7581</v>
      </c>
      <c r="B262" t="s">
        <v>7576</v>
      </c>
      <c r="C262" t="s">
        <v>17</v>
      </c>
      <c r="D262" t="s">
        <v>398</v>
      </c>
      <c r="E262" t="s">
        <v>108</v>
      </c>
      <c r="F262" t="s">
        <v>6191</v>
      </c>
      <c r="G262" t="s">
        <v>5912</v>
      </c>
    </row>
    <row r="263" spans="1:7" x14ac:dyDescent="0.3">
      <c r="A263" t="s">
        <v>7581</v>
      </c>
      <c r="B263" t="s">
        <v>7576</v>
      </c>
      <c r="C263" t="s">
        <v>17</v>
      </c>
      <c r="D263" t="s">
        <v>398</v>
      </c>
      <c r="E263" t="s">
        <v>58</v>
      </c>
      <c r="F263" t="s">
        <v>6191</v>
      </c>
      <c r="G263" t="s">
        <v>5910</v>
      </c>
    </row>
    <row r="264" spans="1:7" x14ac:dyDescent="0.3">
      <c r="A264" t="s">
        <v>7581</v>
      </c>
      <c r="B264" t="s">
        <v>7576</v>
      </c>
      <c r="C264" t="s">
        <v>17</v>
      </c>
      <c r="D264" t="s">
        <v>398</v>
      </c>
      <c r="E264" t="s">
        <v>29</v>
      </c>
      <c r="F264" t="s">
        <v>6191</v>
      </c>
      <c r="G264" t="s">
        <v>5907</v>
      </c>
    </row>
    <row r="265" spans="1:7" x14ac:dyDescent="0.3">
      <c r="A265" t="s">
        <v>7581</v>
      </c>
      <c r="B265" t="s">
        <v>7576</v>
      </c>
      <c r="C265" t="s">
        <v>17</v>
      </c>
      <c r="D265" t="s">
        <v>398</v>
      </c>
      <c r="E265" t="s">
        <v>77</v>
      </c>
      <c r="F265" t="s">
        <v>6191</v>
      </c>
      <c r="G265" t="s">
        <v>5911</v>
      </c>
    </row>
    <row r="266" spans="1:7" x14ac:dyDescent="0.3">
      <c r="A266" t="s">
        <v>7581</v>
      </c>
      <c r="B266" t="s">
        <v>7576</v>
      </c>
      <c r="C266" t="s">
        <v>17</v>
      </c>
      <c r="D266" t="s">
        <v>398</v>
      </c>
      <c r="E266" t="s">
        <v>53</v>
      </c>
      <c r="F266" t="s">
        <v>6191</v>
      </c>
      <c r="G266" t="s">
        <v>5910</v>
      </c>
    </row>
    <row r="267" spans="1:7" x14ac:dyDescent="0.3">
      <c r="A267" t="s">
        <v>7581</v>
      </c>
      <c r="B267" t="s">
        <v>7576</v>
      </c>
      <c r="C267" t="s">
        <v>17</v>
      </c>
      <c r="D267" t="s">
        <v>398</v>
      </c>
      <c r="E267" t="s">
        <v>226</v>
      </c>
      <c r="F267" t="s">
        <v>6191</v>
      </c>
      <c r="G267" t="s">
        <v>5915</v>
      </c>
    </row>
    <row r="268" spans="1:7" x14ac:dyDescent="0.3">
      <c r="A268" t="s">
        <v>7581</v>
      </c>
      <c r="B268" t="s">
        <v>7576</v>
      </c>
      <c r="C268" t="s">
        <v>17</v>
      </c>
      <c r="D268" t="s">
        <v>398</v>
      </c>
      <c r="E268" t="s">
        <v>100</v>
      </c>
      <c r="F268" t="s">
        <v>6191</v>
      </c>
      <c r="G268" t="s">
        <v>5911</v>
      </c>
    </row>
    <row r="269" spans="1:7" x14ac:dyDescent="0.3">
      <c r="A269" t="s">
        <v>7581</v>
      </c>
      <c r="B269" t="s">
        <v>7576</v>
      </c>
      <c r="C269" t="s">
        <v>17</v>
      </c>
      <c r="D269" t="s">
        <v>398</v>
      </c>
      <c r="E269" t="s">
        <v>157</v>
      </c>
      <c r="F269" t="s">
        <v>6191</v>
      </c>
      <c r="G269" t="s">
        <v>5913</v>
      </c>
    </row>
    <row r="270" spans="1:7" x14ac:dyDescent="0.3">
      <c r="A270" t="s">
        <v>7581</v>
      </c>
      <c r="B270" t="s">
        <v>7576</v>
      </c>
      <c r="C270" t="s">
        <v>17</v>
      </c>
      <c r="D270" t="s">
        <v>398</v>
      </c>
      <c r="E270" t="s">
        <v>227</v>
      </c>
      <c r="F270" t="s">
        <v>6191</v>
      </c>
      <c r="G270" t="s">
        <v>5915</v>
      </c>
    </row>
    <row r="271" spans="1:7" x14ac:dyDescent="0.3">
      <c r="A271" t="s">
        <v>7581</v>
      </c>
      <c r="B271" t="s">
        <v>7576</v>
      </c>
      <c r="C271" t="s">
        <v>17</v>
      </c>
      <c r="D271" t="s">
        <v>398</v>
      </c>
      <c r="E271" t="s">
        <v>73</v>
      </c>
      <c r="F271" t="s">
        <v>6191</v>
      </c>
      <c r="G271" t="s">
        <v>5911</v>
      </c>
    </row>
    <row r="272" spans="1:7" x14ac:dyDescent="0.3">
      <c r="A272" t="s">
        <v>7581</v>
      </c>
      <c r="B272" t="s">
        <v>7576</v>
      </c>
      <c r="C272" t="s">
        <v>17</v>
      </c>
      <c r="D272" t="s">
        <v>398</v>
      </c>
      <c r="E272" t="s">
        <v>184</v>
      </c>
      <c r="F272" t="s">
        <v>6191</v>
      </c>
      <c r="G272" t="s">
        <v>5914</v>
      </c>
    </row>
    <row r="273" spans="1:7" x14ac:dyDescent="0.3">
      <c r="A273" t="s">
        <v>7581</v>
      </c>
      <c r="B273" t="s">
        <v>7576</v>
      </c>
      <c r="C273" t="s">
        <v>17</v>
      </c>
      <c r="D273" t="s">
        <v>398</v>
      </c>
      <c r="E273" t="s">
        <v>28</v>
      </c>
      <c r="F273" t="s">
        <v>6191</v>
      </c>
      <c r="G273" t="s">
        <v>5920</v>
      </c>
    </row>
    <row r="274" spans="1:7" x14ac:dyDescent="0.3">
      <c r="A274" t="s">
        <v>7581</v>
      </c>
      <c r="B274" t="s">
        <v>7576</v>
      </c>
      <c r="C274" t="s">
        <v>17</v>
      </c>
      <c r="D274" t="s">
        <v>398</v>
      </c>
      <c r="E274" t="s">
        <v>355</v>
      </c>
      <c r="F274" t="s">
        <v>6191</v>
      </c>
      <c r="G274" t="s">
        <v>5920</v>
      </c>
    </row>
    <row r="275" spans="1:7" x14ac:dyDescent="0.3">
      <c r="A275" t="s">
        <v>7581</v>
      </c>
      <c r="B275" t="s">
        <v>7576</v>
      </c>
      <c r="C275" t="s">
        <v>17</v>
      </c>
      <c r="D275" t="s">
        <v>398</v>
      </c>
      <c r="E275" t="s">
        <v>151</v>
      </c>
      <c r="F275" t="s">
        <v>6191</v>
      </c>
      <c r="G275" t="s">
        <v>5913</v>
      </c>
    </row>
    <row r="276" spans="1:7" x14ac:dyDescent="0.3">
      <c r="A276" t="s">
        <v>7581</v>
      </c>
      <c r="B276" t="s">
        <v>7576</v>
      </c>
      <c r="C276" t="s">
        <v>17</v>
      </c>
      <c r="D276" t="s">
        <v>398</v>
      </c>
      <c r="E276" t="s">
        <v>229</v>
      </c>
      <c r="F276" t="s">
        <v>6191</v>
      </c>
      <c r="G276" t="s">
        <v>5915</v>
      </c>
    </row>
    <row r="277" spans="1:7" x14ac:dyDescent="0.3">
      <c r="A277" t="s">
        <v>7581</v>
      </c>
      <c r="B277" t="s">
        <v>7576</v>
      </c>
      <c r="C277" t="s">
        <v>17</v>
      </c>
      <c r="D277" t="s">
        <v>398</v>
      </c>
      <c r="E277" t="s">
        <v>270</v>
      </c>
      <c r="F277" t="s">
        <v>6191</v>
      </c>
      <c r="G277" t="s">
        <v>5916</v>
      </c>
    </row>
    <row r="278" spans="1:7" x14ac:dyDescent="0.3">
      <c r="A278" t="s">
        <v>7581</v>
      </c>
      <c r="B278" t="s">
        <v>7576</v>
      </c>
      <c r="C278" t="s">
        <v>17</v>
      </c>
      <c r="D278" t="s">
        <v>398</v>
      </c>
      <c r="E278" t="s">
        <v>21</v>
      </c>
      <c r="F278" t="s">
        <v>6191</v>
      </c>
      <c r="G278" t="s">
        <v>5910</v>
      </c>
    </row>
    <row r="279" spans="1:7" x14ac:dyDescent="0.3">
      <c r="A279" t="s">
        <v>7581</v>
      </c>
      <c r="B279" t="s">
        <v>7576</v>
      </c>
      <c r="C279" t="s">
        <v>17</v>
      </c>
      <c r="D279" t="s">
        <v>398</v>
      </c>
      <c r="E279" t="s">
        <v>160</v>
      </c>
      <c r="F279" t="s">
        <v>6191</v>
      </c>
      <c r="G279" t="s">
        <v>5913</v>
      </c>
    </row>
    <row r="280" spans="1:7" x14ac:dyDescent="0.3">
      <c r="A280" t="s">
        <v>7581</v>
      </c>
      <c r="B280" t="s">
        <v>7576</v>
      </c>
      <c r="C280" t="s">
        <v>17</v>
      </c>
      <c r="D280" t="s">
        <v>398</v>
      </c>
      <c r="E280" t="s">
        <v>251</v>
      </c>
      <c r="F280" t="s">
        <v>6191</v>
      </c>
      <c r="G280" t="s">
        <v>5916</v>
      </c>
    </row>
    <row r="281" spans="1:7" x14ac:dyDescent="0.3">
      <c r="A281" t="s">
        <v>7581</v>
      </c>
      <c r="B281" t="s">
        <v>7576</v>
      </c>
      <c r="C281" t="s">
        <v>17</v>
      </c>
      <c r="D281" t="s">
        <v>398</v>
      </c>
      <c r="E281" t="s">
        <v>259</v>
      </c>
      <c r="F281" t="s">
        <v>6191</v>
      </c>
      <c r="G281" t="s">
        <v>5916</v>
      </c>
    </row>
    <row r="282" spans="1:7" x14ac:dyDescent="0.3">
      <c r="A282" t="s">
        <v>7581</v>
      </c>
      <c r="B282" t="s">
        <v>7576</v>
      </c>
      <c r="C282" t="s">
        <v>17</v>
      </c>
      <c r="D282" t="s">
        <v>398</v>
      </c>
      <c r="E282" t="s">
        <v>290</v>
      </c>
      <c r="F282" t="s">
        <v>6191</v>
      </c>
      <c r="G282" t="s">
        <v>5918</v>
      </c>
    </row>
    <row r="283" spans="1:7" x14ac:dyDescent="0.3">
      <c r="A283" t="s">
        <v>7581</v>
      </c>
      <c r="B283" t="s">
        <v>7576</v>
      </c>
      <c r="C283" t="s">
        <v>17</v>
      </c>
      <c r="D283" t="s">
        <v>398</v>
      </c>
      <c r="E283" t="s">
        <v>82</v>
      </c>
      <c r="F283" t="s">
        <v>6191</v>
      </c>
      <c r="G283" t="s">
        <v>5911</v>
      </c>
    </row>
    <row r="284" spans="1:7" x14ac:dyDescent="0.3">
      <c r="A284" t="s">
        <v>7581</v>
      </c>
      <c r="B284" t="s">
        <v>7576</v>
      </c>
      <c r="C284" t="s">
        <v>17</v>
      </c>
      <c r="D284" t="s">
        <v>398</v>
      </c>
      <c r="E284" t="s">
        <v>103</v>
      </c>
      <c r="F284" t="s">
        <v>6191</v>
      </c>
      <c r="G284" t="s">
        <v>5912</v>
      </c>
    </row>
    <row r="285" spans="1:7" x14ac:dyDescent="0.3">
      <c r="A285" t="s">
        <v>7581</v>
      </c>
      <c r="B285" t="s">
        <v>7576</v>
      </c>
      <c r="C285" t="s">
        <v>17</v>
      </c>
      <c r="D285" t="s">
        <v>398</v>
      </c>
      <c r="E285" t="s">
        <v>117</v>
      </c>
      <c r="F285" t="s">
        <v>6191</v>
      </c>
      <c r="G285" t="s">
        <v>5912</v>
      </c>
    </row>
    <row r="286" spans="1:7" x14ac:dyDescent="0.3">
      <c r="A286" t="s">
        <v>7581</v>
      </c>
      <c r="B286" t="s">
        <v>7576</v>
      </c>
      <c r="C286" t="s">
        <v>17</v>
      </c>
      <c r="D286" t="s">
        <v>398</v>
      </c>
      <c r="E286" t="s">
        <v>213</v>
      </c>
      <c r="F286" t="s">
        <v>6191</v>
      </c>
      <c r="G286" t="s">
        <v>5958</v>
      </c>
    </row>
    <row r="287" spans="1:7" x14ac:dyDescent="0.3">
      <c r="A287" t="s">
        <v>7581</v>
      </c>
      <c r="B287" t="s">
        <v>7576</v>
      </c>
      <c r="C287" t="s">
        <v>17</v>
      </c>
      <c r="D287" t="s">
        <v>398</v>
      </c>
      <c r="E287" t="s">
        <v>93</v>
      </c>
      <c r="F287" t="s">
        <v>6191</v>
      </c>
      <c r="G287" t="s">
        <v>5911</v>
      </c>
    </row>
    <row r="288" spans="1:7" x14ac:dyDescent="0.3">
      <c r="A288" t="s">
        <v>7581</v>
      </c>
      <c r="B288" t="s">
        <v>7576</v>
      </c>
      <c r="C288" t="s">
        <v>17</v>
      </c>
      <c r="D288" t="s">
        <v>398</v>
      </c>
      <c r="E288" t="s">
        <v>126</v>
      </c>
      <c r="F288" t="s">
        <v>6191</v>
      </c>
      <c r="G288" t="s">
        <v>5912</v>
      </c>
    </row>
    <row r="289" spans="1:7" x14ac:dyDescent="0.3">
      <c r="A289" t="s">
        <v>7581</v>
      </c>
      <c r="B289" t="s">
        <v>7576</v>
      </c>
      <c r="C289" t="s">
        <v>17</v>
      </c>
      <c r="D289" t="s">
        <v>398</v>
      </c>
      <c r="E289" t="s">
        <v>162</v>
      </c>
      <c r="F289" t="s">
        <v>6191</v>
      </c>
      <c r="G289" t="s">
        <v>5913</v>
      </c>
    </row>
    <row r="290" spans="1:7" x14ac:dyDescent="0.3">
      <c r="A290" t="s">
        <v>7581</v>
      </c>
      <c r="B290" t="s">
        <v>7576</v>
      </c>
      <c r="C290" t="s">
        <v>17</v>
      </c>
      <c r="D290" t="s">
        <v>398</v>
      </c>
      <c r="E290" t="s">
        <v>119</v>
      </c>
      <c r="F290" t="s">
        <v>6191</v>
      </c>
      <c r="G290" t="s">
        <v>5912</v>
      </c>
    </row>
    <row r="291" spans="1:7" x14ac:dyDescent="0.3">
      <c r="A291" t="s">
        <v>7581</v>
      </c>
      <c r="B291" t="s">
        <v>7576</v>
      </c>
      <c r="C291" t="s">
        <v>17</v>
      </c>
      <c r="D291" t="s">
        <v>398</v>
      </c>
      <c r="E291" t="s">
        <v>135</v>
      </c>
      <c r="F291" t="s">
        <v>6191</v>
      </c>
      <c r="G291" t="s">
        <v>5912</v>
      </c>
    </row>
    <row r="292" spans="1:7" x14ac:dyDescent="0.3">
      <c r="A292" t="s">
        <v>7581</v>
      </c>
      <c r="B292" t="s">
        <v>7576</v>
      </c>
      <c r="C292" t="s">
        <v>17</v>
      </c>
      <c r="D292" t="s">
        <v>398</v>
      </c>
      <c r="E292" t="s">
        <v>300</v>
      </c>
      <c r="F292" t="s">
        <v>6191</v>
      </c>
      <c r="G292" t="s">
        <v>5919</v>
      </c>
    </row>
    <row r="293" spans="1:7" x14ac:dyDescent="0.3">
      <c r="A293" t="s">
        <v>7581</v>
      </c>
      <c r="B293" t="s">
        <v>7576</v>
      </c>
      <c r="C293" t="s">
        <v>17</v>
      </c>
      <c r="D293" t="s">
        <v>398</v>
      </c>
      <c r="E293" t="s">
        <v>136</v>
      </c>
      <c r="F293" t="s">
        <v>6191</v>
      </c>
      <c r="G293" t="s">
        <v>5913</v>
      </c>
    </row>
    <row r="294" spans="1:7" x14ac:dyDescent="0.3">
      <c r="A294" t="s">
        <v>7581</v>
      </c>
      <c r="B294" t="s">
        <v>7576</v>
      </c>
      <c r="C294" t="s">
        <v>17</v>
      </c>
      <c r="D294" t="s">
        <v>398</v>
      </c>
      <c r="E294" t="s">
        <v>174</v>
      </c>
      <c r="F294" t="s">
        <v>6191</v>
      </c>
      <c r="G294" t="s">
        <v>5914</v>
      </c>
    </row>
    <row r="295" spans="1:7" x14ac:dyDescent="0.3">
      <c r="A295" t="s">
        <v>7581</v>
      </c>
      <c r="B295" t="s">
        <v>7576</v>
      </c>
      <c r="C295" t="s">
        <v>17</v>
      </c>
      <c r="D295" t="s">
        <v>398</v>
      </c>
      <c r="E295" t="s">
        <v>219</v>
      </c>
      <c r="F295" t="s">
        <v>6191</v>
      </c>
      <c r="G295" t="s">
        <v>5915</v>
      </c>
    </row>
    <row r="296" spans="1:7" x14ac:dyDescent="0.3">
      <c r="A296" t="s">
        <v>7581</v>
      </c>
      <c r="B296" t="s">
        <v>7576</v>
      </c>
      <c r="C296" t="s">
        <v>17</v>
      </c>
      <c r="D296" t="s">
        <v>398</v>
      </c>
      <c r="E296" t="s">
        <v>42</v>
      </c>
      <c r="F296" t="s">
        <v>6191</v>
      </c>
      <c r="G296" t="s">
        <v>5908</v>
      </c>
    </row>
    <row r="297" spans="1:7" x14ac:dyDescent="0.3">
      <c r="A297" t="s">
        <v>7581</v>
      </c>
      <c r="B297" t="s">
        <v>7576</v>
      </c>
      <c r="C297" t="s">
        <v>17</v>
      </c>
      <c r="D297" t="s">
        <v>398</v>
      </c>
      <c r="E297" t="s">
        <v>351</v>
      </c>
      <c r="F297" t="s">
        <v>6191</v>
      </c>
      <c r="G297" t="s">
        <v>5920</v>
      </c>
    </row>
    <row r="298" spans="1:7" x14ac:dyDescent="0.3">
      <c r="A298" t="s">
        <v>7581</v>
      </c>
      <c r="B298" t="s">
        <v>7576</v>
      </c>
      <c r="C298" t="s">
        <v>17</v>
      </c>
      <c r="D298" t="s">
        <v>398</v>
      </c>
      <c r="E298" t="s">
        <v>49</v>
      </c>
      <c r="F298" t="s">
        <v>6191</v>
      </c>
      <c r="G298" t="s">
        <v>5909</v>
      </c>
    </row>
    <row r="299" spans="1:7" x14ac:dyDescent="0.3">
      <c r="A299" t="s">
        <v>7581</v>
      </c>
      <c r="B299" t="s">
        <v>7576</v>
      </c>
      <c r="C299" t="s">
        <v>17</v>
      </c>
      <c r="D299" t="s">
        <v>398</v>
      </c>
      <c r="E299" t="s">
        <v>250</v>
      </c>
      <c r="F299" t="s">
        <v>6191</v>
      </c>
      <c r="G299" t="s">
        <v>5915</v>
      </c>
    </row>
    <row r="300" spans="1:7" x14ac:dyDescent="0.3">
      <c r="A300" t="s">
        <v>7581</v>
      </c>
      <c r="B300" t="s">
        <v>7576</v>
      </c>
      <c r="C300" t="s">
        <v>17</v>
      </c>
      <c r="D300" t="s">
        <v>398</v>
      </c>
      <c r="E300" t="s">
        <v>57</v>
      </c>
      <c r="F300" t="s">
        <v>6191</v>
      </c>
      <c r="G300" t="s">
        <v>5910</v>
      </c>
    </row>
    <row r="301" spans="1:7" x14ac:dyDescent="0.3">
      <c r="A301" t="s">
        <v>7581</v>
      </c>
      <c r="B301" t="s">
        <v>7576</v>
      </c>
      <c r="C301" t="s">
        <v>17</v>
      </c>
      <c r="D301" t="s">
        <v>398</v>
      </c>
      <c r="E301" t="s">
        <v>102</v>
      </c>
      <c r="F301" t="s">
        <v>6191</v>
      </c>
      <c r="G301" t="s">
        <v>5911</v>
      </c>
    </row>
    <row r="302" spans="1:7" x14ac:dyDescent="0.3">
      <c r="A302" t="s">
        <v>7581</v>
      </c>
      <c r="B302" t="s">
        <v>7576</v>
      </c>
      <c r="C302" t="s">
        <v>17</v>
      </c>
      <c r="D302" t="s">
        <v>398</v>
      </c>
      <c r="E302" t="s">
        <v>238</v>
      </c>
      <c r="F302" t="s">
        <v>6191</v>
      </c>
      <c r="G302" t="s">
        <v>5915</v>
      </c>
    </row>
    <row r="303" spans="1:7" x14ac:dyDescent="0.3">
      <c r="A303" t="s">
        <v>7581</v>
      </c>
      <c r="B303" t="s">
        <v>7576</v>
      </c>
      <c r="C303" t="s">
        <v>17</v>
      </c>
      <c r="D303" t="s">
        <v>398</v>
      </c>
      <c r="E303" t="s">
        <v>6030</v>
      </c>
      <c r="F303" t="s">
        <v>6191</v>
      </c>
      <c r="G303" t="s">
        <v>5911</v>
      </c>
    </row>
    <row r="304" spans="1:7" x14ac:dyDescent="0.3">
      <c r="A304" t="s">
        <v>7581</v>
      </c>
      <c r="B304" t="s">
        <v>7576</v>
      </c>
      <c r="C304" t="s">
        <v>17</v>
      </c>
      <c r="D304" t="s">
        <v>398</v>
      </c>
      <c r="E304" t="s">
        <v>218</v>
      </c>
      <c r="F304" t="s">
        <v>6191</v>
      </c>
      <c r="G304" t="s">
        <v>5958</v>
      </c>
    </row>
    <row r="305" spans="1:7" x14ac:dyDescent="0.3">
      <c r="A305" t="s">
        <v>7581</v>
      </c>
      <c r="B305" t="s">
        <v>7576</v>
      </c>
      <c r="C305" t="s">
        <v>17</v>
      </c>
      <c r="D305" t="s">
        <v>398</v>
      </c>
      <c r="E305" t="s">
        <v>6010</v>
      </c>
      <c r="F305" t="s">
        <v>6191</v>
      </c>
      <c r="G305" t="s">
        <v>5909</v>
      </c>
    </row>
    <row r="306" spans="1:7" x14ac:dyDescent="0.3">
      <c r="A306" t="s">
        <v>7581</v>
      </c>
      <c r="B306" t="s">
        <v>7576</v>
      </c>
      <c r="C306" t="s">
        <v>17</v>
      </c>
      <c r="D306" t="s">
        <v>398</v>
      </c>
      <c r="E306" t="s">
        <v>6024</v>
      </c>
      <c r="F306" t="s">
        <v>6191</v>
      </c>
      <c r="G306" t="s">
        <v>5911</v>
      </c>
    </row>
    <row r="307" spans="1:7" x14ac:dyDescent="0.3">
      <c r="A307" t="s">
        <v>7581</v>
      </c>
      <c r="B307" t="s">
        <v>7576</v>
      </c>
      <c r="C307" t="s">
        <v>17</v>
      </c>
      <c r="D307" t="s">
        <v>398</v>
      </c>
      <c r="E307" t="s">
        <v>6027</v>
      </c>
      <c r="F307" t="s">
        <v>6191</v>
      </c>
      <c r="G307" t="s">
        <v>5911</v>
      </c>
    </row>
    <row r="308" spans="1:7" x14ac:dyDescent="0.3">
      <c r="A308" t="s">
        <v>7581</v>
      </c>
      <c r="B308" t="s">
        <v>7576</v>
      </c>
      <c r="C308" t="s">
        <v>17</v>
      </c>
      <c r="D308" t="s">
        <v>398</v>
      </c>
      <c r="E308" t="s">
        <v>6039</v>
      </c>
      <c r="F308" t="s">
        <v>6191</v>
      </c>
      <c r="G308" t="s">
        <v>5913</v>
      </c>
    </row>
    <row r="309" spans="1:7" x14ac:dyDescent="0.3">
      <c r="A309" t="s">
        <v>7581</v>
      </c>
      <c r="B309" t="s">
        <v>7576</v>
      </c>
      <c r="C309" t="s">
        <v>17</v>
      </c>
      <c r="D309" t="s">
        <v>398</v>
      </c>
      <c r="E309" t="s">
        <v>6041</v>
      </c>
      <c r="F309" t="s">
        <v>6191</v>
      </c>
      <c r="G309" t="s">
        <v>5913</v>
      </c>
    </row>
    <row r="310" spans="1:7" x14ac:dyDescent="0.3">
      <c r="A310" t="s">
        <v>7581</v>
      </c>
      <c r="B310" t="s">
        <v>7576</v>
      </c>
      <c r="C310" t="s">
        <v>17</v>
      </c>
      <c r="D310" t="s">
        <v>398</v>
      </c>
      <c r="E310" t="s">
        <v>6051</v>
      </c>
      <c r="F310" t="s">
        <v>6191</v>
      </c>
      <c r="G310" t="s">
        <v>5914</v>
      </c>
    </row>
    <row r="311" spans="1:7" x14ac:dyDescent="0.3">
      <c r="A311" t="s">
        <v>7581</v>
      </c>
      <c r="B311" t="s">
        <v>7576</v>
      </c>
      <c r="C311" t="s">
        <v>17</v>
      </c>
      <c r="D311" t="s">
        <v>398</v>
      </c>
      <c r="E311" t="s">
        <v>6056</v>
      </c>
      <c r="F311" t="s">
        <v>6191</v>
      </c>
      <c r="G311" t="s">
        <v>5914</v>
      </c>
    </row>
    <row r="312" spans="1:7" x14ac:dyDescent="0.3">
      <c r="A312" t="s">
        <v>7581</v>
      </c>
      <c r="B312" t="s">
        <v>7576</v>
      </c>
      <c r="C312" t="s">
        <v>17</v>
      </c>
      <c r="D312" t="s">
        <v>398</v>
      </c>
      <c r="E312" t="s">
        <v>6062</v>
      </c>
      <c r="F312" t="s">
        <v>6191</v>
      </c>
      <c r="G312" t="s">
        <v>5915</v>
      </c>
    </row>
    <row r="313" spans="1:7" x14ac:dyDescent="0.3">
      <c r="A313" t="s">
        <v>7581</v>
      </c>
      <c r="B313" t="s">
        <v>7576</v>
      </c>
      <c r="C313" t="s">
        <v>17</v>
      </c>
      <c r="D313" t="s">
        <v>398</v>
      </c>
      <c r="E313" t="s">
        <v>6072</v>
      </c>
      <c r="F313" t="s">
        <v>6191</v>
      </c>
      <c r="G313" t="s">
        <v>5916</v>
      </c>
    </row>
    <row r="314" spans="1:7" x14ac:dyDescent="0.3">
      <c r="A314" t="s">
        <v>7581</v>
      </c>
      <c r="B314" t="s">
        <v>7576</v>
      </c>
      <c r="C314" t="s">
        <v>17</v>
      </c>
      <c r="D314" t="s">
        <v>398</v>
      </c>
      <c r="E314" t="s">
        <v>6074</v>
      </c>
      <c r="F314" t="s">
        <v>6191</v>
      </c>
      <c r="G314" t="s">
        <v>5917</v>
      </c>
    </row>
    <row r="315" spans="1:7" x14ac:dyDescent="0.3">
      <c r="A315" t="s">
        <v>7581</v>
      </c>
      <c r="B315" t="s">
        <v>7576</v>
      </c>
      <c r="C315" t="s">
        <v>17</v>
      </c>
      <c r="D315" t="s">
        <v>398</v>
      </c>
      <c r="E315" t="s">
        <v>6082</v>
      </c>
      <c r="F315" t="s">
        <v>6191</v>
      </c>
      <c r="G315" t="s">
        <v>5958</v>
      </c>
    </row>
    <row r="316" spans="1:7" x14ac:dyDescent="0.3">
      <c r="A316" t="s">
        <v>7578</v>
      </c>
      <c r="B316" t="s">
        <v>7576</v>
      </c>
      <c r="C316" t="s">
        <v>15</v>
      </c>
      <c r="D316" t="s">
        <v>398</v>
      </c>
      <c r="E316" t="s">
        <v>368</v>
      </c>
      <c r="F316" t="s">
        <v>6396</v>
      </c>
      <c r="G316" t="s">
        <v>5908</v>
      </c>
    </row>
    <row r="317" spans="1:7" x14ac:dyDescent="0.3">
      <c r="A317" t="s">
        <v>7578</v>
      </c>
      <c r="B317" t="s">
        <v>7576</v>
      </c>
      <c r="C317" t="s">
        <v>15</v>
      </c>
      <c r="D317" t="s">
        <v>398</v>
      </c>
      <c r="E317" t="s">
        <v>381</v>
      </c>
      <c r="F317" t="s">
        <v>6396</v>
      </c>
      <c r="G317" t="s">
        <v>5921</v>
      </c>
    </row>
    <row r="318" spans="1:7" x14ac:dyDescent="0.3">
      <c r="A318" t="s">
        <v>7578</v>
      </c>
      <c r="B318" t="s">
        <v>7576</v>
      </c>
      <c r="C318" t="s">
        <v>15</v>
      </c>
      <c r="D318" t="s">
        <v>398</v>
      </c>
      <c r="E318" t="s">
        <v>369</v>
      </c>
      <c r="F318" t="s">
        <v>6396</v>
      </c>
      <c r="G318" t="s">
        <v>5909</v>
      </c>
    </row>
    <row r="319" spans="1:7" x14ac:dyDescent="0.3">
      <c r="A319" t="s">
        <v>7578</v>
      </c>
      <c r="B319" t="s">
        <v>7576</v>
      </c>
      <c r="C319" t="s">
        <v>15</v>
      </c>
      <c r="D319" t="s">
        <v>398</v>
      </c>
      <c r="E319" t="s">
        <v>377</v>
      </c>
      <c r="F319" t="s">
        <v>6396</v>
      </c>
      <c r="G319" t="s">
        <v>5917</v>
      </c>
    </row>
    <row r="320" spans="1:7" x14ac:dyDescent="0.3">
      <c r="A320" t="s">
        <v>7578</v>
      </c>
      <c r="B320" t="s">
        <v>7576</v>
      </c>
      <c r="C320" t="s">
        <v>15</v>
      </c>
      <c r="D320" t="s">
        <v>398</v>
      </c>
      <c r="E320" t="s">
        <v>370</v>
      </c>
      <c r="F320" t="s">
        <v>6396</v>
      </c>
      <c r="G320" t="s">
        <v>5910</v>
      </c>
    </row>
    <row r="321" spans="1:7" x14ac:dyDescent="0.3">
      <c r="A321" t="s">
        <v>7578</v>
      </c>
      <c r="B321" t="s">
        <v>7576</v>
      </c>
      <c r="C321" t="s">
        <v>15</v>
      </c>
      <c r="D321" t="s">
        <v>398</v>
      </c>
      <c r="E321" t="s">
        <v>375</v>
      </c>
      <c r="F321" t="s">
        <v>6396</v>
      </c>
      <c r="G321" t="s">
        <v>5915</v>
      </c>
    </row>
    <row r="322" spans="1:7" x14ac:dyDescent="0.3">
      <c r="A322" t="s">
        <v>7578</v>
      </c>
      <c r="B322" t="s">
        <v>7576</v>
      </c>
      <c r="C322" t="s">
        <v>15</v>
      </c>
      <c r="D322" t="s">
        <v>398</v>
      </c>
      <c r="E322" t="s">
        <v>376</v>
      </c>
      <c r="F322" t="s">
        <v>6396</v>
      </c>
      <c r="G322" t="s">
        <v>5916</v>
      </c>
    </row>
    <row r="323" spans="1:7" x14ac:dyDescent="0.3">
      <c r="A323" t="s">
        <v>7578</v>
      </c>
      <c r="B323" t="s">
        <v>7576</v>
      </c>
      <c r="C323" t="s">
        <v>15</v>
      </c>
      <c r="D323" t="s">
        <v>398</v>
      </c>
      <c r="E323" t="s">
        <v>380</v>
      </c>
      <c r="F323" t="s">
        <v>6396</v>
      </c>
      <c r="G323" t="s">
        <v>5920</v>
      </c>
    </row>
    <row r="324" spans="1:7" x14ac:dyDescent="0.3">
      <c r="A324" t="s">
        <v>7578</v>
      </c>
      <c r="B324" t="s">
        <v>7576</v>
      </c>
      <c r="C324" t="s">
        <v>15</v>
      </c>
      <c r="D324" t="s">
        <v>398</v>
      </c>
      <c r="E324" t="s">
        <v>378</v>
      </c>
      <c r="F324" t="s">
        <v>6396</v>
      </c>
      <c r="G324" t="s">
        <v>5918</v>
      </c>
    </row>
    <row r="325" spans="1:7" x14ac:dyDescent="0.3">
      <c r="A325" t="s">
        <v>7578</v>
      </c>
      <c r="B325" t="s">
        <v>7576</v>
      </c>
      <c r="C325" t="s">
        <v>15</v>
      </c>
      <c r="D325" t="s">
        <v>398</v>
      </c>
      <c r="E325" t="s">
        <v>373</v>
      </c>
      <c r="F325" t="s">
        <v>6396</v>
      </c>
      <c r="G325" t="s">
        <v>5913</v>
      </c>
    </row>
    <row r="326" spans="1:7" x14ac:dyDescent="0.3">
      <c r="A326" t="s">
        <v>7578</v>
      </c>
      <c r="B326" t="s">
        <v>7576</v>
      </c>
      <c r="C326" t="s">
        <v>15</v>
      </c>
      <c r="D326" t="s">
        <v>398</v>
      </c>
      <c r="E326" t="s">
        <v>382</v>
      </c>
      <c r="F326" t="s">
        <v>6396</v>
      </c>
      <c r="G326" t="s">
        <v>5958</v>
      </c>
    </row>
    <row r="327" spans="1:7" x14ac:dyDescent="0.3">
      <c r="A327" t="s">
        <v>7578</v>
      </c>
      <c r="B327" t="s">
        <v>7576</v>
      </c>
      <c r="C327" t="s">
        <v>15</v>
      </c>
      <c r="D327" t="s">
        <v>398</v>
      </c>
      <c r="E327" t="s">
        <v>372</v>
      </c>
      <c r="F327" t="s">
        <v>6396</v>
      </c>
      <c r="G327" t="s">
        <v>5912</v>
      </c>
    </row>
    <row r="328" spans="1:7" x14ac:dyDescent="0.3">
      <c r="A328" t="s">
        <v>7578</v>
      </c>
      <c r="B328" t="s">
        <v>7576</v>
      </c>
      <c r="C328" t="s">
        <v>15</v>
      </c>
      <c r="D328" t="s">
        <v>398</v>
      </c>
      <c r="E328" t="s">
        <v>367</v>
      </c>
      <c r="F328" t="s">
        <v>6396</v>
      </c>
      <c r="G328" t="s">
        <v>5907</v>
      </c>
    </row>
    <row r="329" spans="1:7" x14ac:dyDescent="0.3">
      <c r="A329" t="s">
        <v>7578</v>
      </c>
      <c r="B329" t="s">
        <v>7576</v>
      </c>
      <c r="C329" t="s">
        <v>15</v>
      </c>
      <c r="D329" t="s">
        <v>398</v>
      </c>
      <c r="E329" t="s">
        <v>371</v>
      </c>
      <c r="F329" t="s">
        <v>6396</v>
      </c>
      <c r="G329" t="s">
        <v>5911</v>
      </c>
    </row>
    <row r="330" spans="1:7" x14ac:dyDescent="0.3">
      <c r="A330" t="s">
        <v>7578</v>
      </c>
      <c r="B330" t="s">
        <v>7576</v>
      </c>
      <c r="C330" t="s">
        <v>15</v>
      </c>
      <c r="D330" t="s">
        <v>398</v>
      </c>
      <c r="E330" t="s">
        <v>374</v>
      </c>
      <c r="F330" t="s">
        <v>6396</v>
      </c>
      <c r="G330" t="s">
        <v>5914</v>
      </c>
    </row>
    <row r="331" spans="1:7" x14ac:dyDescent="0.3">
      <c r="A331" t="s">
        <v>7578</v>
      </c>
      <c r="B331" t="s">
        <v>7576</v>
      </c>
      <c r="C331" t="s">
        <v>15</v>
      </c>
      <c r="D331" t="s">
        <v>398</v>
      </c>
      <c r="E331" t="s">
        <v>379</v>
      </c>
      <c r="F331" t="s">
        <v>6396</v>
      </c>
      <c r="G331" t="s">
        <v>5919</v>
      </c>
    </row>
    <row r="332" spans="1:7" x14ac:dyDescent="0.3">
      <c r="A332" t="s">
        <v>7584</v>
      </c>
      <c r="B332" t="s">
        <v>7583</v>
      </c>
      <c r="C332" t="s">
        <v>19</v>
      </c>
      <c r="D332" t="s">
        <v>398</v>
      </c>
      <c r="E332" t="s">
        <v>14</v>
      </c>
      <c r="F332" t="s">
        <v>7585</v>
      </c>
      <c r="G332" t="s">
        <v>5906</v>
      </c>
    </row>
    <row r="333" spans="1:7" x14ac:dyDescent="0.3">
      <c r="A333" t="s">
        <v>7584</v>
      </c>
      <c r="B333" t="s">
        <v>7583</v>
      </c>
      <c r="C333" t="s">
        <v>15</v>
      </c>
      <c r="D333" t="s">
        <v>398</v>
      </c>
      <c r="E333" t="s">
        <v>16</v>
      </c>
      <c r="F333" t="s">
        <v>7585</v>
      </c>
      <c r="G333" t="s">
        <v>5923</v>
      </c>
    </row>
    <row r="334" spans="1:7" x14ac:dyDescent="0.3">
      <c r="A334" t="s">
        <v>7584</v>
      </c>
      <c r="B334" t="s">
        <v>7583</v>
      </c>
      <c r="C334" t="s">
        <v>15</v>
      </c>
      <c r="D334" t="s">
        <v>398</v>
      </c>
      <c r="E334" t="s">
        <v>25</v>
      </c>
      <c r="F334" t="s">
        <v>7585</v>
      </c>
      <c r="G334" t="s">
        <v>5926</v>
      </c>
    </row>
    <row r="335" spans="1:7" x14ac:dyDescent="0.3">
      <c r="A335" t="s">
        <v>7584</v>
      </c>
      <c r="B335" t="s">
        <v>7583</v>
      </c>
      <c r="C335" t="s">
        <v>15</v>
      </c>
      <c r="D335" t="s">
        <v>398</v>
      </c>
      <c r="E335" t="s">
        <v>28</v>
      </c>
      <c r="F335" t="s">
        <v>7585</v>
      </c>
      <c r="G335" t="s">
        <v>5932</v>
      </c>
    </row>
    <row r="336" spans="1:7" x14ac:dyDescent="0.3">
      <c r="A336" t="s">
        <v>7584</v>
      </c>
      <c r="B336" t="s">
        <v>7583</v>
      </c>
      <c r="C336" t="s">
        <v>15</v>
      </c>
      <c r="D336" t="s">
        <v>398</v>
      </c>
      <c r="E336" t="s">
        <v>27</v>
      </c>
      <c r="F336" t="s">
        <v>7585</v>
      </c>
      <c r="G336" t="s">
        <v>5929</v>
      </c>
    </row>
    <row r="337" spans="1:7" x14ac:dyDescent="0.3">
      <c r="A337" t="s">
        <v>7584</v>
      </c>
      <c r="B337" t="s">
        <v>7583</v>
      </c>
      <c r="C337" t="s">
        <v>15</v>
      </c>
      <c r="D337" t="s">
        <v>398</v>
      </c>
      <c r="E337" t="s">
        <v>26</v>
      </c>
      <c r="F337" t="s">
        <v>7585</v>
      </c>
      <c r="G337" t="s">
        <v>5927</v>
      </c>
    </row>
    <row r="338" spans="1:7" x14ac:dyDescent="0.3">
      <c r="A338" t="s">
        <v>7584</v>
      </c>
      <c r="B338" t="s">
        <v>7583</v>
      </c>
      <c r="C338" t="s">
        <v>15</v>
      </c>
      <c r="D338" t="s">
        <v>398</v>
      </c>
      <c r="E338" t="s">
        <v>7596</v>
      </c>
      <c r="F338" t="s">
        <v>7585</v>
      </c>
      <c r="G338" t="s">
        <v>5922</v>
      </c>
    </row>
    <row r="339" spans="1:7" x14ac:dyDescent="0.3">
      <c r="A339" t="s">
        <v>7584</v>
      </c>
      <c r="B339" t="s">
        <v>7583</v>
      </c>
      <c r="C339" t="s">
        <v>15</v>
      </c>
      <c r="D339" t="s">
        <v>398</v>
      </c>
      <c r="E339" t="s">
        <v>7599</v>
      </c>
      <c r="F339" t="s">
        <v>7585</v>
      </c>
      <c r="G339" t="s">
        <v>5925</v>
      </c>
    </row>
    <row r="340" spans="1:7" x14ac:dyDescent="0.3">
      <c r="A340" t="s">
        <v>7584</v>
      </c>
      <c r="B340" t="s">
        <v>7583</v>
      </c>
      <c r="C340" t="s">
        <v>15</v>
      </c>
      <c r="D340" t="s">
        <v>398</v>
      </c>
      <c r="E340" t="s">
        <v>7603</v>
      </c>
      <c r="F340" t="s">
        <v>7585</v>
      </c>
      <c r="G340" t="s">
        <v>5928</v>
      </c>
    </row>
    <row r="341" spans="1:7" x14ac:dyDescent="0.3">
      <c r="A341" t="s">
        <v>7584</v>
      </c>
      <c r="B341" t="s">
        <v>7583</v>
      </c>
      <c r="C341" t="s">
        <v>15</v>
      </c>
      <c r="D341" t="s">
        <v>398</v>
      </c>
      <c r="E341" t="s">
        <v>7606</v>
      </c>
      <c r="F341" t="s">
        <v>7585</v>
      </c>
      <c r="G341" t="s">
        <v>5930</v>
      </c>
    </row>
    <row r="342" spans="1:7" x14ac:dyDescent="0.3">
      <c r="A342" t="s">
        <v>7584</v>
      </c>
      <c r="B342" t="s">
        <v>7583</v>
      </c>
      <c r="C342" t="s">
        <v>15</v>
      </c>
      <c r="D342" t="s">
        <v>398</v>
      </c>
      <c r="E342" t="s">
        <v>7608</v>
      </c>
      <c r="F342" t="s">
        <v>7585</v>
      </c>
      <c r="G342" t="s">
        <v>5931</v>
      </c>
    </row>
    <row r="343" spans="1:7" x14ac:dyDescent="0.3">
      <c r="A343" t="s">
        <v>7584</v>
      </c>
      <c r="B343" t="s">
        <v>7583</v>
      </c>
      <c r="C343" t="s">
        <v>15</v>
      </c>
      <c r="D343" t="s">
        <v>398</v>
      </c>
      <c r="E343" t="s">
        <v>7611</v>
      </c>
      <c r="F343" t="s">
        <v>7585</v>
      </c>
      <c r="G343" t="s">
        <v>5933</v>
      </c>
    </row>
    <row r="344" spans="1:7" x14ac:dyDescent="0.3">
      <c r="A344" t="s">
        <v>7584</v>
      </c>
      <c r="B344" t="s">
        <v>7583</v>
      </c>
      <c r="C344" t="s">
        <v>15</v>
      </c>
      <c r="D344" t="s">
        <v>398</v>
      </c>
      <c r="E344" t="s">
        <v>7613</v>
      </c>
      <c r="F344" t="s">
        <v>7585</v>
      </c>
      <c r="G344" t="s">
        <v>5934</v>
      </c>
    </row>
    <row r="345" spans="1:7" x14ac:dyDescent="0.3">
      <c r="A345" t="s">
        <v>7584</v>
      </c>
      <c r="B345" t="s">
        <v>7583</v>
      </c>
      <c r="C345" t="s">
        <v>15</v>
      </c>
      <c r="D345" t="s">
        <v>398</v>
      </c>
      <c r="E345" t="s">
        <v>7615</v>
      </c>
      <c r="F345" t="s">
        <v>7585</v>
      </c>
      <c r="G345" t="s">
        <v>5935</v>
      </c>
    </row>
    <row r="346" spans="1:7" x14ac:dyDescent="0.3">
      <c r="A346" t="s">
        <v>7584</v>
      </c>
      <c r="B346" t="s">
        <v>7583</v>
      </c>
      <c r="C346" t="s">
        <v>15</v>
      </c>
      <c r="D346" t="s">
        <v>398</v>
      </c>
      <c r="E346" t="s">
        <v>7617</v>
      </c>
      <c r="F346" t="s">
        <v>7585</v>
      </c>
      <c r="G346" t="s">
        <v>5936</v>
      </c>
    </row>
    <row r="347" spans="1:7" x14ac:dyDescent="0.3">
      <c r="A347" t="s">
        <v>7584</v>
      </c>
      <c r="B347" t="s">
        <v>7583</v>
      </c>
      <c r="C347" t="s">
        <v>15</v>
      </c>
      <c r="D347" t="s">
        <v>398</v>
      </c>
      <c r="E347" t="s">
        <v>7619</v>
      </c>
      <c r="F347" t="s">
        <v>7585</v>
      </c>
      <c r="G347" t="s">
        <v>5937</v>
      </c>
    </row>
    <row r="348" spans="1:7" x14ac:dyDescent="0.3">
      <c r="A348" t="s">
        <v>7584</v>
      </c>
      <c r="B348" t="s">
        <v>7583</v>
      </c>
      <c r="C348" t="s">
        <v>15</v>
      </c>
      <c r="D348" t="s">
        <v>398</v>
      </c>
      <c r="E348" t="s">
        <v>7621</v>
      </c>
      <c r="F348" t="s">
        <v>7585</v>
      </c>
      <c r="G348" t="s">
        <v>5924</v>
      </c>
    </row>
    <row r="349" spans="1:7" x14ac:dyDescent="0.3">
      <c r="A349" t="s">
        <v>7592</v>
      </c>
      <c r="B349" t="s">
        <v>7583</v>
      </c>
      <c r="C349" t="s">
        <v>19</v>
      </c>
      <c r="D349" t="s">
        <v>398</v>
      </c>
      <c r="E349" t="s">
        <v>14</v>
      </c>
      <c r="F349" t="s">
        <v>7585</v>
      </c>
      <c r="G349" t="s">
        <v>5906</v>
      </c>
    </row>
    <row r="350" spans="1:7" x14ac:dyDescent="0.3">
      <c r="A350" t="s">
        <v>7592</v>
      </c>
      <c r="B350" t="s">
        <v>7583</v>
      </c>
      <c r="C350" t="s">
        <v>15</v>
      </c>
      <c r="D350" t="s">
        <v>398</v>
      </c>
      <c r="E350" t="s">
        <v>16</v>
      </c>
      <c r="F350" t="s">
        <v>7585</v>
      </c>
      <c r="G350" t="s">
        <v>5908</v>
      </c>
    </row>
    <row r="351" spans="1:7" x14ac:dyDescent="0.3">
      <c r="A351" t="s">
        <v>7592</v>
      </c>
      <c r="B351" t="s">
        <v>7583</v>
      </c>
      <c r="C351" t="s">
        <v>15</v>
      </c>
      <c r="D351" t="s">
        <v>398</v>
      </c>
      <c r="E351" t="s">
        <v>25</v>
      </c>
      <c r="F351" t="s">
        <v>7585</v>
      </c>
      <c r="G351" t="s">
        <v>5910</v>
      </c>
    </row>
    <row r="352" spans="1:7" x14ac:dyDescent="0.3">
      <c r="A352" t="s">
        <v>7592</v>
      </c>
      <c r="B352" t="s">
        <v>7583</v>
      </c>
      <c r="C352" t="s">
        <v>15</v>
      </c>
      <c r="D352" t="s">
        <v>398</v>
      </c>
      <c r="E352" t="s">
        <v>28</v>
      </c>
      <c r="F352" t="s">
        <v>7585</v>
      </c>
      <c r="G352" t="s">
        <v>5916</v>
      </c>
    </row>
    <row r="353" spans="1:7" x14ac:dyDescent="0.3">
      <c r="A353" t="s">
        <v>7592</v>
      </c>
      <c r="B353" t="s">
        <v>7583</v>
      </c>
      <c r="C353" t="s">
        <v>15</v>
      </c>
      <c r="D353" t="s">
        <v>398</v>
      </c>
      <c r="E353" t="s">
        <v>27</v>
      </c>
      <c r="F353" t="s">
        <v>7585</v>
      </c>
      <c r="G353" t="s">
        <v>5913</v>
      </c>
    </row>
    <row r="354" spans="1:7" x14ac:dyDescent="0.3">
      <c r="A354" t="s">
        <v>7592</v>
      </c>
      <c r="B354" t="s">
        <v>7583</v>
      </c>
      <c r="C354" t="s">
        <v>15</v>
      </c>
      <c r="D354" t="s">
        <v>398</v>
      </c>
      <c r="E354" t="s">
        <v>26</v>
      </c>
      <c r="F354" t="s">
        <v>7585</v>
      </c>
      <c r="G354" t="s">
        <v>5911</v>
      </c>
    </row>
    <row r="355" spans="1:7" x14ac:dyDescent="0.3">
      <c r="A355" t="s">
        <v>7592</v>
      </c>
      <c r="B355" t="s">
        <v>7583</v>
      </c>
      <c r="C355" t="s">
        <v>15</v>
      </c>
      <c r="D355" t="s">
        <v>398</v>
      </c>
      <c r="E355" t="s">
        <v>7596</v>
      </c>
      <c r="F355" t="s">
        <v>7585</v>
      </c>
      <c r="G355" t="s">
        <v>5907</v>
      </c>
    </row>
    <row r="356" spans="1:7" x14ac:dyDescent="0.3">
      <c r="A356" t="s">
        <v>7592</v>
      </c>
      <c r="B356" t="s">
        <v>7583</v>
      </c>
      <c r="C356" t="s">
        <v>15</v>
      </c>
      <c r="D356" t="s">
        <v>398</v>
      </c>
      <c r="E356" t="s">
        <v>7599</v>
      </c>
      <c r="F356" t="s">
        <v>7585</v>
      </c>
      <c r="G356" t="s">
        <v>5909</v>
      </c>
    </row>
    <row r="357" spans="1:7" x14ac:dyDescent="0.3">
      <c r="A357" t="s">
        <v>7592</v>
      </c>
      <c r="B357" t="s">
        <v>7583</v>
      </c>
      <c r="C357" t="s">
        <v>15</v>
      </c>
      <c r="D357" t="s">
        <v>398</v>
      </c>
      <c r="E357" t="s">
        <v>7603</v>
      </c>
      <c r="F357" t="s">
        <v>7585</v>
      </c>
      <c r="G357" t="s">
        <v>5912</v>
      </c>
    </row>
    <row r="358" spans="1:7" x14ac:dyDescent="0.3">
      <c r="A358" t="s">
        <v>7592</v>
      </c>
      <c r="B358" t="s">
        <v>7583</v>
      </c>
      <c r="C358" t="s">
        <v>15</v>
      </c>
      <c r="D358" t="s">
        <v>398</v>
      </c>
      <c r="E358" t="s">
        <v>7606</v>
      </c>
      <c r="F358" t="s">
        <v>7585</v>
      </c>
      <c r="G358" t="s">
        <v>5914</v>
      </c>
    </row>
    <row r="359" spans="1:7" x14ac:dyDescent="0.3">
      <c r="A359" t="s">
        <v>7592</v>
      </c>
      <c r="B359" t="s">
        <v>7583</v>
      </c>
      <c r="C359" t="s">
        <v>15</v>
      </c>
      <c r="D359" t="s">
        <v>398</v>
      </c>
      <c r="E359" t="s">
        <v>7608</v>
      </c>
      <c r="F359" t="s">
        <v>7585</v>
      </c>
      <c r="G359" t="s">
        <v>5915</v>
      </c>
    </row>
    <row r="360" spans="1:7" x14ac:dyDescent="0.3">
      <c r="A360" t="s">
        <v>7592</v>
      </c>
      <c r="B360" t="s">
        <v>7583</v>
      </c>
      <c r="C360" t="s">
        <v>15</v>
      </c>
      <c r="D360" t="s">
        <v>398</v>
      </c>
      <c r="E360" t="s">
        <v>7611</v>
      </c>
      <c r="F360" t="s">
        <v>7585</v>
      </c>
      <c r="G360" t="s">
        <v>5917</v>
      </c>
    </row>
    <row r="361" spans="1:7" x14ac:dyDescent="0.3">
      <c r="A361" t="s">
        <v>7592</v>
      </c>
      <c r="B361" t="s">
        <v>7583</v>
      </c>
      <c r="C361" t="s">
        <v>15</v>
      </c>
      <c r="D361" t="s">
        <v>398</v>
      </c>
      <c r="E361" t="s">
        <v>7613</v>
      </c>
      <c r="F361" t="s">
        <v>7585</v>
      </c>
      <c r="G361" t="s">
        <v>5918</v>
      </c>
    </row>
    <row r="362" spans="1:7" x14ac:dyDescent="0.3">
      <c r="A362" t="s">
        <v>7592</v>
      </c>
      <c r="B362" t="s">
        <v>7583</v>
      </c>
      <c r="C362" t="s">
        <v>15</v>
      </c>
      <c r="D362" t="s">
        <v>398</v>
      </c>
      <c r="E362" t="s">
        <v>7615</v>
      </c>
      <c r="F362" t="s">
        <v>7585</v>
      </c>
      <c r="G362" t="s">
        <v>5919</v>
      </c>
    </row>
    <row r="363" spans="1:7" x14ac:dyDescent="0.3">
      <c r="A363" t="s">
        <v>7592</v>
      </c>
      <c r="B363" t="s">
        <v>7583</v>
      </c>
      <c r="C363" t="s">
        <v>15</v>
      </c>
      <c r="D363" t="s">
        <v>398</v>
      </c>
      <c r="E363" t="s">
        <v>7617</v>
      </c>
      <c r="F363" t="s">
        <v>7585</v>
      </c>
      <c r="G363" t="s">
        <v>5920</v>
      </c>
    </row>
    <row r="364" spans="1:7" x14ac:dyDescent="0.3">
      <c r="A364" t="s">
        <v>7592</v>
      </c>
      <c r="B364" t="s">
        <v>7583</v>
      </c>
      <c r="C364" t="s">
        <v>15</v>
      </c>
      <c r="D364" t="s">
        <v>398</v>
      </c>
      <c r="E364" t="s">
        <v>7619</v>
      </c>
      <c r="F364" t="s">
        <v>7585</v>
      </c>
      <c r="G364" t="s">
        <v>5921</v>
      </c>
    </row>
    <row r="365" spans="1:7" x14ac:dyDescent="0.3">
      <c r="A365" t="s">
        <v>7592</v>
      </c>
      <c r="B365" t="s">
        <v>7583</v>
      </c>
      <c r="C365" t="s">
        <v>15</v>
      </c>
      <c r="D365" t="s">
        <v>398</v>
      </c>
      <c r="E365" t="s">
        <v>7621</v>
      </c>
      <c r="F365" t="s">
        <v>7585</v>
      </c>
      <c r="G365" t="s">
        <v>5958</v>
      </c>
    </row>
    <row r="366" spans="1:7" x14ac:dyDescent="0.3">
      <c r="A366" t="s">
        <v>7623</v>
      </c>
      <c r="B366" t="s">
        <v>7583</v>
      </c>
      <c r="C366" t="s">
        <v>19</v>
      </c>
      <c r="D366" t="s">
        <v>398</v>
      </c>
      <c r="E366" t="s">
        <v>14</v>
      </c>
      <c r="F366" t="s">
        <v>7585</v>
      </c>
      <c r="G366">
        <v>0</v>
      </c>
    </row>
    <row r="367" spans="1:7" x14ac:dyDescent="0.3">
      <c r="A367" t="s">
        <v>7623</v>
      </c>
      <c r="B367" t="s">
        <v>7583</v>
      </c>
      <c r="C367" t="s">
        <v>15</v>
      </c>
      <c r="D367" t="s">
        <v>398</v>
      </c>
      <c r="E367" t="s">
        <v>16</v>
      </c>
      <c r="F367" t="s">
        <v>7585</v>
      </c>
      <c r="G367" t="s">
        <v>5923</v>
      </c>
    </row>
    <row r="368" spans="1:7" x14ac:dyDescent="0.3">
      <c r="A368" t="s">
        <v>7623</v>
      </c>
      <c r="B368" t="s">
        <v>7583</v>
      </c>
      <c r="C368" t="s">
        <v>15</v>
      </c>
      <c r="D368" t="s">
        <v>398</v>
      </c>
      <c r="E368" t="s">
        <v>25</v>
      </c>
      <c r="F368" t="s">
        <v>7585</v>
      </c>
      <c r="G368" t="s">
        <v>5926</v>
      </c>
    </row>
    <row r="369" spans="1:7" x14ac:dyDescent="0.3">
      <c r="A369" t="s">
        <v>7623</v>
      </c>
      <c r="B369" t="s">
        <v>7583</v>
      </c>
      <c r="C369" t="s">
        <v>15</v>
      </c>
      <c r="D369" t="s">
        <v>398</v>
      </c>
      <c r="E369" t="s">
        <v>28</v>
      </c>
      <c r="F369" t="s">
        <v>7585</v>
      </c>
      <c r="G369" t="s">
        <v>5932</v>
      </c>
    </row>
    <row r="370" spans="1:7" x14ac:dyDescent="0.3">
      <c r="A370" t="s">
        <v>7623</v>
      </c>
      <c r="B370" t="s">
        <v>7583</v>
      </c>
      <c r="C370" t="s">
        <v>15</v>
      </c>
      <c r="D370" t="s">
        <v>398</v>
      </c>
      <c r="E370" t="s">
        <v>27</v>
      </c>
      <c r="F370" t="s">
        <v>7585</v>
      </c>
      <c r="G370" t="s">
        <v>5929</v>
      </c>
    </row>
    <row r="371" spans="1:7" x14ac:dyDescent="0.3">
      <c r="A371" t="s">
        <v>7623</v>
      </c>
      <c r="B371" t="s">
        <v>7583</v>
      </c>
      <c r="C371" t="s">
        <v>15</v>
      </c>
      <c r="D371" t="s">
        <v>398</v>
      </c>
      <c r="E371" t="s">
        <v>26</v>
      </c>
      <c r="F371" t="s">
        <v>7585</v>
      </c>
      <c r="G371" t="s">
        <v>5927</v>
      </c>
    </row>
    <row r="372" spans="1:7" x14ac:dyDescent="0.3">
      <c r="A372" t="s">
        <v>7623</v>
      </c>
      <c r="B372" t="s">
        <v>7583</v>
      </c>
      <c r="C372" t="s">
        <v>15</v>
      </c>
      <c r="D372" t="s">
        <v>398</v>
      </c>
      <c r="E372" t="s">
        <v>7596</v>
      </c>
      <c r="F372" t="s">
        <v>7585</v>
      </c>
      <c r="G372" t="s">
        <v>5922</v>
      </c>
    </row>
    <row r="373" spans="1:7" x14ac:dyDescent="0.3">
      <c r="A373" t="s">
        <v>7623</v>
      </c>
      <c r="B373" t="s">
        <v>7583</v>
      </c>
      <c r="C373" t="s">
        <v>15</v>
      </c>
      <c r="D373" t="s">
        <v>398</v>
      </c>
      <c r="E373" t="s">
        <v>7599</v>
      </c>
      <c r="F373" t="s">
        <v>7585</v>
      </c>
      <c r="G373" t="s">
        <v>5925</v>
      </c>
    </row>
    <row r="374" spans="1:7" x14ac:dyDescent="0.3">
      <c r="A374" t="s">
        <v>7623</v>
      </c>
      <c r="B374" t="s">
        <v>7583</v>
      </c>
      <c r="C374" t="s">
        <v>15</v>
      </c>
      <c r="D374" t="s">
        <v>398</v>
      </c>
      <c r="E374" t="s">
        <v>7603</v>
      </c>
      <c r="F374" t="s">
        <v>7585</v>
      </c>
      <c r="G374" t="s">
        <v>5928</v>
      </c>
    </row>
    <row r="375" spans="1:7" x14ac:dyDescent="0.3">
      <c r="A375" t="s">
        <v>7623</v>
      </c>
      <c r="B375" t="s">
        <v>7583</v>
      </c>
      <c r="C375" t="s">
        <v>15</v>
      </c>
      <c r="D375" t="s">
        <v>398</v>
      </c>
      <c r="E375" t="s">
        <v>7606</v>
      </c>
      <c r="F375" t="s">
        <v>7585</v>
      </c>
      <c r="G375" t="s">
        <v>5930</v>
      </c>
    </row>
    <row r="376" spans="1:7" x14ac:dyDescent="0.3">
      <c r="A376" t="s">
        <v>7623</v>
      </c>
      <c r="B376" t="s">
        <v>7583</v>
      </c>
      <c r="C376" t="s">
        <v>15</v>
      </c>
      <c r="D376" t="s">
        <v>398</v>
      </c>
      <c r="E376" t="s">
        <v>7608</v>
      </c>
      <c r="F376" t="s">
        <v>7585</v>
      </c>
      <c r="G376" t="s">
        <v>5931</v>
      </c>
    </row>
    <row r="377" spans="1:7" x14ac:dyDescent="0.3">
      <c r="A377" t="s">
        <v>7623</v>
      </c>
      <c r="B377" t="s">
        <v>7583</v>
      </c>
      <c r="C377" t="s">
        <v>15</v>
      </c>
      <c r="D377" t="s">
        <v>398</v>
      </c>
      <c r="E377" t="s">
        <v>7611</v>
      </c>
      <c r="F377" t="s">
        <v>7585</v>
      </c>
      <c r="G377" t="s">
        <v>5933</v>
      </c>
    </row>
    <row r="378" spans="1:7" x14ac:dyDescent="0.3">
      <c r="A378" t="s">
        <v>7623</v>
      </c>
      <c r="B378" t="s">
        <v>7583</v>
      </c>
      <c r="C378" t="s">
        <v>15</v>
      </c>
      <c r="D378" t="s">
        <v>398</v>
      </c>
      <c r="E378" t="s">
        <v>7613</v>
      </c>
      <c r="F378" t="s">
        <v>7585</v>
      </c>
      <c r="G378" t="s">
        <v>5934</v>
      </c>
    </row>
    <row r="379" spans="1:7" x14ac:dyDescent="0.3">
      <c r="A379" t="s">
        <v>7623</v>
      </c>
      <c r="B379" t="s">
        <v>7583</v>
      </c>
      <c r="C379" t="s">
        <v>15</v>
      </c>
      <c r="D379" t="s">
        <v>398</v>
      </c>
      <c r="E379" t="s">
        <v>7615</v>
      </c>
      <c r="F379" t="s">
        <v>7585</v>
      </c>
      <c r="G379" t="s">
        <v>5935</v>
      </c>
    </row>
    <row r="380" spans="1:7" x14ac:dyDescent="0.3">
      <c r="A380" t="s">
        <v>7623</v>
      </c>
      <c r="B380" t="s">
        <v>7583</v>
      </c>
      <c r="C380" t="s">
        <v>15</v>
      </c>
      <c r="D380" t="s">
        <v>398</v>
      </c>
      <c r="E380" t="s">
        <v>7617</v>
      </c>
      <c r="F380" t="s">
        <v>7585</v>
      </c>
      <c r="G380" t="s">
        <v>5936</v>
      </c>
    </row>
    <row r="381" spans="1:7" x14ac:dyDescent="0.3">
      <c r="A381" t="s">
        <v>7623</v>
      </c>
      <c r="B381" t="s">
        <v>7583</v>
      </c>
      <c r="C381" t="s">
        <v>15</v>
      </c>
      <c r="D381" t="s">
        <v>398</v>
      </c>
      <c r="E381" t="s">
        <v>7619</v>
      </c>
      <c r="F381" t="s">
        <v>7585</v>
      </c>
      <c r="G381" t="s">
        <v>5937</v>
      </c>
    </row>
    <row r="382" spans="1:7" x14ac:dyDescent="0.3">
      <c r="A382" t="s">
        <v>7623</v>
      </c>
      <c r="B382" t="s">
        <v>7583</v>
      </c>
      <c r="C382" t="s">
        <v>15</v>
      </c>
      <c r="D382" t="s">
        <v>398</v>
      </c>
      <c r="E382" t="s">
        <v>7621</v>
      </c>
      <c r="F382" t="s">
        <v>7585</v>
      </c>
      <c r="G382" t="s">
        <v>5924</v>
      </c>
    </row>
    <row r="383" spans="1:7" x14ac:dyDescent="0.3">
      <c r="A383" t="s">
        <v>7804</v>
      </c>
      <c r="B383" t="s">
        <v>7805</v>
      </c>
      <c r="C383" t="s">
        <v>19</v>
      </c>
      <c r="D383" t="s">
        <v>398</v>
      </c>
      <c r="E383" t="s">
        <v>14</v>
      </c>
      <c r="F383" t="s">
        <v>7806</v>
      </c>
      <c r="G383">
        <v>0</v>
      </c>
    </row>
    <row r="384" spans="1:7" x14ac:dyDescent="0.3">
      <c r="A384" t="s">
        <v>7815</v>
      </c>
      <c r="B384" t="s">
        <v>7816</v>
      </c>
      <c r="C384" t="s">
        <v>19</v>
      </c>
      <c r="D384" t="s">
        <v>7817</v>
      </c>
      <c r="E384" t="s">
        <v>14</v>
      </c>
      <c r="F384" t="s">
        <v>7818</v>
      </c>
      <c r="G384" t="s">
        <v>5951</v>
      </c>
    </row>
    <row r="385" spans="1:7" x14ac:dyDescent="0.3">
      <c r="A385" t="s">
        <v>7815</v>
      </c>
      <c r="B385" t="s">
        <v>7816</v>
      </c>
      <c r="C385" t="s">
        <v>19</v>
      </c>
      <c r="D385" t="s">
        <v>7817</v>
      </c>
      <c r="E385" t="s">
        <v>14</v>
      </c>
      <c r="F385" t="s">
        <v>7848</v>
      </c>
      <c r="G385" t="s">
        <v>5951</v>
      </c>
    </row>
    <row r="386" spans="1:7" x14ac:dyDescent="0.3">
      <c r="A386" t="s">
        <v>7825</v>
      </c>
      <c r="B386" t="s">
        <v>7816</v>
      </c>
      <c r="C386" t="s">
        <v>19</v>
      </c>
      <c r="D386" t="s">
        <v>7817</v>
      </c>
      <c r="E386" t="s">
        <v>14</v>
      </c>
      <c r="F386" t="s">
        <v>7826</v>
      </c>
      <c r="G386" t="s">
        <v>5951</v>
      </c>
    </row>
    <row r="387" spans="1:7" x14ac:dyDescent="0.3">
      <c r="A387" t="s">
        <v>7825</v>
      </c>
      <c r="B387" t="s">
        <v>7816</v>
      </c>
      <c r="C387" t="s">
        <v>19</v>
      </c>
      <c r="D387" t="s">
        <v>7817</v>
      </c>
      <c r="E387" t="s">
        <v>14</v>
      </c>
      <c r="F387" t="s">
        <v>7852</v>
      </c>
      <c r="G387" t="s">
        <v>5951</v>
      </c>
    </row>
    <row r="388" spans="1:7" x14ac:dyDescent="0.3">
      <c r="A388" t="s">
        <v>7831</v>
      </c>
      <c r="B388" t="s">
        <v>7816</v>
      </c>
      <c r="C388" t="s">
        <v>19</v>
      </c>
      <c r="D388" t="s">
        <v>7817</v>
      </c>
      <c r="E388" t="s">
        <v>14</v>
      </c>
      <c r="F388" t="s">
        <v>7832</v>
      </c>
      <c r="G388" t="s">
        <v>5951</v>
      </c>
    </row>
    <row r="389" spans="1:7" x14ac:dyDescent="0.3">
      <c r="A389" t="s">
        <v>7831</v>
      </c>
      <c r="B389" t="s">
        <v>7816</v>
      </c>
      <c r="C389" t="s">
        <v>19</v>
      </c>
      <c r="D389" t="s">
        <v>7817</v>
      </c>
      <c r="E389" t="s">
        <v>14</v>
      </c>
      <c r="F389" t="s">
        <v>7857</v>
      </c>
      <c r="G389" t="s">
        <v>5951</v>
      </c>
    </row>
    <row r="390" spans="1:7" x14ac:dyDescent="0.3">
      <c r="A390" t="s">
        <v>7837</v>
      </c>
      <c r="B390" t="s">
        <v>7816</v>
      </c>
      <c r="C390" t="s">
        <v>19</v>
      </c>
      <c r="D390" t="s">
        <v>7817</v>
      </c>
      <c r="E390" t="s">
        <v>14</v>
      </c>
      <c r="F390" t="s">
        <v>7838</v>
      </c>
      <c r="G390" t="s">
        <v>5951</v>
      </c>
    </row>
    <row r="391" spans="1:7" x14ac:dyDescent="0.3">
      <c r="A391" t="s">
        <v>7837</v>
      </c>
      <c r="B391" t="s">
        <v>7816</v>
      </c>
      <c r="C391" t="s">
        <v>19</v>
      </c>
      <c r="D391" t="s">
        <v>7817</v>
      </c>
      <c r="E391" t="s">
        <v>14</v>
      </c>
      <c r="F391" t="s">
        <v>7861</v>
      </c>
      <c r="G391" t="s">
        <v>5951</v>
      </c>
    </row>
    <row r="392" spans="1:7" x14ac:dyDescent="0.3">
      <c r="A392" t="s">
        <v>7842</v>
      </c>
      <c r="B392" t="s">
        <v>7816</v>
      </c>
      <c r="C392" t="s">
        <v>19</v>
      </c>
      <c r="D392" t="s">
        <v>7817</v>
      </c>
      <c r="E392" t="s">
        <v>14</v>
      </c>
      <c r="F392" t="s">
        <v>7843</v>
      </c>
      <c r="G392" t="s">
        <v>5951</v>
      </c>
    </row>
    <row r="393" spans="1:7" x14ac:dyDescent="0.3">
      <c r="A393" t="s">
        <v>7842</v>
      </c>
      <c r="B393" t="s">
        <v>7816</v>
      </c>
      <c r="C393" t="s">
        <v>19</v>
      </c>
      <c r="D393" t="s">
        <v>7817</v>
      </c>
      <c r="E393" t="s">
        <v>14</v>
      </c>
      <c r="F393" t="s">
        <v>7865</v>
      </c>
      <c r="G393" t="s">
        <v>5951</v>
      </c>
    </row>
    <row r="394" spans="1:7" x14ac:dyDescent="0.3">
      <c r="A394" t="s">
        <v>7869</v>
      </c>
      <c r="B394" t="s">
        <v>7922</v>
      </c>
      <c r="C394" t="s">
        <v>19</v>
      </c>
      <c r="D394" t="s">
        <v>7817</v>
      </c>
      <c r="E394" t="s">
        <v>14</v>
      </c>
      <c r="F394" t="s">
        <v>7870</v>
      </c>
      <c r="G394" t="s">
        <v>5951</v>
      </c>
    </row>
    <row r="395" spans="1:7" x14ac:dyDescent="0.3">
      <c r="A395" t="s">
        <v>7869</v>
      </c>
      <c r="B395" t="s">
        <v>7922</v>
      </c>
      <c r="C395" t="s">
        <v>19</v>
      </c>
      <c r="D395" t="s">
        <v>7817</v>
      </c>
      <c r="E395" t="s">
        <v>14</v>
      </c>
      <c r="F395" t="s">
        <v>7891</v>
      </c>
      <c r="G395" t="s">
        <v>5951</v>
      </c>
    </row>
    <row r="396" spans="1:7" x14ac:dyDescent="0.3">
      <c r="A396" t="s">
        <v>7875</v>
      </c>
      <c r="B396" t="s">
        <v>7922</v>
      </c>
      <c r="C396" t="s">
        <v>19</v>
      </c>
      <c r="D396" t="s">
        <v>7817</v>
      </c>
      <c r="E396" t="s">
        <v>14</v>
      </c>
      <c r="F396" t="s">
        <v>7826</v>
      </c>
      <c r="G396" t="s">
        <v>5951</v>
      </c>
    </row>
    <row r="397" spans="1:7" x14ac:dyDescent="0.3">
      <c r="A397" t="s">
        <v>7875</v>
      </c>
      <c r="B397" t="s">
        <v>7922</v>
      </c>
      <c r="C397" t="s">
        <v>19</v>
      </c>
      <c r="D397" t="s">
        <v>7817</v>
      </c>
      <c r="E397" t="s">
        <v>14</v>
      </c>
      <c r="F397" t="s">
        <v>7895</v>
      </c>
      <c r="G397" t="s">
        <v>5951</v>
      </c>
    </row>
    <row r="398" spans="1:7" x14ac:dyDescent="0.3">
      <c r="A398" t="s">
        <v>7879</v>
      </c>
      <c r="B398" t="s">
        <v>7922</v>
      </c>
      <c r="C398" t="s">
        <v>19</v>
      </c>
      <c r="D398" t="s">
        <v>7817</v>
      </c>
      <c r="E398" t="s">
        <v>14</v>
      </c>
      <c r="F398" t="s">
        <v>7832</v>
      </c>
      <c r="G398" t="s">
        <v>5951</v>
      </c>
    </row>
    <row r="399" spans="1:7" x14ac:dyDescent="0.3">
      <c r="A399" t="s">
        <v>7879</v>
      </c>
      <c r="B399" t="s">
        <v>7922</v>
      </c>
      <c r="C399" t="s">
        <v>19</v>
      </c>
      <c r="D399" t="s">
        <v>7817</v>
      </c>
      <c r="E399" t="s">
        <v>14</v>
      </c>
      <c r="F399" t="s">
        <v>7899</v>
      </c>
      <c r="G399" t="s">
        <v>5951</v>
      </c>
    </row>
    <row r="400" spans="1:7" x14ac:dyDescent="0.3">
      <c r="A400" t="s">
        <v>7883</v>
      </c>
      <c r="B400" t="s">
        <v>7922</v>
      </c>
      <c r="C400" t="s">
        <v>19</v>
      </c>
      <c r="D400" t="s">
        <v>7817</v>
      </c>
      <c r="E400" t="s">
        <v>14</v>
      </c>
      <c r="F400" t="s">
        <v>7838</v>
      </c>
      <c r="G400" t="s">
        <v>5951</v>
      </c>
    </row>
    <row r="401" spans="1:7" x14ac:dyDescent="0.3">
      <c r="A401" t="s">
        <v>7883</v>
      </c>
      <c r="B401" t="s">
        <v>7922</v>
      </c>
      <c r="C401" t="s">
        <v>19</v>
      </c>
      <c r="D401" t="s">
        <v>7817</v>
      </c>
      <c r="E401" t="s">
        <v>14</v>
      </c>
      <c r="F401" t="s">
        <v>7903</v>
      </c>
      <c r="G401" t="s">
        <v>5951</v>
      </c>
    </row>
    <row r="402" spans="1:7" x14ac:dyDescent="0.3">
      <c r="A402" t="s">
        <v>7887</v>
      </c>
      <c r="B402" t="s">
        <v>7922</v>
      </c>
      <c r="C402" t="s">
        <v>19</v>
      </c>
      <c r="D402" t="s">
        <v>7817</v>
      </c>
      <c r="E402" t="s">
        <v>14</v>
      </c>
      <c r="F402" t="s">
        <v>7843</v>
      </c>
      <c r="G402" t="s">
        <v>5951</v>
      </c>
    </row>
    <row r="403" spans="1:7" x14ac:dyDescent="0.3">
      <c r="A403" t="s">
        <v>7887</v>
      </c>
      <c r="B403" t="s">
        <v>7922</v>
      </c>
      <c r="C403" t="s">
        <v>19</v>
      </c>
      <c r="D403" t="s">
        <v>7817</v>
      </c>
      <c r="E403" t="s">
        <v>14</v>
      </c>
      <c r="F403" t="s">
        <v>7907</v>
      </c>
      <c r="G403" t="s">
        <v>5951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8C1EF-DA5B-48F3-BDCB-9E5AE14F001D}">
  <dimension ref="A2:G23"/>
  <sheetViews>
    <sheetView showGridLines="0" zoomScale="80" zoomScaleNormal="80" workbookViewId="0">
      <selection activeCell="A8" sqref="A8"/>
    </sheetView>
  </sheetViews>
  <sheetFormatPr baseColWidth="10" defaultRowHeight="14.4" x14ac:dyDescent="0.3"/>
  <cols>
    <col min="1" max="1" width="21.44140625" bestFit="1" customWidth="1"/>
    <col min="2" max="2" width="30.77734375" bestFit="1" customWidth="1"/>
    <col min="3" max="3" width="25.44140625" customWidth="1"/>
    <col min="4" max="4" width="10.21875" bestFit="1" customWidth="1"/>
    <col min="5" max="5" width="20.44140625" bestFit="1" customWidth="1"/>
    <col min="7" max="7" width="52.21875" customWidth="1"/>
  </cols>
  <sheetData>
    <row r="2" spans="1:7" x14ac:dyDescent="0.3">
      <c r="A2" s="4" t="s">
        <v>1</v>
      </c>
      <c r="B2" s="4" t="s">
        <v>4</v>
      </c>
      <c r="C2" s="4" t="s">
        <v>3</v>
      </c>
      <c r="D2" s="4" t="s">
        <v>5</v>
      </c>
      <c r="E2" t="s">
        <v>5838</v>
      </c>
    </row>
    <row r="3" spans="1:7" x14ac:dyDescent="0.3">
      <c r="A3" t="s">
        <v>5839</v>
      </c>
      <c r="B3" t="s">
        <v>5960</v>
      </c>
      <c r="C3" t="s">
        <v>5959</v>
      </c>
      <c r="D3" t="s">
        <v>17</v>
      </c>
      <c r="E3" s="45">
        <v>164</v>
      </c>
      <c r="G3" t="s">
        <v>5836</v>
      </c>
    </row>
    <row r="4" spans="1:7" x14ac:dyDescent="0.3">
      <c r="A4" t="s">
        <v>5839</v>
      </c>
      <c r="B4" t="s">
        <v>5960</v>
      </c>
      <c r="C4" t="s">
        <v>5959</v>
      </c>
      <c r="D4" t="s">
        <v>19</v>
      </c>
      <c r="E4" s="45">
        <v>51</v>
      </c>
      <c r="G4" t="s">
        <v>5837</v>
      </c>
    </row>
    <row r="5" spans="1:7" x14ac:dyDescent="0.3">
      <c r="A5" t="s">
        <v>5839</v>
      </c>
      <c r="B5" t="s">
        <v>5960</v>
      </c>
      <c r="C5" t="s">
        <v>5959</v>
      </c>
      <c r="D5" t="s">
        <v>15</v>
      </c>
      <c r="E5" s="45">
        <v>96</v>
      </c>
      <c r="G5" t="s">
        <v>5834</v>
      </c>
    </row>
    <row r="6" spans="1:7" x14ac:dyDescent="0.3">
      <c r="A6" t="s">
        <v>5839</v>
      </c>
      <c r="B6" t="s">
        <v>7568</v>
      </c>
      <c r="E6" s="45">
        <v>311</v>
      </c>
      <c r="G6" t="s">
        <v>5835</v>
      </c>
    </row>
    <row r="7" spans="1:7" x14ac:dyDescent="0.3">
      <c r="A7" t="s">
        <v>5839</v>
      </c>
      <c r="B7" t="s">
        <v>7570</v>
      </c>
      <c r="C7" t="s">
        <v>5846</v>
      </c>
      <c r="D7" t="s">
        <v>19</v>
      </c>
      <c r="E7" s="45">
        <v>5</v>
      </c>
      <c r="G7" t="s">
        <v>3478</v>
      </c>
    </row>
    <row r="8" spans="1:7" x14ac:dyDescent="0.3">
      <c r="A8" t="s">
        <v>5839</v>
      </c>
      <c r="B8" t="s">
        <v>7570</v>
      </c>
      <c r="C8" t="s">
        <v>5846</v>
      </c>
      <c r="D8" t="s">
        <v>15</v>
      </c>
      <c r="E8" s="45">
        <v>32</v>
      </c>
      <c r="G8" t="s">
        <v>3473</v>
      </c>
    </row>
    <row r="9" spans="1:7" x14ac:dyDescent="0.3">
      <c r="A9" t="s">
        <v>5839</v>
      </c>
      <c r="B9" t="s">
        <v>7570</v>
      </c>
      <c r="C9" t="s">
        <v>5955</v>
      </c>
      <c r="D9" t="s">
        <v>19</v>
      </c>
      <c r="E9" s="45">
        <v>3</v>
      </c>
      <c r="G9" t="s">
        <v>3477</v>
      </c>
    </row>
    <row r="10" spans="1:7" x14ac:dyDescent="0.3">
      <c r="A10" t="s">
        <v>5839</v>
      </c>
      <c r="B10" t="s">
        <v>7570</v>
      </c>
      <c r="C10" t="s">
        <v>5955</v>
      </c>
      <c r="D10" t="s">
        <v>15</v>
      </c>
      <c r="E10" s="45">
        <v>3</v>
      </c>
    </row>
    <row r="11" spans="1:7" x14ac:dyDescent="0.3">
      <c r="A11" t="s">
        <v>5839</v>
      </c>
      <c r="B11" t="s">
        <v>7570</v>
      </c>
      <c r="C11" t="s">
        <v>5956</v>
      </c>
      <c r="D11" t="s">
        <v>19</v>
      </c>
      <c r="E11" s="45">
        <v>1</v>
      </c>
    </row>
    <row r="12" spans="1:7" x14ac:dyDescent="0.3">
      <c r="A12" t="s">
        <v>5839</v>
      </c>
      <c r="B12" t="s">
        <v>7570</v>
      </c>
      <c r="C12" t="s">
        <v>5957</v>
      </c>
      <c r="D12" t="s">
        <v>19</v>
      </c>
      <c r="E12" s="45">
        <v>2</v>
      </c>
      <c r="G12" t="s">
        <v>3476</v>
      </c>
    </row>
    <row r="13" spans="1:7" x14ac:dyDescent="0.3">
      <c r="A13" t="s">
        <v>5839</v>
      </c>
      <c r="B13" t="s">
        <v>7570</v>
      </c>
      <c r="C13" t="s">
        <v>5863</v>
      </c>
      <c r="D13" t="s">
        <v>19</v>
      </c>
      <c r="E13" s="45">
        <v>4</v>
      </c>
      <c r="G13" t="s">
        <v>3474</v>
      </c>
    </row>
    <row r="14" spans="1:7" x14ac:dyDescent="0.3">
      <c r="A14" t="s">
        <v>5839</v>
      </c>
      <c r="B14" t="s">
        <v>7575</v>
      </c>
      <c r="E14" s="45">
        <v>50</v>
      </c>
      <c r="G14" t="s">
        <v>3475</v>
      </c>
    </row>
    <row r="15" spans="1:7" x14ac:dyDescent="0.3">
      <c r="A15" t="s">
        <v>5839</v>
      </c>
      <c r="B15" t="s">
        <v>7576</v>
      </c>
      <c r="C15" t="s">
        <v>7577</v>
      </c>
      <c r="D15" t="s">
        <v>19</v>
      </c>
      <c r="E15" s="45">
        <v>13</v>
      </c>
    </row>
    <row r="16" spans="1:7" x14ac:dyDescent="0.3">
      <c r="A16" t="s">
        <v>5839</v>
      </c>
      <c r="B16" t="s">
        <v>7576</v>
      </c>
      <c r="C16" t="s">
        <v>7579</v>
      </c>
      <c r="D16" t="s">
        <v>19</v>
      </c>
      <c r="E16" s="45">
        <v>7</v>
      </c>
    </row>
    <row r="17" spans="1:5" x14ac:dyDescent="0.3">
      <c r="A17" t="s">
        <v>5839</v>
      </c>
      <c r="B17" t="s">
        <v>7576</v>
      </c>
      <c r="C17" t="s">
        <v>7580</v>
      </c>
      <c r="D17" t="s">
        <v>19</v>
      </c>
      <c r="E17" s="45">
        <v>14</v>
      </c>
    </row>
    <row r="18" spans="1:5" x14ac:dyDescent="0.3">
      <c r="A18" t="s">
        <v>5839</v>
      </c>
      <c r="B18" t="s">
        <v>7576</v>
      </c>
      <c r="C18" t="s">
        <v>7581</v>
      </c>
      <c r="D18" t="s">
        <v>17</v>
      </c>
      <c r="E18" s="45">
        <v>164</v>
      </c>
    </row>
    <row r="19" spans="1:5" x14ac:dyDescent="0.3">
      <c r="A19" t="s">
        <v>5839</v>
      </c>
      <c r="B19" t="s">
        <v>7576</v>
      </c>
      <c r="C19" t="s">
        <v>7581</v>
      </c>
      <c r="D19" t="s">
        <v>19</v>
      </c>
      <c r="E19" s="45">
        <v>2</v>
      </c>
    </row>
    <row r="20" spans="1:5" x14ac:dyDescent="0.3">
      <c r="A20" t="s">
        <v>5839</v>
      </c>
      <c r="B20" t="s">
        <v>7576</v>
      </c>
      <c r="C20" t="s">
        <v>7581</v>
      </c>
      <c r="D20" t="s">
        <v>15</v>
      </c>
      <c r="E20" s="45">
        <v>80</v>
      </c>
    </row>
    <row r="21" spans="1:5" x14ac:dyDescent="0.3">
      <c r="A21" t="s">
        <v>5839</v>
      </c>
      <c r="B21" t="s">
        <v>7576</v>
      </c>
      <c r="C21" t="s">
        <v>7578</v>
      </c>
      <c r="D21" t="s">
        <v>15</v>
      </c>
      <c r="E21" s="45">
        <v>16</v>
      </c>
    </row>
    <row r="22" spans="1:5" x14ac:dyDescent="0.3">
      <c r="A22" t="s">
        <v>5839</v>
      </c>
      <c r="B22" t="s">
        <v>7582</v>
      </c>
      <c r="E22" s="45">
        <v>296</v>
      </c>
    </row>
    <row r="23" spans="1:5" x14ac:dyDescent="0.3">
      <c r="A23" t="s">
        <v>7569</v>
      </c>
      <c r="E23" s="45">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Hoja4</vt:lpstr>
      <vt:lpstr>Violencia contra la mujer</vt:lpstr>
      <vt:lpstr>Estructura</vt:lpstr>
      <vt:lpstr>Hoja1</vt:lpstr>
      <vt:lpstr>TD</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user</cp:lastModifiedBy>
  <dcterms:created xsi:type="dcterms:W3CDTF">2021-07-05T22:32:30Z</dcterms:created>
  <dcterms:modified xsi:type="dcterms:W3CDTF">2021-08-13T22:15:04Z</dcterms:modified>
</cp:coreProperties>
</file>