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24226"/>
  <mc:AlternateContent xmlns:mc="http://schemas.openxmlformats.org/markup-compatibility/2006">
    <mc:Choice Requires="x15">
      <x15ac:absPath xmlns:x15ac="http://schemas.microsoft.com/office/spreadsheetml/2010/11/ac" url="D:\DATA INTELLIGENCE Dropbox\DI Monitoreo II\000 AGENCIA INFORMACION DI\"/>
    </mc:Choice>
  </mc:AlternateContent>
  <xr:revisionPtr revIDLastSave="0" documentId="13_ncr:1_{08F5E92A-C9E3-4FC5-A279-F165B212C90B}" xr6:coauthVersionLast="47" xr6:coauthVersionMax="47" xr10:uidLastSave="{00000000-0000-0000-0000-000000000000}"/>
  <bookViews>
    <workbookView xWindow="-108" yWindow="-108" windowWidth="23256" windowHeight="12720" xr2:uid="{00000000-000D-0000-FFFF-FFFF00000000}"/>
  </bookViews>
  <sheets>
    <sheet name="Agencia" sheetId="4" r:id="rId1"/>
    <sheet name="Estructura" sheetId="6" r:id="rId2"/>
    <sheet name="TD" sheetId="5" r:id="rId3"/>
    <sheet name="Hoja1" sheetId="7" r:id="rId4"/>
  </sheets>
  <definedNames>
    <definedName name="_xlnm._FilterDatabase" localSheetId="0" hidden="1">Agencia!$A$11:$U$190</definedName>
    <definedName name="SegmentaciónDeDatos_coleccion">#N/A</definedName>
    <definedName name="SegmentaciónDeDatos_contenido">#N/A</definedName>
    <definedName name="SegmentaciónDeDatos_escala">#N/A</definedName>
    <definedName name="SegmentaciónDeDatos_Filtro_Integrado">#N/A</definedName>
    <definedName name="SegmentaciónDeDatos_Muestra">#N/A</definedName>
    <definedName name="SegmentaciónDeDatos_tema">#N/A</definedName>
    <definedName name="SegmentaciónDeDatos_temporalidad">#N/A</definedName>
    <definedName name="SegmentaciónDeDatos_territorio">#N/A</definedName>
  </definedNames>
  <calcPr calcId="191029"/>
  <pivotCaches>
    <pivotCache cacheId="1" r:id="rId5"/>
    <pivotCache cacheId="10" r:id="rId6"/>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4:slicerCache r:id="rId8"/>
        <x14:slicerCache r:id="rId9"/>
        <x14:slicerCache r:id="rId10"/>
        <x14:slicerCache r:id="rId11"/>
        <x14:slicerCache r:id="rId12"/>
        <x14:slicerCache r:id="rId13"/>
        <x14:slicerCache r:id="rId14"/>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5" i="4" l="1"/>
  <c r="K98" i="4"/>
  <c r="K30" i="4"/>
  <c r="M13" i="4" l="1"/>
  <c r="K13" i="4" l="1"/>
  <c r="K14" i="4" s="1"/>
  <c r="K15" i="4" s="1"/>
  <c r="K16" i="4" s="1"/>
  <c r="K17" i="4" s="1"/>
  <c r="K18" i="4" s="1"/>
  <c r="K19" i="4" s="1"/>
  <c r="K20" i="4" s="1"/>
  <c r="K21" i="4" s="1"/>
  <c r="K22" i="4" s="1"/>
  <c r="K23" i="4" s="1"/>
  <c r="K24" i="4" s="1"/>
  <c r="K25" i="4" s="1"/>
  <c r="K26" i="4" s="1"/>
  <c r="K27" i="4" s="1"/>
  <c r="K28" i="4" s="1"/>
  <c r="R150" i="4" l="1"/>
  <c r="R151" i="4"/>
  <c r="R152" i="4"/>
  <c r="R153" i="4"/>
  <c r="R154" i="4"/>
  <c r="R155" i="4"/>
  <c r="R156" i="4"/>
  <c r="R157" i="4"/>
  <c r="R158" i="4"/>
  <c r="R159" i="4"/>
  <c r="R160" i="4"/>
  <c r="R161" i="4"/>
  <c r="R162" i="4"/>
  <c r="R163" i="4"/>
  <c r="R164" i="4"/>
  <c r="R165" i="4"/>
  <c r="R166" i="4"/>
  <c r="R167" i="4"/>
  <c r="R168" i="4"/>
  <c r="R169" i="4"/>
  <c r="R170" i="4"/>
  <c r="R171" i="4"/>
  <c r="R172" i="4"/>
  <c r="R173" i="4"/>
  <c r="R174" i="4"/>
  <c r="R175" i="4"/>
  <c r="R176" i="4"/>
  <c r="R177" i="4"/>
  <c r="R178" i="4"/>
  <c r="R179" i="4"/>
  <c r="R180" i="4"/>
  <c r="R181" i="4"/>
  <c r="R182" i="4"/>
  <c r="R183" i="4"/>
  <c r="R184" i="4"/>
  <c r="R185" i="4"/>
  <c r="R186" i="4"/>
  <c r="R187" i="4"/>
  <c r="R188" i="4"/>
  <c r="R189" i="4"/>
  <c r="R190" i="4"/>
  <c r="R149" i="4"/>
  <c r="O149" i="4"/>
  <c r="R148" i="4"/>
  <c r="R132" i="4"/>
  <c r="R133" i="4"/>
  <c r="R134" i="4"/>
  <c r="R135" i="4"/>
  <c r="R136" i="4"/>
  <c r="R137" i="4"/>
  <c r="R138" i="4"/>
  <c r="R139" i="4"/>
  <c r="R140" i="4"/>
  <c r="R141" i="4"/>
  <c r="R142" i="4"/>
  <c r="R143" i="4"/>
  <c r="R144" i="4"/>
  <c r="R145" i="4"/>
  <c r="R146" i="4"/>
  <c r="R147" i="4"/>
  <c r="R131" i="4"/>
  <c r="O131" i="4"/>
  <c r="R115" i="4"/>
  <c r="R116" i="4"/>
  <c r="R117" i="4"/>
  <c r="R118" i="4"/>
  <c r="R119" i="4"/>
  <c r="R120" i="4"/>
  <c r="R121" i="4"/>
  <c r="R122" i="4"/>
  <c r="R123" i="4"/>
  <c r="R124" i="4"/>
  <c r="R125" i="4"/>
  <c r="R126" i="4"/>
  <c r="R127" i="4"/>
  <c r="R128" i="4"/>
  <c r="R129" i="4"/>
  <c r="R130" i="4"/>
  <c r="R114" i="4"/>
  <c r="O114" i="4"/>
  <c r="M116" i="4"/>
  <c r="M117" i="4" s="1"/>
  <c r="M118" i="4" s="1"/>
  <c r="M119" i="4" s="1"/>
  <c r="M120" i="4" s="1"/>
  <c r="M121" i="4" s="1"/>
  <c r="M122" i="4" s="1"/>
  <c r="M123" i="4" s="1"/>
  <c r="M124" i="4" s="1"/>
  <c r="M125" i="4" s="1"/>
  <c r="M126" i="4" s="1"/>
  <c r="M127" i="4" s="1"/>
  <c r="M128" i="4" s="1"/>
  <c r="M129" i="4" s="1"/>
  <c r="M130" i="4" s="1"/>
  <c r="M132" i="4" s="1"/>
  <c r="M133" i="4" s="1"/>
  <c r="M134" i="4" s="1"/>
  <c r="M135" i="4" s="1"/>
  <c r="M136" i="4" s="1"/>
  <c r="M137" i="4" s="1"/>
  <c r="M138" i="4" s="1"/>
  <c r="M139" i="4" s="1"/>
  <c r="M140" i="4" s="1"/>
  <c r="M141" i="4" s="1"/>
  <c r="M142" i="4" s="1"/>
  <c r="M143" i="4" s="1"/>
  <c r="M144" i="4" s="1"/>
  <c r="M145" i="4" s="1"/>
  <c r="M146" i="4" s="1"/>
  <c r="M147" i="4" s="1"/>
  <c r="M148" i="4" s="1"/>
  <c r="M150" i="4" s="1"/>
  <c r="M151" i="4" s="1"/>
  <c r="M152" i="4" s="1"/>
  <c r="M153" i="4" s="1"/>
  <c r="M154" i="4" s="1"/>
  <c r="M155" i="4" s="1"/>
  <c r="M156" i="4" s="1"/>
  <c r="M157" i="4" s="1"/>
  <c r="M158" i="4" s="1"/>
  <c r="M159" i="4" s="1"/>
  <c r="M160" i="4" s="1"/>
  <c r="M161" i="4" s="1"/>
  <c r="M162" i="4" s="1"/>
  <c r="M163" i="4" s="1"/>
  <c r="M164" i="4" s="1"/>
  <c r="M165" i="4" s="1"/>
  <c r="M166" i="4" s="1"/>
  <c r="M167" i="4" s="1"/>
  <c r="M168" i="4" s="1"/>
  <c r="M169" i="4" s="1"/>
  <c r="M170" i="4" s="1"/>
  <c r="M171" i="4" s="1"/>
  <c r="M172" i="4" s="1"/>
  <c r="M173" i="4" s="1"/>
  <c r="M174" i="4" s="1"/>
  <c r="M175" i="4" s="1"/>
  <c r="M176" i="4" s="1"/>
  <c r="M177" i="4" s="1"/>
  <c r="M178" i="4" s="1"/>
  <c r="M179" i="4" s="1"/>
  <c r="M180" i="4" s="1"/>
  <c r="M181" i="4" s="1"/>
  <c r="M182" i="4" s="1"/>
  <c r="M183" i="4" s="1"/>
  <c r="M184" i="4" s="1"/>
  <c r="M185" i="4" s="1"/>
  <c r="M186" i="4" s="1"/>
  <c r="M187" i="4" s="1"/>
  <c r="M188" i="4" s="1"/>
  <c r="M189" i="4" s="1"/>
  <c r="M190" i="4" s="1"/>
  <c r="N115" i="4"/>
  <c r="N116" i="4" s="1"/>
  <c r="N117" i="4" s="1"/>
  <c r="N118" i="4" s="1"/>
  <c r="N119" i="4" s="1"/>
  <c r="N120" i="4" s="1"/>
  <c r="N121" i="4" s="1"/>
  <c r="N122" i="4" s="1"/>
  <c r="N123" i="4" s="1"/>
  <c r="N124" i="4" s="1"/>
  <c r="N125" i="4" s="1"/>
  <c r="N126" i="4" s="1"/>
  <c r="N127" i="4" s="1"/>
  <c r="N128" i="4" s="1"/>
  <c r="N129" i="4" s="1"/>
  <c r="N130" i="4" s="1"/>
  <c r="N132" i="4" s="1"/>
  <c r="N133" i="4" s="1"/>
  <c r="N134" i="4" s="1"/>
  <c r="N135" i="4" s="1"/>
  <c r="N136" i="4" s="1"/>
  <c r="N137" i="4" s="1"/>
  <c r="N138" i="4" s="1"/>
  <c r="N139" i="4" s="1"/>
  <c r="N140" i="4" s="1"/>
  <c r="N141" i="4" s="1"/>
  <c r="N142" i="4" s="1"/>
  <c r="N143" i="4" s="1"/>
  <c r="N144" i="4" s="1"/>
  <c r="N145" i="4" s="1"/>
  <c r="N146" i="4" s="1"/>
  <c r="N147" i="4" s="1"/>
  <c r="N148" i="4" s="1"/>
  <c r="N150" i="4" s="1"/>
  <c r="N151" i="4" s="1"/>
  <c r="N152" i="4" s="1"/>
  <c r="N153" i="4" s="1"/>
  <c r="N154" i="4" s="1"/>
  <c r="N155" i="4" s="1"/>
  <c r="N156" i="4" s="1"/>
  <c r="N157" i="4" s="1"/>
  <c r="N158" i="4" s="1"/>
  <c r="N159" i="4" s="1"/>
  <c r="N160" i="4" s="1"/>
  <c r="N161" i="4" s="1"/>
  <c r="N162" i="4" s="1"/>
  <c r="N163" i="4" s="1"/>
  <c r="N164" i="4" s="1"/>
  <c r="N165" i="4" s="1"/>
  <c r="N166" i="4" s="1"/>
  <c r="N167" i="4" s="1"/>
  <c r="N168" i="4" s="1"/>
  <c r="N169" i="4" s="1"/>
  <c r="N170" i="4" s="1"/>
  <c r="N171" i="4" s="1"/>
  <c r="N172" i="4" s="1"/>
  <c r="N173" i="4" s="1"/>
  <c r="N174" i="4" s="1"/>
  <c r="N175" i="4" s="1"/>
  <c r="N176" i="4" s="1"/>
  <c r="N177" i="4" s="1"/>
  <c r="N178" i="4" s="1"/>
  <c r="N179" i="4" s="1"/>
  <c r="N180" i="4" s="1"/>
  <c r="N181" i="4" s="1"/>
  <c r="N182" i="4" s="1"/>
  <c r="N183" i="4" s="1"/>
  <c r="N184" i="4" s="1"/>
  <c r="N185" i="4" s="1"/>
  <c r="N186" i="4" s="1"/>
  <c r="N187" i="4" s="1"/>
  <c r="N188" i="4" s="1"/>
  <c r="N189" i="4" s="1"/>
  <c r="N190" i="4" s="1"/>
  <c r="K115" i="4"/>
  <c r="L115" i="4"/>
  <c r="O115" i="4" s="1"/>
  <c r="J115" i="4"/>
  <c r="J116" i="4" s="1"/>
  <c r="G115" i="4"/>
  <c r="G116" i="4" s="1"/>
  <c r="F115" i="4"/>
  <c r="D115" i="4"/>
  <c r="D116" i="4" s="1"/>
  <c r="D117" i="4" s="1"/>
  <c r="D118" i="4" s="1"/>
  <c r="D119" i="4" s="1"/>
  <c r="D120" i="4" s="1"/>
  <c r="D121" i="4" s="1"/>
  <c r="D122" i="4" s="1"/>
  <c r="D123" i="4" s="1"/>
  <c r="D124" i="4" s="1"/>
  <c r="D125" i="4" s="1"/>
  <c r="D126" i="4" s="1"/>
  <c r="D127" i="4" s="1"/>
  <c r="D128" i="4" s="1"/>
  <c r="D129" i="4" s="1"/>
  <c r="D130" i="4" s="1"/>
  <c r="D132" i="4" s="1"/>
  <c r="D133" i="4" s="1"/>
  <c r="D134" i="4" s="1"/>
  <c r="D135" i="4" s="1"/>
  <c r="D136" i="4" s="1"/>
  <c r="D137" i="4" s="1"/>
  <c r="D138" i="4" s="1"/>
  <c r="D139" i="4" s="1"/>
  <c r="D140" i="4" s="1"/>
  <c r="D141" i="4" s="1"/>
  <c r="D142" i="4" s="1"/>
  <c r="D143" i="4" s="1"/>
  <c r="D144" i="4" s="1"/>
  <c r="D145" i="4" s="1"/>
  <c r="D146" i="4" s="1"/>
  <c r="D147" i="4" s="1"/>
  <c r="D148" i="4" s="1"/>
  <c r="D150" i="4" s="1"/>
  <c r="D151" i="4" s="1"/>
  <c r="D152" i="4" s="1"/>
  <c r="D153" i="4" s="1"/>
  <c r="D154" i="4" s="1"/>
  <c r="D155" i="4" s="1"/>
  <c r="D156" i="4" s="1"/>
  <c r="D157" i="4" s="1"/>
  <c r="D158" i="4" s="1"/>
  <c r="D159" i="4" s="1"/>
  <c r="D160" i="4" s="1"/>
  <c r="D161" i="4" s="1"/>
  <c r="D162" i="4" s="1"/>
  <c r="D163" i="4" s="1"/>
  <c r="D164" i="4" s="1"/>
  <c r="D165" i="4" s="1"/>
  <c r="D166" i="4" s="1"/>
  <c r="D167" i="4" s="1"/>
  <c r="D168" i="4" s="1"/>
  <c r="D169" i="4" s="1"/>
  <c r="D170" i="4" s="1"/>
  <c r="D171" i="4" s="1"/>
  <c r="D172" i="4" s="1"/>
  <c r="D173" i="4" s="1"/>
  <c r="D174" i="4" s="1"/>
  <c r="D175" i="4" s="1"/>
  <c r="D176" i="4" s="1"/>
  <c r="D177" i="4" s="1"/>
  <c r="D178" i="4" s="1"/>
  <c r="D179" i="4" s="1"/>
  <c r="D180" i="4" s="1"/>
  <c r="D181" i="4" s="1"/>
  <c r="D182" i="4" s="1"/>
  <c r="D183" i="4" s="1"/>
  <c r="D184" i="4" s="1"/>
  <c r="D185" i="4" s="1"/>
  <c r="D186" i="4" s="1"/>
  <c r="D187" i="4" s="1"/>
  <c r="D188" i="4" s="1"/>
  <c r="D189" i="4" s="1"/>
  <c r="D190" i="4" s="1"/>
  <c r="R98" i="4"/>
  <c r="R99" i="4"/>
  <c r="R100" i="4"/>
  <c r="R101" i="4"/>
  <c r="R102" i="4"/>
  <c r="R103" i="4"/>
  <c r="R104" i="4"/>
  <c r="R105" i="4"/>
  <c r="R106" i="4"/>
  <c r="R107" i="4"/>
  <c r="R108" i="4"/>
  <c r="R109" i="4"/>
  <c r="R110" i="4"/>
  <c r="R111" i="4"/>
  <c r="R112" i="4"/>
  <c r="R113" i="4"/>
  <c r="R97" i="4"/>
  <c r="R82" i="4"/>
  <c r="R83" i="4"/>
  <c r="R84" i="4"/>
  <c r="R85" i="4"/>
  <c r="R86" i="4"/>
  <c r="R87" i="4"/>
  <c r="R88" i="4"/>
  <c r="R89" i="4"/>
  <c r="R90" i="4"/>
  <c r="R91" i="4"/>
  <c r="R92" i="4"/>
  <c r="R93" i="4"/>
  <c r="R94" i="4"/>
  <c r="R95" i="4"/>
  <c r="R96" i="4"/>
  <c r="D98" i="4"/>
  <c r="D99" i="4" s="1"/>
  <c r="D100" i="4" s="1"/>
  <c r="D101" i="4" s="1"/>
  <c r="D102" i="4" s="1"/>
  <c r="D103" i="4" s="1"/>
  <c r="D104" i="4" s="1"/>
  <c r="D105" i="4" s="1"/>
  <c r="D106" i="4" s="1"/>
  <c r="D107" i="4" s="1"/>
  <c r="D108" i="4" s="1"/>
  <c r="D109" i="4" s="1"/>
  <c r="D110" i="4" s="1"/>
  <c r="D111" i="4" s="1"/>
  <c r="D112" i="4" s="1"/>
  <c r="D113" i="4" s="1"/>
  <c r="O97" i="4"/>
  <c r="N98" i="4"/>
  <c r="N99" i="4" s="1"/>
  <c r="N100" i="4" s="1"/>
  <c r="N101" i="4" s="1"/>
  <c r="N102" i="4" s="1"/>
  <c r="N103" i="4" s="1"/>
  <c r="N104" i="4" s="1"/>
  <c r="N105" i="4" s="1"/>
  <c r="N106" i="4" s="1"/>
  <c r="N107" i="4" s="1"/>
  <c r="N108" i="4" s="1"/>
  <c r="N109" i="4" s="1"/>
  <c r="N110" i="4" s="1"/>
  <c r="N111" i="4" s="1"/>
  <c r="N112" i="4" s="1"/>
  <c r="N113" i="4" s="1"/>
  <c r="L98" i="4"/>
  <c r="L99" i="4" s="1"/>
  <c r="M98" i="4"/>
  <c r="M99" i="4" s="1"/>
  <c r="M100" i="4" s="1"/>
  <c r="M101" i="4" s="1"/>
  <c r="M102" i="4" s="1"/>
  <c r="M103" i="4" s="1"/>
  <c r="M104" i="4" s="1"/>
  <c r="M105" i="4" s="1"/>
  <c r="M106" i="4" s="1"/>
  <c r="M107" i="4" s="1"/>
  <c r="M108" i="4" s="1"/>
  <c r="M109" i="4" s="1"/>
  <c r="M110" i="4" s="1"/>
  <c r="M111" i="4" s="1"/>
  <c r="M112" i="4" s="1"/>
  <c r="M113" i="4" s="1"/>
  <c r="G98" i="4"/>
  <c r="G99" i="4" s="1"/>
  <c r="F98" i="4"/>
  <c r="F99" i="4" s="1"/>
  <c r="O80" i="4"/>
  <c r="R64" i="4"/>
  <c r="R65" i="4"/>
  <c r="R66" i="4"/>
  <c r="R67" i="4"/>
  <c r="R68" i="4"/>
  <c r="R69" i="4"/>
  <c r="R70" i="4"/>
  <c r="R71" i="4"/>
  <c r="R72" i="4"/>
  <c r="R73" i="4"/>
  <c r="R74" i="4"/>
  <c r="R75" i="4"/>
  <c r="R76" i="4"/>
  <c r="R77" i="4"/>
  <c r="R78" i="4"/>
  <c r="R79" i="4"/>
  <c r="R80" i="4"/>
  <c r="R81" i="4"/>
  <c r="R63" i="4"/>
  <c r="O63" i="4"/>
  <c r="M64" i="4"/>
  <c r="M65" i="4" s="1"/>
  <c r="M66" i="4" s="1"/>
  <c r="M67" i="4" s="1"/>
  <c r="M68" i="4" s="1"/>
  <c r="M69" i="4" s="1"/>
  <c r="M70" i="4" s="1"/>
  <c r="M71" i="4" s="1"/>
  <c r="M72" i="4" s="1"/>
  <c r="M73" i="4" s="1"/>
  <c r="M74" i="4" s="1"/>
  <c r="M75" i="4" s="1"/>
  <c r="M76" i="4" s="1"/>
  <c r="M77" i="4" s="1"/>
  <c r="M78" i="4" s="1"/>
  <c r="M79" i="4" s="1"/>
  <c r="M80" i="4" s="1"/>
  <c r="M81" i="4" s="1"/>
  <c r="M82" i="4" s="1"/>
  <c r="M83" i="4" s="1"/>
  <c r="M84" i="4" s="1"/>
  <c r="M85" i="4" s="1"/>
  <c r="M86" i="4" s="1"/>
  <c r="M87" i="4" s="1"/>
  <c r="M88" i="4" s="1"/>
  <c r="M89" i="4" s="1"/>
  <c r="M90" i="4" s="1"/>
  <c r="M91" i="4" s="1"/>
  <c r="M92" i="4" s="1"/>
  <c r="M93" i="4" s="1"/>
  <c r="M94" i="4" s="1"/>
  <c r="M95" i="4" s="1"/>
  <c r="M96" i="4" s="1"/>
  <c r="J64" i="4"/>
  <c r="J65" i="4" s="1"/>
  <c r="J66" i="4" s="1"/>
  <c r="J67" i="4" s="1"/>
  <c r="J68" i="4" s="1"/>
  <c r="J69" i="4" s="1"/>
  <c r="J70" i="4" s="1"/>
  <c r="J71" i="4" s="1"/>
  <c r="J72" i="4" s="1"/>
  <c r="J73" i="4" s="1"/>
  <c r="J74" i="4" s="1"/>
  <c r="J75" i="4" s="1"/>
  <c r="J76" i="4" s="1"/>
  <c r="J77" i="4" s="1"/>
  <c r="J78" i="4" s="1"/>
  <c r="J79" i="4" s="1"/>
  <c r="J80" i="4" s="1"/>
  <c r="J81" i="4" s="1"/>
  <c r="J82" i="4" s="1"/>
  <c r="K64" i="4"/>
  <c r="K65" i="4" s="1"/>
  <c r="K66" i="4" s="1"/>
  <c r="K67" i="4" s="1"/>
  <c r="K68" i="4" s="1"/>
  <c r="K69" i="4" s="1"/>
  <c r="K70" i="4" s="1"/>
  <c r="K71" i="4" s="1"/>
  <c r="K72" i="4" s="1"/>
  <c r="K73" i="4" s="1"/>
  <c r="K74" i="4" s="1"/>
  <c r="K75" i="4" s="1"/>
  <c r="K76" i="4" s="1"/>
  <c r="K77" i="4" s="1"/>
  <c r="K78" i="4" s="1"/>
  <c r="K79" i="4" s="1"/>
  <c r="K80" i="4" s="1"/>
  <c r="K81" i="4" s="1"/>
  <c r="K82" i="4" s="1"/>
  <c r="L64" i="4"/>
  <c r="O64" i="4" s="1"/>
  <c r="N64" i="4"/>
  <c r="N65" i="4" s="1"/>
  <c r="N66" i="4" s="1"/>
  <c r="N67" i="4" s="1"/>
  <c r="N68" i="4" s="1"/>
  <c r="N69" i="4" s="1"/>
  <c r="N70" i="4" s="1"/>
  <c r="N71" i="4" s="1"/>
  <c r="N72" i="4" s="1"/>
  <c r="N73" i="4" s="1"/>
  <c r="N74" i="4" s="1"/>
  <c r="N75" i="4" s="1"/>
  <c r="N76" i="4" s="1"/>
  <c r="N77" i="4" s="1"/>
  <c r="N78" i="4" s="1"/>
  <c r="N79" i="4" s="1"/>
  <c r="N80" i="4" s="1"/>
  <c r="N81" i="4" s="1"/>
  <c r="N82" i="4" s="1"/>
  <c r="N83" i="4" s="1"/>
  <c r="N84" i="4" s="1"/>
  <c r="N85" i="4" s="1"/>
  <c r="N86" i="4" s="1"/>
  <c r="N87" i="4" s="1"/>
  <c r="N88" i="4" s="1"/>
  <c r="N89" i="4" s="1"/>
  <c r="N90" i="4" s="1"/>
  <c r="N91" i="4" s="1"/>
  <c r="N92" i="4" s="1"/>
  <c r="N93" i="4" s="1"/>
  <c r="N94" i="4" s="1"/>
  <c r="N95" i="4" s="1"/>
  <c r="N96" i="4" s="1"/>
  <c r="O98" i="4" l="1"/>
  <c r="J117" i="4"/>
  <c r="F100" i="4"/>
  <c r="F101" i="4" s="1"/>
  <c r="K116" i="4"/>
  <c r="F116" i="4"/>
  <c r="G117" i="4"/>
  <c r="L116" i="4"/>
  <c r="G100" i="4"/>
  <c r="L100" i="4"/>
  <c r="O99" i="4"/>
  <c r="K83" i="4"/>
  <c r="K84" i="4" s="1"/>
  <c r="K85" i="4" s="1"/>
  <c r="K86" i="4" s="1"/>
  <c r="K99" i="4"/>
  <c r="J99" i="4"/>
  <c r="J83" i="4"/>
  <c r="L65" i="4"/>
  <c r="L66" i="4" s="1"/>
  <c r="L67" i="4" s="1"/>
  <c r="L68" i="4" s="1"/>
  <c r="L69" i="4" s="1"/>
  <c r="L70" i="4" s="1"/>
  <c r="F11" i="6"/>
  <c r="G11" i="6"/>
  <c r="F12" i="6"/>
  <c r="G12" i="6"/>
  <c r="F13" i="6"/>
  <c r="G13" i="6"/>
  <c r="F14" i="6"/>
  <c r="G14" i="6"/>
  <c r="F15" i="6"/>
  <c r="G15" i="6"/>
  <c r="F16" i="6"/>
  <c r="G16" i="6"/>
  <c r="F17" i="6"/>
  <c r="G17" i="6"/>
  <c r="F18" i="6"/>
  <c r="G18" i="6"/>
  <c r="F19" i="6"/>
  <c r="G19" i="6"/>
  <c r="F20" i="6"/>
  <c r="G20" i="6"/>
  <c r="F21" i="6"/>
  <c r="G21" i="6"/>
  <c r="F22" i="6"/>
  <c r="G22" i="6"/>
  <c r="F23" i="6"/>
  <c r="G23" i="6"/>
  <c r="F24" i="6"/>
  <c r="G24" i="6"/>
  <c r="F25" i="6"/>
  <c r="G25" i="6"/>
  <c r="F26" i="6"/>
  <c r="G26" i="6"/>
  <c r="F27" i="6"/>
  <c r="G27" i="6"/>
  <c r="F28" i="6"/>
  <c r="G28" i="6"/>
  <c r="F29" i="6"/>
  <c r="G29" i="6"/>
  <c r="F30" i="6"/>
  <c r="G30" i="6"/>
  <c r="F31" i="6"/>
  <c r="G31" i="6"/>
  <c r="F32" i="6"/>
  <c r="G32" i="6"/>
  <c r="F33" i="6"/>
  <c r="G33" i="6"/>
  <c r="F34" i="6"/>
  <c r="G34" i="6"/>
  <c r="F35" i="6"/>
  <c r="G35" i="6"/>
  <c r="F36" i="6"/>
  <c r="G36" i="6"/>
  <c r="F37" i="6"/>
  <c r="G37" i="6"/>
  <c r="F38" i="6"/>
  <c r="G38" i="6"/>
  <c r="F39" i="6"/>
  <c r="G39" i="6"/>
  <c r="F40" i="6"/>
  <c r="G40" i="6"/>
  <c r="F41" i="6"/>
  <c r="G41" i="6"/>
  <c r="F42" i="6"/>
  <c r="G42" i="6"/>
  <c r="F43" i="6"/>
  <c r="G43" i="6"/>
  <c r="F44" i="6"/>
  <c r="G44" i="6"/>
  <c r="F45" i="6"/>
  <c r="G45" i="6"/>
  <c r="F46" i="6"/>
  <c r="G46" i="6"/>
  <c r="F47" i="6"/>
  <c r="G47" i="6"/>
  <c r="F48" i="6"/>
  <c r="G48" i="6"/>
  <c r="F49" i="6"/>
  <c r="G49" i="6"/>
  <c r="F50" i="6"/>
  <c r="G50" i="6"/>
  <c r="F51" i="6"/>
  <c r="G51" i="6"/>
  <c r="F52" i="6"/>
  <c r="G52" i="6"/>
  <c r="F53" i="6"/>
  <c r="G53" i="6"/>
  <c r="F54" i="6"/>
  <c r="G54" i="6"/>
  <c r="F55" i="6"/>
  <c r="G55" i="6"/>
  <c r="F56" i="6"/>
  <c r="G56" i="6"/>
  <c r="F57" i="6"/>
  <c r="G57" i="6"/>
  <c r="F58" i="6"/>
  <c r="G58" i="6"/>
  <c r="F59" i="6"/>
  <c r="G59" i="6"/>
  <c r="F60" i="6"/>
  <c r="G60" i="6"/>
  <c r="F61" i="6"/>
  <c r="G61" i="6"/>
  <c r="F62" i="6"/>
  <c r="G62" i="6"/>
  <c r="F63" i="6"/>
  <c r="G63" i="6"/>
  <c r="F64" i="6"/>
  <c r="G64" i="6"/>
  <c r="F65" i="6"/>
  <c r="G65" i="6"/>
  <c r="F66" i="6"/>
  <c r="G66" i="6"/>
  <c r="F67" i="6"/>
  <c r="G67" i="6"/>
  <c r="F68" i="6"/>
  <c r="G68" i="6"/>
  <c r="F69" i="6"/>
  <c r="G69" i="6"/>
  <c r="F70" i="6"/>
  <c r="G70" i="6"/>
  <c r="F71" i="6"/>
  <c r="G71" i="6"/>
  <c r="F72" i="6"/>
  <c r="G72" i="6"/>
  <c r="F73" i="6"/>
  <c r="G73" i="6"/>
  <c r="F74" i="6"/>
  <c r="G74" i="6"/>
  <c r="F75" i="6"/>
  <c r="G75" i="6"/>
  <c r="F76" i="6"/>
  <c r="G76" i="6"/>
  <c r="F77" i="6"/>
  <c r="G77" i="6"/>
  <c r="F78" i="6"/>
  <c r="G78" i="6"/>
  <c r="F79" i="6"/>
  <c r="G79" i="6"/>
  <c r="F80" i="6"/>
  <c r="G80" i="6"/>
  <c r="F81" i="6"/>
  <c r="G81" i="6"/>
  <c r="F82" i="6"/>
  <c r="G82" i="6"/>
  <c r="F83" i="6"/>
  <c r="G83" i="6"/>
  <c r="F84" i="6"/>
  <c r="G84" i="6"/>
  <c r="F85" i="6"/>
  <c r="G85" i="6"/>
  <c r="F86" i="6"/>
  <c r="G86" i="6"/>
  <c r="F87" i="6"/>
  <c r="G87" i="6"/>
  <c r="F88" i="6"/>
  <c r="G88" i="6"/>
  <c r="F89" i="6"/>
  <c r="G89" i="6"/>
  <c r="F90" i="6"/>
  <c r="G90" i="6"/>
  <c r="F91" i="6"/>
  <c r="G91" i="6"/>
  <c r="F92" i="6"/>
  <c r="G92" i="6"/>
  <c r="F93" i="6"/>
  <c r="G93" i="6"/>
  <c r="F94" i="6"/>
  <c r="G94" i="6"/>
  <c r="F95" i="6"/>
  <c r="G95" i="6"/>
  <c r="F96" i="6"/>
  <c r="G96" i="6"/>
  <c r="F97" i="6"/>
  <c r="G97" i="6"/>
  <c r="F98" i="6"/>
  <c r="G98" i="6"/>
  <c r="F99" i="6"/>
  <c r="G99" i="6"/>
  <c r="F100" i="6"/>
  <c r="G100" i="6"/>
  <c r="B12" i="6"/>
  <c r="C12" i="6"/>
  <c r="B13" i="6"/>
  <c r="C13" i="6"/>
  <c r="B14" i="6"/>
  <c r="C14" i="6"/>
  <c r="B15" i="6"/>
  <c r="C15" i="6"/>
  <c r="B16" i="6"/>
  <c r="C16" i="6"/>
  <c r="B17" i="6"/>
  <c r="C17" i="6"/>
  <c r="B18" i="6"/>
  <c r="C18" i="6"/>
  <c r="B19" i="6"/>
  <c r="C19" i="6"/>
  <c r="B20" i="6"/>
  <c r="C20" i="6"/>
  <c r="B21" i="6"/>
  <c r="C21" i="6"/>
  <c r="B22" i="6"/>
  <c r="C22" i="6"/>
  <c r="B23" i="6"/>
  <c r="C23" i="6"/>
  <c r="B24" i="6"/>
  <c r="C24" i="6"/>
  <c r="B25" i="6"/>
  <c r="C25" i="6"/>
  <c r="B26" i="6"/>
  <c r="C26" i="6"/>
  <c r="B27" i="6"/>
  <c r="C27" i="6"/>
  <c r="B28" i="6"/>
  <c r="C28" i="6"/>
  <c r="B29" i="6"/>
  <c r="C29" i="6"/>
  <c r="B30" i="6"/>
  <c r="C30" i="6"/>
  <c r="B31" i="6"/>
  <c r="C31" i="6"/>
  <c r="B32" i="6"/>
  <c r="C32" i="6"/>
  <c r="B33" i="6"/>
  <c r="C33" i="6"/>
  <c r="B34" i="6"/>
  <c r="C34" i="6"/>
  <c r="B35" i="6"/>
  <c r="C35" i="6"/>
  <c r="B36" i="6"/>
  <c r="C36" i="6"/>
  <c r="B37" i="6"/>
  <c r="C37" i="6"/>
  <c r="B38" i="6"/>
  <c r="C38" i="6"/>
  <c r="B39" i="6"/>
  <c r="C39" i="6"/>
  <c r="B40" i="6"/>
  <c r="C40" i="6"/>
  <c r="B41" i="6"/>
  <c r="C41" i="6"/>
  <c r="B42" i="6"/>
  <c r="C42" i="6"/>
  <c r="B43" i="6"/>
  <c r="C43" i="6"/>
  <c r="B44" i="6"/>
  <c r="C44" i="6"/>
  <c r="B45" i="6"/>
  <c r="C45" i="6"/>
  <c r="B46" i="6"/>
  <c r="C46" i="6"/>
  <c r="B47" i="6"/>
  <c r="C47" i="6"/>
  <c r="B48" i="6"/>
  <c r="C48" i="6"/>
  <c r="B49" i="6"/>
  <c r="C49" i="6"/>
  <c r="B50" i="6"/>
  <c r="C50" i="6"/>
  <c r="B51" i="6"/>
  <c r="C51" i="6"/>
  <c r="B52" i="6"/>
  <c r="C52" i="6"/>
  <c r="B53" i="6"/>
  <c r="C53" i="6"/>
  <c r="B54" i="6"/>
  <c r="C54" i="6"/>
  <c r="B55" i="6"/>
  <c r="C55" i="6"/>
  <c r="B56" i="6"/>
  <c r="C56" i="6"/>
  <c r="B57" i="6"/>
  <c r="C57" i="6"/>
  <c r="B58" i="6"/>
  <c r="C58" i="6"/>
  <c r="B59" i="6"/>
  <c r="C59" i="6"/>
  <c r="B60" i="6"/>
  <c r="C60" i="6"/>
  <c r="B61" i="6"/>
  <c r="C61" i="6"/>
  <c r="B62" i="6"/>
  <c r="C62" i="6"/>
  <c r="B63" i="6"/>
  <c r="C63" i="6"/>
  <c r="B64" i="6"/>
  <c r="C64" i="6"/>
  <c r="B65" i="6"/>
  <c r="C65" i="6"/>
  <c r="B66" i="6"/>
  <c r="C66" i="6"/>
  <c r="B67" i="6"/>
  <c r="C67" i="6"/>
  <c r="B68" i="6"/>
  <c r="C68" i="6"/>
  <c r="B69" i="6"/>
  <c r="C69" i="6"/>
  <c r="B70" i="6"/>
  <c r="C70" i="6"/>
  <c r="B71" i="6"/>
  <c r="C71" i="6"/>
  <c r="B72" i="6"/>
  <c r="C72" i="6"/>
  <c r="B73" i="6"/>
  <c r="C73" i="6"/>
  <c r="B74" i="6"/>
  <c r="C74" i="6"/>
  <c r="B75" i="6"/>
  <c r="C75" i="6"/>
  <c r="B76" i="6"/>
  <c r="C76" i="6"/>
  <c r="B77" i="6"/>
  <c r="C77" i="6"/>
  <c r="B78" i="6"/>
  <c r="C78" i="6"/>
  <c r="B79" i="6"/>
  <c r="C79" i="6"/>
  <c r="B80" i="6"/>
  <c r="C80" i="6"/>
  <c r="B81" i="6"/>
  <c r="C81" i="6"/>
  <c r="B82" i="6"/>
  <c r="C82" i="6"/>
  <c r="B83" i="6"/>
  <c r="C83" i="6"/>
  <c r="B84" i="6"/>
  <c r="C84" i="6"/>
  <c r="B85" i="6"/>
  <c r="C85" i="6"/>
  <c r="B86" i="6"/>
  <c r="C86" i="6"/>
  <c r="B87" i="6"/>
  <c r="C87" i="6"/>
  <c r="B88" i="6"/>
  <c r="C88" i="6"/>
  <c r="B89" i="6"/>
  <c r="C89" i="6"/>
  <c r="B90" i="6"/>
  <c r="C90" i="6"/>
  <c r="B91" i="6"/>
  <c r="C91" i="6"/>
  <c r="B92" i="6"/>
  <c r="C92" i="6"/>
  <c r="B93" i="6"/>
  <c r="C93" i="6"/>
  <c r="B94" i="6"/>
  <c r="C94" i="6"/>
  <c r="B95" i="6"/>
  <c r="C95" i="6"/>
  <c r="B96" i="6"/>
  <c r="C96" i="6"/>
  <c r="B97" i="6"/>
  <c r="C97" i="6"/>
  <c r="B98" i="6"/>
  <c r="C98" i="6"/>
  <c r="B99" i="6"/>
  <c r="C99" i="6"/>
  <c r="B100" i="6"/>
  <c r="C100" i="6"/>
  <c r="J8" i="6"/>
  <c r="K8" i="6"/>
  <c r="J9" i="6"/>
  <c r="K9" i="6"/>
  <c r="J10" i="6"/>
  <c r="K10" i="6"/>
  <c r="J11" i="6"/>
  <c r="K11" i="6"/>
  <c r="J12" i="6"/>
  <c r="K12" i="6"/>
  <c r="J13" i="6"/>
  <c r="K13" i="6"/>
  <c r="J14" i="6"/>
  <c r="K14" i="6"/>
  <c r="J15" i="6"/>
  <c r="K15" i="6"/>
  <c r="J16" i="6"/>
  <c r="K16" i="6"/>
  <c r="J17" i="6"/>
  <c r="K17" i="6"/>
  <c r="N14" i="6"/>
  <c r="O14" i="6"/>
  <c r="N15" i="6"/>
  <c r="O15" i="6"/>
  <c r="N16" i="6"/>
  <c r="O16" i="6"/>
  <c r="N17" i="6"/>
  <c r="O17" i="6"/>
  <c r="N18" i="6"/>
  <c r="O18" i="6"/>
  <c r="N19" i="6"/>
  <c r="O19" i="6"/>
  <c r="Q7" i="6"/>
  <c r="Q8" i="6"/>
  <c r="Q9" i="6"/>
  <c r="Q10" i="6"/>
  <c r="Q11" i="6"/>
  <c r="Q12" i="6"/>
  <c r="Q13" i="6"/>
  <c r="Q14" i="6"/>
  <c r="Q15" i="6"/>
  <c r="Q16" i="6"/>
  <c r="J84" i="4" l="1"/>
  <c r="J85" i="4" s="1"/>
  <c r="G101" i="4"/>
  <c r="O66" i="4"/>
  <c r="O67" i="4"/>
  <c r="O68" i="4"/>
  <c r="F117" i="4"/>
  <c r="G118" i="4"/>
  <c r="G119" i="4" s="1"/>
  <c r="O116" i="4"/>
  <c r="L117" i="4"/>
  <c r="J118" i="4"/>
  <c r="K117" i="4"/>
  <c r="K132" i="4"/>
  <c r="L101" i="4"/>
  <c r="O100" i="4"/>
  <c r="J100" i="4"/>
  <c r="K100" i="4"/>
  <c r="F102" i="4"/>
  <c r="G102" i="4"/>
  <c r="L71" i="4"/>
  <c r="L72" i="4" s="1"/>
  <c r="L73" i="4" s="1"/>
  <c r="O70" i="4"/>
  <c r="O65" i="4"/>
  <c r="K87" i="4"/>
  <c r="O69" i="4"/>
  <c r="O71" i="4"/>
  <c r="D64" i="4"/>
  <c r="D65" i="4" s="1"/>
  <c r="D66" i="4" s="1"/>
  <c r="D67" i="4" s="1"/>
  <c r="D68" i="4" s="1"/>
  <c r="D69" i="4" s="1"/>
  <c r="D70" i="4" s="1"/>
  <c r="D71" i="4" s="1"/>
  <c r="D72" i="4" s="1"/>
  <c r="D73" i="4" s="1"/>
  <c r="D74" i="4" s="1"/>
  <c r="D75" i="4" s="1"/>
  <c r="D76" i="4" s="1"/>
  <c r="D77" i="4" s="1"/>
  <c r="D78" i="4" s="1"/>
  <c r="D79" i="4" s="1"/>
  <c r="D80" i="4" s="1"/>
  <c r="D81" i="4" s="1"/>
  <c r="D82" i="4" s="1"/>
  <c r="D83" i="4" s="1"/>
  <c r="D84" i="4" s="1"/>
  <c r="D85" i="4" s="1"/>
  <c r="D86" i="4" s="1"/>
  <c r="D87" i="4" s="1"/>
  <c r="D88" i="4" s="1"/>
  <c r="D89" i="4" s="1"/>
  <c r="D90" i="4" s="1"/>
  <c r="D91" i="4" s="1"/>
  <c r="D92" i="4" s="1"/>
  <c r="D93" i="4" s="1"/>
  <c r="D94" i="4" s="1"/>
  <c r="D95" i="4" s="1"/>
  <c r="D96" i="4" s="1"/>
  <c r="G64" i="4"/>
  <c r="R47" i="4"/>
  <c r="R48" i="4"/>
  <c r="R49" i="4"/>
  <c r="R50" i="4"/>
  <c r="R51" i="4"/>
  <c r="R52" i="4"/>
  <c r="R53" i="4"/>
  <c r="R54" i="4"/>
  <c r="R55" i="4"/>
  <c r="R56" i="4"/>
  <c r="R57" i="4"/>
  <c r="R58" i="4"/>
  <c r="R59" i="4"/>
  <c r="R60" i="4"/>
  <c r="R61" i="4"/>
  <c r="R62" i="4"/>
  <c r="R46" i="4"/>
  <c r="O46" i="4"/>
  <c r="M47" i="4"/>
  <c r="M48" i="4" s="1"/>
  <c r="M49" i="4" s="1"/>
  <c r="M50" i="4" s="1"/>
  <c r="M51" i="4" s="1"/>
  <c r="M52" i="4" s="1"/>
  <c r="M53" i="4" s="1"/>
  <c r="M54" i="4" s="1"/>
  <c r="M55" i="4" s="1"/>
  <c r="M56" i="4" s="1"/>
  <c r="M57" i="4" s="1"/>
  <c r="M58" i="4" s="1"/>
  <c r="M59" i="4" s="1"/>
  <c r="M60" i="4" s="1"/>
  <c r="M61" i="4" s="1"/>
  <c r="M62" i="4" s="1"/>
  <c r="N47" i="4"/>
  <c r="N48" i="4" s="1"/>
  <c r="N49" i="4" s="1"/>
  <c r="N50" i="4" s="1"/>
  <c r="N51" i="4" s="1"/>
  <c r="N52" i="4" s="1"/>
  <c r="N53" i="4" s="1"/>
  <c r="N54" i="4" s="1"/>
  <c r="N55" i="4" s="1"/>
  <c r="N56" i="4" s="1"/>
  <c r="N57" i="4" s="1"/>
  <c r="N58" i="4" s="1"/>
  <c r="N59" i="4" s="1"/>
  <c r="N60" i="4" s="1"/>
  <c r="N61" i="4" s="1"/>
  <c r="N62" i="4" s="1"/>
  <c r="F47" i="4"/>
  <c r="G47" i="4"/>
  <c r="G48" i="4" s="1"/>
  <c r="G49" i="4" s="1"/>
  <c r="G50" i="4" s="1"/>
  <c r="G51" i="4" s="1"/>
  <c r="G52" i="4" s="1"/>
  <c r="G53" i="4" s="1"/>
  <c r="G54" i="4" s="1"/>
  <c r="G55" i="4" s="1"/>
  <c r="G56" i="4" s="1"/>
  <c r="G57" i="4" s="1"/>
  <c r="G58" i="4" s="1"/>
  <c r="G59" i="4" s="1"/>
  <c r="G60" i="4" s="1"/>
  <c r="G61" i="4" s="1"/>
  <c r="L47" i="4"/>
  <c r="L48" i="4" s="1"/>
  <c r="D47" i="4"/>
  <c r="D48" i="4" s="1"/>
  <c r="D49" i="4" s="1"/>
  <c r="D50" i="4" s="1"/>
  <c r="D51" i="4" s="1"/>
  <c r="D52" i="4" s="1"/>
  <c r="D53" i="4" s="1"/>
  <c r="D54" i="4" s="1"/>
  <c r="D55" i="4" s="1"/>
  <c r="D56" i="4" s="1"/>
  <c r="D57" i="4" s="1"/>
  <c r="D58" i="4" s="1"/>
  <c r="D59" i="4" s="1"/>
  <c r="D60" i="4" s="1"/>
  <c r="D61" i="4" s="1"/>
  <c r="D62" i="4" s="1"/>
  <c r="Q47" i="4"/>
  <c r="Q48" i="4" s="1"/>
  <c r="Q49" i="4" s="1"/>
  <c r="Q50" i="4" s="1"/>
  <c r="Q51" i="4" s="1"/>
  <c r="Q52" i="4" s="1"/>
  <c r="Q53" i="4" s="1"/>
  <c r="Q54" i="4" s="1"/>
  <c r="Q55" i="4" s="1"/>
  <c r="Q56" i="4" s="1"/>
  <c r="Q57" i="4" s="1"/>
  <c r="Q58" i="4" s="1"/>
  <c r="Q59" i="4" s="1"/>
  <c r="Q60" i="4" s="1"/>
  <c r="Q61" i="4" s="1"/>
  <c r="Q62" i="4" s="1"/>
  <c r="Q63" i="4" s="1"/>
  <c r="Q64" i="4" s="1"/>
  <c r="Q65" i="4" s="1"/>
  <c r="Q66" i="4" s="1"/>
  <c r="Q67" i="4" s="1"/>
  <c r="Q68" i="4" s="1"/>
  <c r="Q69" i="4" s="1"/>
  <c r="Q70" i="4" s="1"/>
  <c r="Q71" i="4" s="1"/>
  <c r="Q72" i="4" s="1"/>
  <c r="Q73" i="4" s="1"/>
  <c r="Q74" i="4" s="1"/>
  <c r="Q75" i="4" s="1"/>
  <c r="Q76" i="4" s="1"/>
  <c r="Q77" i="4" s="1"/>
  <c r="Q78" i="4" s="1"/>
  <c r="Q79" i="4" s="1"/>
  <c r="Q80" i="4" s="1"/>
  <c r="Q81" i="4" s="1"/>
  <c r="Q82" i="4" s="1"/>
  <c r="Q83" i="4" s="1"/>
  <c r="Q84" i="4" s="1"/>
  <c r="Q85" i="4" s="1"/>
  <c r="Q86" i="4" s="1"/>
  <c r="Q87" i="4" s="1"/>
  <c r="Q88" i="4" s="1"/>
  <c r="Q89" i="4" s="1"/>
  <c r="Q90" i="4" s="1"/>
  <c r="Q91" i="4" s="1"/>
  <c r="Q92" i="4" s="1"/>
  <c r="Q93" i="4" s="1"/>
  <c r="Q94" i="4" s="1"/>
  <c r="Q95" i="4" s="1"/>
  <c r="Q96" i="4" s="1"/>
  <c r="Q98" i="4" s="1"/>
  <c r="Q99" i="4" s="1"/>
  <c r="Q100" i="4" s="1"/>
  <c r="Q101" i="4" s="1"/>
  <c r="Q102" i="4" s="1"/>
  <c r="Q103" i="4" s="1"/>
  <c r="Q104" i="4" s="1"/>
  <c r="Q105" i="4" s="1"/>
  <c r="Q106" i="4" s="1"/>
  <c r="Q107" i="4" s="1"/>
  <c r="Q108" i="4" s="1"/>
  <c r="Q109" i="4" s="1"/>
  <c r="Q110" i="4" s="1"/>
  <c r="Q111" i="4" s="1"/>
  <c r="Q112" i="4" s="1"/>
  <c r="Q113" i="4" s="1"/>
  <c r="Q114" i="4" s="1"/>
  <c r="Q115" i="4" s="1"/>
  <c r="Q116" i="4" s="1"/>
  <c r="Q117" i="4" s="1"/>
  <c r="Q118" i="4" s="1"/>
  <c r="Q119" i="4" s="1"/>
  <c r="Q120" i="4" s="1"/>
  <c r="Q121" i="4" s="1"/>
  <c r="Q122" i="4" s="1"/>
  <c r="Q123" i="4" s="1"/>
  <c r="Q124" i="4" s="1"/>
  <c r="Q125" i="4" s="1"/>
  <c r="Q126" i="4" s="1"/>
  <c r="Q127" i="4" s="1"/>
  <c r="Q128" i="4" s="1"/>
  <c r="Q129" i="4" s="1"/>
  <c r="Q130" i="4" s="1"/>
  <c r="Q132" i="4" s="1"/>
  <c r="Q133" i="4" s="1"/>
  <c r="Q134" i="4" s="1"/>
  <c r="Q135" i="4" s="1"/>
  <c r="Q136" i="4" s="1"/>
  <c r="Q137" i="4" s="1"/>
  <c r="Q138" i="4" s="1"/>
  <c r="Q139" i="4" s="1"/>
  <c r="Q140" i="4" s="1"/>
  <c r="Q141" i="4" s="1"/>
  <c r="Q142" i="4" s="1"/>
  <c r="Q143" i="4" s="1"/>
  <c r="Q144" i="4" s="1"/>
  <c r="Q145" i="4" s="1"/>
  <c r="Q146" i="4" s="1"/>
  <c r="Q147" i="4" s="1"/>
  <c r="Q150" i="4" s="1"/>
  <c r="Q151" i="4" s="1"/>
  <c r="Q152" i="4" s="1"/>
  <c r="Q153" i="4" s="1"/>
  <c r="Q154" i="4" s="1"/>
  <c r="Q155" i="4" s="1"/>
  <c r="Q156" i="4" s="1"/>
  <c r="Q157" i="4" s="1"/>
  <c r="Q158" i="4" s="1"/>
  <c r="Q159" i="4" s="1"/>
  <c r="Q160" i="4" s="1"/>
  <c r="Q161" i="4" s="1"/>
  <c r="Q162" i="4" s="1"/>
  <c r="Q163" i="4" s="1"/>
  <c r="Q164" i="4" s="1"/>
  <c r="Q165" i="4" s="1"/>
  <c r="Q166" i="4" s="1"/>
  <c r="Q167" i="4" s="1"/>
  <c r="Q168" i="4" s="1"/>
  <c r="Q169" i="4" s="1"/>
  <c r="Q170" i="4" s="1"/>
  <c r="Q171" i="4" s="1"/>
  <c r="Q172" i="4" s="1"/>
  <c r="Q173" i="4" s="1"/>
  <c r="Q174" i="4" s="1"/>
  <c r="Q175" i="4" s="1"/>
  <c r="Q176" i="4" s="1"/>
  <c r="Q177" i="4" s="1"/>
  <c r="Q178" i="4" s="1"/>
  <c r="Q179" i="4" s="1"/>
  <c r="Q180" i="4" s="1"/>
  <c r="Q181" i="4" s="1"/>
  <c r="Q182" i="4" s="1"/>
  <c r="Q183" i="4" s="1"/>
  <c r="Q184" i="4" s="1"/>
  <c r="Q185" i="4" s="1"/>
  <c r="Q186" i="4" s="1"/>
  <c r="Q187" i="4" s="1"/>
  <c r="Q188" i="4" s="1"/>
  <c r="Q189" i="4" s="1"/>
  <c r="Q190" i="4" s="1"/>
  <c r="R30" i="4"/>
  <c r="R31" i="4"/>
  <c r="R32" i="4"/>
  <c r="R33" i="4"/>
  <c r="R34" i="4"/>
  <c r="R35" i="4"/>
  <c r="R36" i="4"/>
  <c r="R37" i="4"/>
  <c r="R38" i="4"/>
  <c r="R39" i="4"/>
  <c r="R40" i="4"/>
  <c r="R41" i="4"/>
  <c r="R42" i="4"/>
  <c r="R43" i="4"/>
  <c r="R44" i="4"/>
  <c r="R45" i="4"/>
  <c r="R29" i="4"/>
  <c r="H31" i="4"/>
  <c r="H32" i="4" s="1"/>
  <c r="O30" i="4"/>
  <c r="O31" i="4" s="1"/>
  <c r="O32" i="4" s="1"/>
  <c r="O33" i="4" s="1"/>
  <c r="O34" i="4" s="1"/>
  <c r="O35" i="4" s="1"/>
  <c r="O36" i="4" s="1"/>
  <c r="O37" i="4" s="1"/>
  <c r="O38" i="4" s="1"/>
  <c r="O39" i="4" s="1"/>
  <c r="O40" i="4" s="1"/>
  <c r="O41" i="4" s="1"/>
  <c r="O42" i="4" s="1"/>
  <c r="O43" i="4" s="1"/>
  <c r="O44" i="4" s="1"/>
  <c r="O45" i="4" s="1"/>
  <c r="J31" i="4"/>
  <c r="K31" i="4"/>
  <c r="K32" i="4" s="1"/>
  <c r="D30" i="4"/>
  <c r="D31" i="4" s="1"/>
  <c r="D32" i="4" s="1"/>
  <c r="D33" i="4" s="1"/>
  <c r="D34" i="4" s="1"/>
  <c r="D35" i="4" s="1"/>
  <c r="D36" i="4" s="1"/>
  <c r="D37" i="4" s="1"/>
  <c r="D38" i="4" s="1"/>
  <c r="D39" i="4" s="1"/>
  <c r="D40" i="4" s="1"/>
  <c r="D41" i="4" s="1"/>
  <c r="D42" i="4" s="1"/>
  <c r="D43" i="4" s="1"/>
  <c r="D44" i="4" s="1"/>
  <c r="D45" i="4" s="1"/>
  <c r="F30" i="4"/>
  <c r="F31" i="4" s="1"/>
  <c r="F32" i="4" s="1"/>
  <c r="F33" i="4" s="1"/>
  <c r="F34" i="4" s="1"/>
  <c r="F35" i="4" s="1"/>
  <c r="G30" i="4"/>
  <c r="G31" i="4" s="1"/>
  <c r="G32" i="4" s="1"/>
  <c r="G33" i="4" s="1"/>
  <c r="G34" i="4" s="1"/>
  <c r="G35" i="4" s="1"/>
  <c r="L30" i="4"/>
  <c r="L31" i="4" s="1"/>
  <c r="L32" i="4" s="1"/>
  <c r="L33" i="4" s="1"/>
  <c r="L34" i="4" s="1"/>
  <c r="L35" i="4" s="1"/>
  <c r="L36" i="4" s="1"/>
  <c r="L37" i="4" s="1"/>
  <c r="L38" i="4" s="1"/>
  <c r="L39" i="4" s="1"/>
  <c r="L40" i="4" s="1"/>
  <c r="L41" i="4" s="1"/>
  <c r="L42" i="4" s="1"/>
  <c r="L43" i="4" s="1"/>
  <c r="L44" i="4" s="1"/>
  <c r="L45" i="4" s="1"/>
  <c r="N30" i="4"/>
  <c r="N31" i="4" s="1"/>
  <c r="N32" i="4" s="1"/>
  <c r="N33" i="4" s="1"/>
  <c r="N34" i="4" s="1"/>
  <c r="N35" i="4" s="1"/>
  <c r="N36" i="4" s="1"/>
  <c r="N37" i="4" s="1"/>
  <c r="N38" i="4" s="1"/>
  <c r="N39" i="4" s="1"/>
  <c r="N40" i="4" s="1"/>
  <c r="N41" i="4" s="1"/>
  <c r="N42" i="4" s="1"/>
  <c r="N43" i="4" s="1"/>
  <c r="N44" i="4" s="1"/>
  <c r="N45" i="4" s="1"/>
  <c r="M30" i="4"/>
  <c r="M31" i="4" s="1"/>
  <c r="M32" i="4" s="1"/>
  <c r="M33" i="4" s="1"/>
  <c r="M34" i="4" s="1"/>
  <c r="M35" i="4" s="1"/>
  <c r="M36" i="4" s="1"/>
  <c r="M37" i="4" s="1"/>
  <c r="M38" i="4" s="1"/>
  <c r="M39" i="4" s="1"/>
  <c r="M40" i="4" s="1"/>
  <c r="M41" i="4" s="1"/>
  <c r="M42" i="4" s="1"/>
  <c r="M43" i="4" s="1"/>
  <c r="M44" i="4" s="1"/>
  <c r="M45" i="4" s="1"/>
  <c r="H14" i="4"/>
  <c r="H15" i="4" s="1"/>
  <c r="H16" i="4" s="1"/>
  <c r="H17" i="4" s="1"/>
  <c r="H18" i="4" s="1"/>
  <c r="H19" i="4" s="1"/>
  <c r="H20" i="4" s="1"/>
  <c r="H21" i="4" s="1"/>
  <c r="H22" i="4" s="1"/>
  <c r="H23" i="4" s="1"/>
  <c r="H24" i="4" s="1"/>
  <c r="H25" i="4" s="1"/>
  <c r="H26" i="4" s="1"/>
  <c r="H27" i="4" s="1"/>
  <c r="H28" i="4" s="1"/>
  <c r="R12" i="4"/>
  <c r="R13" i="4"/>
  <c r="R15" i="4"/>
  <c r="R16" i="4"/>
  <c r="R17" i="4"/>
  <c r="R18" i="4"/>
  <c r="R19" i="4"/>
  <c r="R20" i="4"/>
  <c r="R21" i="4"/>
  <c r="R22" i="4"/>
  <c r="R23" i="4"/>
  <c r="R24" i="4"/>
  <c r="R25" i="4"/>
  <c r="R26" i="4"/>
  <c r="R27" i="4"/>
  <c r="R28" i="4"/>
  <c r="R14" i="4"/>
  <c r="O12" i="4"/>
  <c r="O13" i="4"/>
  <c r="D13" i="4"/>
  <c r="D14" i="4" s="1"/>
  <c r="D15" i="4" s="1"/>
  <c r="D16" i="4" s="1"/>
  <c r="D17" i="4" s="1"/>
  <c r="D18" i="4" s="1"/>
  <c r="D19" i="4" s="1"/>
  <c r="D20" i="4" s="1"/>
  <c r="D21" i="4" s="1"/>
  <c r="D22" i="4" s="1"/>
  <c r="D23" i="4" s="1"/>
  <c r="D24" i="4" s="1"/>
  <c r="D25" i="4" s="1"/>
  <c r="D26" i="4" s="1"/>
  <c r="D27" i="4" s="1"/>
  <c r="D28" i="4" s="1"/>
  <c r="C13" i="4"/>
  <c r="C14" i="4" s="1"/>
  <c r="C15" i="4" s="1"/>
  <c r="C16" i="4" s="1"/>
  <c r="C17" i="4" s="1"/>
  <c r="C18" i="4" s="1"/>
  <c r="C19" i="4" s="1"/>
  <c r="C20" i="4" s="1"/>
  <c r="C21" i="4" s="1"/>
  <c r="C22" i="4" s="1"/>
  <c r="C23" i="4" s="1"/>
  <c r="C24" i="4" s="1"/>
  <c r="C25" i="4" s="1"/>
  <c r="C26" i="4" s="1"/>
  <c r="C27" i="4" s="1"/>
  <c r="C28" i="4" s="1"/>
  <c r="C29" i="4" s="1"/>
  <c r="C30" i="4" s="1"/>
  <c r="C31" i="4" s="1"/>
  <c r="C32" i="4" s="1"/>
  <c r="C33" i="4" s="1"/>
  <c r="C34" i="4" s="1"/>
  <c r="C35" i="4" s="1"/>
  <c r="C36" i="4" s="1"/>
  <c r="C37" i="4" s="1"/>
  <c r="C38" i="4" s="1"/>
  <c r="C39" i="4" s="1"/>
  <c r="C40" i="4" s="1"/>
  <c r="C41" i="4" s="1"/>
  <c r="C42" i="4" s="1"/>
  <c r="C43" i="4" s="1"/>
  <c r="C44" i="4" s="1"/>
  <c r="C45" i="4" s="1"/>
  <c r="C46" i="4" s="1"/>
  <c r="C47" i="4" s="1"/>
  <c r="C48" i="4" s="1"/>
  <c r="C49" i="4" s="1"/>
  <c r="C50" i="4" s="1"/>
  <c r="C51" i="4" s="1"/>
  <c r="C52" i="4" s="1"/>
  <c r="C53" i="4" s="1"/>
  <c r="C54" i="4" s="1"/>
  <c r="C55" i="4" s="1"/>
  <c r="C56" i="4" s="1"/>
  <c r="C57" i="4" s="1"/>
  <c r="C58" i="4" s="1"/>
  <c r="C59" i="4" s="1"/>
  <c r="C60" i="4" s="1"/>
  <c r="C61" i="4" s="1"/>
  <c r="C62" i="4" s="1"/>
  <c r="C63" i="4" s="1"/>
  <c r="C64" i="4" s="1"/>
  <c r="C65" i="4" s="1"/>
  <c r="C66" i="4" s="1"/>
  <c r="C67" i="4" s="1"/>
  <c r="C68" i="4" s="1"/>
  <c r="C69" i="4" s="1"/>
  <c r="C70" i="4" s="1"/>
  <c r="C71" i="4" s="1"/>
  <c r="C72" i="4" s="1"/>
  <c r="C73" i="4" s="1"/>
  <c r="C74" i="4" s="1"/>
  <c r="C75" i="4" s="1"/>
  <c r="C76" i="4" s="1"/>
  <c r="C77" i="4" s="1"/>
  <c r="C78" i="4" s="1"/>
  <c r="C79" i="4" s="1"/>
  <c r="C80" i="4" s="1"/>
  <c r="C81" i="4" s="1"/>
  <c r="C82" i="4" s="1"/>
  <c r="C83" i="4" s="1"/>
  <c r="C84" i="4" s="1"/>
  <c r="C85" i="4" s="1"/>
  <c r="C86" i="4" s="1"/>
  <c r="C87" i="4" s="1"/>
  <c r="C88" i="4" s="1"/>
  <c r="C89" i="4" s="1"/>
  <c r="C90" i="4" s="1"/>
  <c r="C91" i="4" s="1"/>
  <c r="C92" i="4" s="1"/>
  <c r="C93" i="4" s="1"/>
  <c r="C94" i="4" s="1"/>
  <c r="C95" i="4" s="1"/>
  <c r="C96" i="4" s="1"/>
  <c r="C97" i="4" s="1"/>
  <c r="C98" i="4" s="1"/>
  <c r="C99" i="4" s="1"/>
  <c r="C100" i="4" s="1"/>
  <c r="C101" i="4" s="1"/>
  <c r="C102" i="4" s="1"/>
  <c r="C103" i="4" s="1"/>
  <c r="C104" i="4" s="1"/>
  <c r="C105" i="4" s="1"/>
  <c r="C106" i="4" s="1"/>
  <c r="C107" i="4" s="1"/>
  <c r="C108" i="4" s="1"/>
  <c r="C109" i="4" s="1"/>
  <c r="C110" i="4" s="1"/>
  <c r="C111" i="4" s="1"/>
  <c r="C112" i="4" s="1"/>
  <c r="C113" i="4" s="1"/>
  <c r="C114" i="4" s="1"/>
  <c r="C115" i="4" s="1"/>
  <c r="C116" i="4" s="1"/>
  <c r="C117" i="4" s="1"/>
  <c r="C118" i="4" s="1"/>
  <c r="C119" i="4" s="1"/>
  <c r="C120" i="4" s="1"/>
  <c r="C121" i="4" s="1"/>
  <c r="C122" i="4" s="1"/>
  <c r="C123" i="4" s="1"/>
  <c r="C124" i="4" s="1"/>
  <c r="C125" i="4" s="1"/>
  <c r="C126" i="4" s="1"/>
  <c r="C127" i="4" s="1"/>
  <c r="C128" i="4" s="1"/>
  <c r="C129" i="4" s="1"/>
  <c r="C130" i="4" s="1"/>
  <c r="C131" i="4" s="1"/>
  <c r="C132" i="4" s="1"/>
  <c r="C133" i="4" s="1"/>
  <c r="C134" i="4" s="1"/>
  <c r="C135" i="4" s="1"/>
  <c r="C136" i="4" s="1"/>
  <c r="C137" i="4" s="1"/>
  <c r="C138" i="4" s="1"/>
  <c r="C139" i="4" s="1"/>
  <c r="C140" i="4" s="1"/>
  <c r="C141" i="4" s="1"/>
  <c r="C142" i="4" s="1"/>
  <c r="C143" i="4" s="1"/>
  <c r="C144" i="4" s="1"/>
  <c r="C145" i="4" s="1"/>
  <c r="C146" i="4" s="1"/>
  <c r="C147" i="4" s="1"/>
  <c r="C148" i="4" s="1"/>
  <c r="C149" i="4" s="1"/>
  <c r="C150" i="4" s="1"/>
  <c r="C151" i="4" s="1"/>
  <c r="C152" i="4" s="1"/>
  <c r="C153" i="4" s="1"/>
  <c r="C154" i="4" s="1"/>
  <c r="C155" i="4" s="1"/>
  <c r="C156" i="4" s="1"/>
  <c r="C157" i="4" s="1"/>
  <c r="C158" i="4" s="1"/>
  <c r="C159" i="4" s="1"/>
  <c r="C160" i="4" s="1"/>
  <c r="C161" i="4" s="1"/>
  <c r="C162" i="4" s="1"/>
  <c r="C163" i="4" s="1"/>
  <c r="C164" i="4" s="1"/>
  <c r="C165" i="4" s="1"/>
  <c r="C166" i="4" s="1"/>
  <c r="C167" i="4" s="1"/>
  <c r="C168" i="4" s="1"/>
  <c r="C169" i="4" s="1"/>
  <c r="C170" i="4" s="1"/>
  <c r="C171" i="4" s="1"/>
  <c r="C172" i="4" s="1"/>
  <c r="C173" i="4" s="1"/>
  <c r="C174" i="4" s="1"/>
  <c r="C175" i="4" s="1"/>
  <c r="C176" i="4" s="1"/>
  <c r="C177" i="4" s="1"/>
  <c r="C178" i="4" s="1"/>
  <c r="C179" i="4" s="1"/>
  <c r="C180" i="4" s="1"/>
  <c r="C181" i="4" s="1"/>
  <c r="C182" i="4" s="1"/>
  <c r="C183" i="4" s="1"/>
  <c r="C184" i="4" s="1"/>
  <c r="C185" i="4" s="1"/>
  <c r="C186" i="4" s="1"/>
  <c r="C187" i="4" s="1"/>
  <c r="C188" i="4" s="1"/>
  <c r="C189" i="4" s="1"/>
  <c r="C190" i="4" s="1"/>
  <c r="B13" i="4"/>
  <c r="B14" i="4" s="1"/>
  <c r="B15" i="4" s="1"/>
  <c r="B16" i="4" s="1"/>
  <c r="B17" i="4" s="1"/>
  <c r="B18" i="4" s="1"/>
  <c r="B19" i="4" s="1"/>
  <c r="B20" i="4" s="1"/>
  <c r="B21" i="4" s="1"/>
  <c r="B22" i="4" s="1"/>
  <c r="B23" i="4" s="1"/>
  <c r="B24" i="4" s="1"/>
  <c r="B25" i="4" s="1"/>
  <c r="B26" i="4" s="1"/>
  <c r="B27" i="4" s="1"/>
  <c r="B28" i="4" s="1"/>
  <c r="B29" i="4" s="1"/>
  <c r="B30" i="4" s="1"/>
  <c r="F13" i="4"/>
  <c r="F14" i="4" s="1"/>
  <c r="F15" i="4" s="1"/>
  <c r="F16" i="4" s="1"/>
  <c r="F17" i="4" s="1"/>
  <c r="F18" i="4" s="1"/>
  <c r="F19" i="4" s="1"/>
  <c r="F20" i="4" s="1"/>
  <c r="F21" i="4" s="1"/>
  <c r="F22" i="4" s="1"/>
  <c r="F23" i="4" s="1"/>
  <c r="F24" i="4" s="1"/>
  <c r="F25" i="4" s="1"/>
  <c r="F26" i="4" s="1"/>
  <c r="F27" i="4" s="1"/>
  <c r="F28" i="4" s="1"/>
  <c r="G13" i="4"/>
  <c r="G14" i="4" s="1"/>
  <c r="G15" i="4" s="1"/>
  <c r="G16" i="4" s="1"/>
  <c r="G17" i="4" s="1"/>
  <c r="G18" i="4" s="1"/>
  <c r="G19" i="4" s="1"/>
  <c r="G20" i="4" s="1"/>
  <c r="G21" i="4" s="1"/>
  <c r="G22" i="4" s="1"/>
  <c r="G23" i="4" s="1"/>
  <c r="G24" i="4" s="1"/>
  <c r="G25" i="4" s="1"/>
  <c r="G26" i="4" s="1"/>
  <c r="G27" i="4" s="1"/>
  <c r="G28" i="4" s="1"/>
  <c r="N14" i="4"/>
  <c r="N15" i="4" s="1"/>
  <c r="N16" i="4" s="1"/>
  <c r="N17" i="4" s="1"/>
  <c r="N18" i="4" s="1"/>
  <c r="N19" i="4" s="1"/>
  <c r="N20" i="4" s="1"/>
  <c r="N21" i="4" s="1"/>
  <c r="N22" i="4" s="1"/>
  <c r="N23" i="4" s="1"/>
  <c r="N24" i="4" s="1"/>
  <c r="N25" i="4" s="1"/>
  <c r="N26" i="4" s="1"/>
  <c r="N27" i="4" s="1"/>
  <c r="N28" i="4" s="1"/>
  <c r="M14" i="4"/>
  <c r="M15" i="4" s="1"/>
  <c r="M16" i="4" s="1"/>
  <c r="M17" i="4" s="1"/>
  <c r="M18" i="4" s="1"/>
  <c r="M19" i="4" s="1"/>
  <c r="M20" i="4" s="1"/>
  <c r="M21" i="4" s="1"/>
  <c r="M22" i="4" s="1"/>
  <c r="M23" i="4" s="1"/>
  <c r="M24" i="4" s="1"/>
  <c r="M25" i="4" s="1"/>
  <c r="M26" i="4" s="1"/>
  <c r="M27" i="4" s="1"/>
  <c r="M28" i="4" s="1"/>
  <c r="L14" i="4"/>
  <c r="O14" i="4" s="1"/>
  <c r="O72" i="4" l="1"/>
  <c r="J32" i="4"/>
  <c r="J119" i="4"/>
  <c r="K118" i="4"/>
  <c r="L118" i="4"/>
  <c r="O117" i="4"/>
  <c r="F118" i="4"/>
  <c r="K133" i="4"/>
  <c r="G120" i="4"/>
  <c r="L102" i="4"/>
  <c r="O101" i="4"/>
  <c r="K101" i="4"/>
  <c r="J101" i="4"/>
  <c r="G103" i="4"/>
  <c r="F103" i="4"/>
  <c r="J86" i="4"/>
  <c r="K88" i="4"/>
  <c r="L74" i="4"/>
  <c r="O73" i="4"/>
  <c r="L15" i="4"/>
  <c r="O15" i="4" s="1"/>
  <c r="O48" i="4"/>
  <c r="L49" i="4"/>
  <c r="H33" i="4"/>
  <c r="H34" i="4" s="1"/>
  <c r="H35" i="4" s="1"/>
  <c r="H36" i="4" s="1"/>
  <c r="H37" i="4" s="1"/>
  <c r="H38" i="4" s="1"/>
  <c r="H39" i="4" s="1"/>
  <c r="H40" i="4" s="1"/>
  <c r="H41" i="4" s="1"/>
  <c r="H42" i="4" s="1"/>
  <c r="H43" i="4" s="1"/>
  <c r="H44" i="4" s="1"/>
  <c r="H45" i="4" s="1"/>
  <c r="B31" i="4"/>
  <c r="V30" i="4"/>
  <c r="O47" i="4"/>
  <c r="K33" i="4"/>
  <c r="G65" i="4"/>
  <c r="F48" i="4"/>
  <c r="G62" i="4"/>
  <c r="G36" i="4"/>
  <c r="F36" i="4"/>
  <c r="J33" i="4" l="1"/>
  <c r="F119" i="4"/>
  <c r="K119" i="4"/>
  <c r="L119" i="4"/>
  <c r="O118" i="4"/>
  <c r="J120" i="4"/>
  <c r="K134" i="4"/>
  <c r="G121" i="4"/>
  <c r="L103" i="4"/>
  <c r="O102" i="4"/>
  <c r="J102" i="4"/>
  <c r="K102" i="4"/>
  <c r="F104" i="4"/>
  <c r="G104" i="4"/>
  <c r="K89" i="4"/>
  <c r="J87" i="4"/>
  <c r="L75" i="4"/>
  <c r="O74" i="4"/>
  <c r="L16" i="4"/>
  <c r="O16" i="4" s="1"/>
  <c r="B32" i="4"/>
  <c r="V31" i="4"/>
  <c r="K34" i="4"/>
  <c r="L50" i="4"/>
  <c r="O49" i="4"/>
  <c r="G66" i="4"/>
  <c r="F49" i="4"/>
  <c r="F37" i="4"/>
  <c r="G37" i="4"/>
  <c r="J34" i="4" l="1"/>
  <c r="J121" i="4"/>
  <c r="K120" i="4"/>
  <c r="F120" i="4"/>
  <c r="L120" i="4"/>
  <c r="O119" i="4"/>
  <c r="K135" i="4"/>
  <c r="G122" i="4"/>
  <c r="L104" i="4"/>
  <c r="O103" i="4"/>
  <c r="K103" i="4"/>
  <c r="J103" i="4"/>
  <c r="G105" i="4"/>
  <c r="F105" i="4"/>
  <c r="J88" i="4"/>
  <c r="K90" i="4"/>
  <c r="L76" i="4"/>
  <c r="O75" i="4"/>
  <c r="L17" i="4"/>
  <c r="L18" i="4" s="1"/>
  <c r="K35" i="4"/>
  <c r="L51" i="4"/>
  <c r="O50" i="4"/>
  <c r="V32" i="4"/>
  <c r="B33" i="4"/>
  <c r="G67" i="4"/>
  <c r="F50" i="4"/>
  <c r="G38" i="4"/>
  <c r="F38" i="4"/>
  <c r="J35" i="4" l="1"/>
  <c r="L121" i="4"/>
  <c r="O120" i="4"/>
  <c r="K121" i="4"/>
  <c r="F121" i="4"/>
  <c r="J122" i="4"/>
  <c r="J133" i="4"/>
  <c r="K136" i="4"/>
  <c r="G123" i="4"/>
  <c r="L105" i="4"/>
  <c r="O104" i="4"/>
  <c r="J104" i="4"/>
  <c r="K104" i="4"/>
  <c r="F106" i="4"/>
  <c r="G106" i="4"/>
  <c r="K91" i="4"/>
  <c r="J89" i="4"/>
  <c r="O17" i="4"/>
  <c r="L77" i="4"/>
  <c r="O76" i="4"/>
  <c r="L19" i="4"/>
  <c r="O18" i="4"/>
  <c r="O51" i="4"/>
  <c r="L52" i="4"/>
  <c r="V33" i="4"/>
  <c r="B34" i="4"/>
  <c r="K36" i="4"/>
  <c r="G68" i="4"/>
  <c r="F51" i="4"/>
  <c r="F39" i="4"/>
  <c r="G39" i="4"/>
  <c r="J36" i="4" l="1"/>
  <c r="J123" i="4"/>
  <c r="K122" i="4"/>
  <c r="F122" i="4"/>
  <c r="L122" i="4"/>
  <c r="O121" i="4"/>
  <c r="K137" i="4"/>
  <c r="J134" i="4"/>
  <c r="G124" i="4"/>
  <c r="L106" i="4"/>
  <c r="O105" i="4"/>
  <c r="K105" i="4"/>
  <c r="J105" i="4"/>
  <c r="F107" i="4"/>
  <c r="G107" i="4"/>
  <c r="J90" i="4"/>
  <c r="K92" i="4"/>
  <c r="L78" i="4"/>
  <c r="O77" i="4"/>
  <c r="O52" i="4"/>
  <c r="L53" i="4"/>
  <c r="V34" i="4"/>
  <c r="B35" i="4"/>
  <c r="K37" i="4"/>
  <c r="L20" i="4"/>
  <c r="O19" i="4"/>
  <c r="G69" i="4"/>
  <c r="F52" i="4"/>
  <c r="G40" i="4"/>
  <c r="F40" i="4"/>
  <c r="J37" i="4" l="1"/>
  <c r="L123" i="4"/>
  <c r="O122" i="4"/>
  <c r="K123" i="4"/>
  <c r="F123" i="4"/>
  <c r="J124" i="4"/>
  <c r="K138" i="4"/>
  <c r="J135" i="4"/>
  <c r="G125" i="4"/>
  <c r="L107" i="4"/>
  <c r="O106" i="4"/>
  <c r="J106" i="4"/>
  <c r="K106" i="4"/>
  <c r="F108" i="4"/>
  <c r="G108" i="4"/>
  <c r="K93" i="4"/>
  <c r="J91" i="4"/>
  <c r="L79" i="4"/>
  <c r="O78" i="4"/>
  <c r="K38" i="4"/>
  <c r="L21" i="4"/>
  <c r="O20" i="4"/>
  <c r="B36" i="4"/>
  <c r="V35" i="4"/>
  <c r="O53" i="4"/>
  <c r="L54" i="4"/>
  <c r="G70" i="4"/>
  <c r="F53" i="4"/>
  <c r="F41" i="4"/>
  <c r="G41" i="4"/>
  <c r="J38" i="4" l="1"/>
  <c r="J125" i="4"/>
  <c r="K124" i="4"/>
  <c r="F124" i="4"/>
  <c r="L124" i="4"/>
  <c r="O123" i="4"/>
  <c r="J136" i="4"/>
  <c r="K139" i="4"/>
  <c r="G126" i="4"/>
  <c r="L108" i="4"/>
  <c r="O107" i="4"/>
  <c r="K107" i="4"/>
  <c r="J107" i="4"/>
  <c r="F109" i="4"/>
  <c r="G109" i="4"/>
  <c r="J92" i="4"/>
  <c r="K94" i="4"/>
  <c r="L81" i="4"/>
  <c r="O79" i="4"/>
  <c r="B37" i="4"/>
  <c r="V36" i="4"/>
  <c r="O54" i="4"/>
  <c r="L55" i="4"/>
  <c r="L22" i="4"/>
  <c r="O21" i="4"/>
  <c r="K39" i="4"/>
  <c r="G71" i="4"/>
  <c r="F54" i="4"/>
  <c r="G42" i="4"/>
  <c r="F42" i="4"/>
  <c r="J39" i="4" l="1"/>
  <c r="L125" i="4"/>
  <c r="O124" i="4"/>
  <c r="K125" i="4"/>
  <c r="F125" i="4"/>
  <c r="J126" i="4"/>
  <c r="J137" i="4"/>
  <c r="K140" i="4"/>
  <c r="G127" i="4"/>
  <c r="L109" i="4"/>
  <c r="O108" i="4"/>
  <c r="J108" i="4"/>
  <c r="K108" i="4"/>
  <c r="G110" i="4"/>
  <c r="F110" i="4"/>
  <c r="O81" i="4"/>
  <c r="L82" i="4"/>
  <c r="K95" i="4"/>
  <c r="J93" i="4"/>
  <c r="L23" i="4"/>
  <c r="O22" i="4"/>
  <c r="L56" i="4"/>
  <c r="O55" i="4"/>
  <c r="K40" i="4"/>
  <c r="V37" i="4"/>
  <c r="B38" i="4"/>
  <c r="G72" i="4"/>
  <c r="F55" i="4"/>
  <c r="G43" i="4"/>
  <c r="F43" i="4"/>
  <c r="J40" i="4" l="1"/>
  <c r="J127" i="4"/>
  <c r="K126" i="4"/>
  <c r="F126" i="4"/>
  <c r="L126" i="4"/>
  <c r="O125" i="4"/>
  <c r="K141" i="4"/>
  <c r="J138" i="4"/>
  <c r="G128" i="4"/>
  <c r="L110" i="4"/>
  <c r="O109" i="4"/>
  <c r="K109" i="4"/>
  <c r="J109" i="4"/>
  <c r="F111" i="4"/>
  <c r="G111" i="4"/>
  <c r="L83" i="4"/>
  <c r="O82" i="4"/>
  <c r="J94" i="4"/>
  <c r="K96" i="4"/>
  <c r="O56" i="4"/>
  <c r="L57" i="4"/>
  <c r="K41" i="4"/>
  <c r="V38" i="4"/>
  <c r="B39" i="4"/>
  <c r="L24" i="4"/>
  <c r="O23" i="4"/>
  <c r="G73" i="4"/>
  <c r="F56" i="4"/>
  <c r="F44" i="4"/>
  <c r="G44" i="4"/>
  <c r="J41" i="4" l="1"/>
  <c r="L127" i="4"/>
  <c r="O126" i="4"/>
  <c r="K127" i="4"/>
  <c r="F127" i="4"/>
  <c r="J128" i="4"/>
  <c r="J139" i="4"/>
  <c r="K142" i="4"/>
  <c r="G129" i="4"/>
  <c r="L111" i="4"/>
  <c r="O110" i="4"/>
  <c r="J110" i="4"/>
  <c r="K110" i="4"/>
  <c r="G112" i="4"/>
  <c r="F112" i="4"/>
  <c r="L84" i="4"/>
  <c r="O83" i="4"/>
  <c r="J95" i="4"/>
  <c r="B40" i="4"/>
  <c r="V39" i="4"/>
  <c r="K42" i="4"/>
  <c r="O57" i="4"/>
  <c r="L58" i="4"/>
  <c r="L25" i="4"/>
  <c r="O24" i="4"/>
  <c r="G74" i="4"/>
  <c r="F57" i="4"/>
  <c r="F45" i="4"/>
  <c r="G45" i="4"/>
  <c r="J42" i="4" l="1"/>
  <c r="J129" i="4"/>
  <c r="K128" i="4"/>
  <c r="F128" i="4"/>
  <c r="L128" i="4"/>
  <c r="O127" i="4"/>
  <c r="K143" i="4"/>
  <c r="J140" i="4"/>
  <c r="G130" i="4"/>
  <c r="L112" i="4"/>
  <c r="O111" i="4"/>
  <c r="K111" i="4"/>
  <c r="J111" i="4"/>
  <c r="F113" i="4"/>
  <c r="G113" i="4"/>
  <c r="L85" i="4"/>
  <c r="O84" i="4"/>
  <c r="J96" i="4"/>
  <c r="K43" i="4"/>
  <c r="L26" i="4"/>
  <c r="O25" i="4"/>
  <c r="L59" i="4"/>
  <c r="O58" i="4"/>
  <c r="B41" i="4"/>
  <c r="V40" i="4"/>
  <c r="G75" i="4"/>
  <c r="F58" i="4"/>
  <c r="J43" i="4" l="1"/>
  <c r="L129" i="4"/>
  <c r="O128" i="4"/>
  <c r="K129" i="4"/>
  <c r="F129" i="4"/>
  <c r="J130" i="4"/>
  <c r="K144" i="4"/>
  <c r="J141" i="4"/>
  <c r="F132" i="4"/>
  <c r="L113" i="4"/>
  <c r="O113" i="4" s="1"/>
  <c r="O112" i="4"/>
  <c r="J112" i="4"/>
  <c r="K112" i="4"/>
  <c r="L86" i="4"/>
  <c r="O85" i="4"/>
  <c r="B42" i="4"/>
  <c r="V41" i="4"/>
  <c r="O59" i="4"/>
  <c r="L60" i="4"/>
  <c r="L27" i="4"/>
  <c r="O26" i="4"/>
  <c r="K44" i="4"/>
  <c r="G76" i="4"/>
  <c r="F59" i="4"/>
  <c r="J44" i="4" l="1"/>
  <c r="K130" i="4"/>
  <c r="F130" i="4"/>
  <c r="L130" i="4"/>
  <c r="O129" i="4"/>
  <c r="K145" i="4"/>
  <c r="J142" i="4"/>
  <c r="G132" i="4"/>
  <c r="F133" i="4"/>
  <c r="K113" i="4"/>
  <c r="J113" i="4"/>
  <c r="L87" i="4"/>
  <c r="O86" i="4"/>
  <c r="L28" i="4"/>
  <c r="O28" i="4" s="1"/>
  <c r="O27" i="4"/>
  <c r="L61" i="4"/>
  <c r="O60" i="4"/>
  <c r="K45" i="4"/>
  <c r="V42" i="4"/>
  <c r="B43" i="4"/>
  <c r="G77" i="4"/>
  <c r="F60" i="4"/>
  <c r="J45" i="4" l="1"/>
  <c r="L132" i="4"/>
  <c r="O130" i="4"/>
  <c r="K146" i="4"/>
  <c r="J143" i="4"/>
  <c r="F134" i="4"/>
  <c r="G133" i="4"/>
  <c r="L88" i="4"/>
  <c r="O87" i="4"/>
  <c r="O61" i="4"/>
  <c r="L62" i="4"/>
  <c r="O62" i="4" s="1"/>
  <c r="V43" i="4"/>
  <c r="B44" i="4"/>
  <c r="G78" i="4"/>
  <c r="F61" i="4"/>
  <c r="J46" i="4" l="1"/>
  <c r="L133" i="4"/>
  <c r="O132" i="4"/>
  <c r="K147" i="4"/>
  <c r="J144" i="4"/>
  <c r="G134" i="4"/>
  <c r="F135" i="4"/>
  <c r="L89" i="4"/>
  <c r="O88" i="4"/>
  <c r="K47" i="4"/>
  <c r="B45" i="4"/>
  <c r="V44" i="4"/>
  <c r="G79" i="4"/>
  <c r="F62" i="4"/>
  <c r="J47" i="4" l="1"/>
  <c r="L134" i="4"/>
  <c r="O133" i="4"/>
  <c r="J145" i="4"/>
  <c r="F136" i="4"/>
  <c r="G135" i="4"/>
  <c r="L90" i="4"/>
  <c r="O89" i="4"/>
  <c r="V45" i="4"/>
  <c r="B46" i="4"/>
  <c r="K48" i="4"/>
  <c r="G80" i="4"/>
  <c r="J48" i="4" l="1"/>
  <c r="L135" i="4"/>
  <c r="O134" i="4"/>
  <c r="J146" i="4"/>
  <c r="G136" i="4"/>
  <c r="F137" i="4"/>
  <c r="L91" i="4"/>
  <c r="O90" i="4"/>
  <c r="K49" i="4"/>
  <c r="B47" i="4"/>
  <c r="V46" i="4"/>
  <c r="G81" i="4"/>
  <c r="G82" i="4" s="1"/>
  <c r="F64" i="4"/>
  <c r="Q13" i="4"/>
  <c r="U13" i="4"/>
  <c r="V13" i="4"/>
  <c r="Q14" i="4"/>
  <c r="U14" i="4"/>
  <c r="V14" i="4"/>
  <c r="Q15" i="4"/>
  <c r="U15" i="4"/>
  <c r="V15" i="4"/>
  <c r="Q16" i="4"/>
  <c r="U16" i="4"/>
  <c r="V16" i="4"/>
  <c r="Q17" i="4"/>
  <c r="U17" i="4"/>
  <c r="V17" i="4"/>
  <c r="Q18" i="4"/>
  <c r="U18" i="4"/>
  <c r="V18" i="4"/>
  <c r="Q19" i="4"/>
  <c r="U19" i="4"/>
  <c r="V19" i="4"/>
  <c r="Q20" i="4"/>
  <c r="U20" i="4"/>
  <c r="V20" i="4"/>
  <c r="Q21" i="4"/>
  <c r="U21" i="4"/>
  <c r="V21" i="4"/>
  <c r="Q22" i="4"/>
  <c r="U22" i="4"/>
  <c r="V22" i="4"/>
  <c r="Q23" i="4"/>
  <c r="U23" i="4"/>
  <c r="V23" i="4"/>
  <c r="Q24" i="4"/>
  <c r="U24" i="4"/>
  <c r="V24" i="4"/>
  <c r="Q25" i="4"/>
  <c r="U25" i="4"/>
  <c r="V25" i="4"/>
  <c r="Q26" i="4"/>
  <c r="U26" i="4"/>
  <c r="V26" i="4"/>
  <c r="Q27" i="4"/>
  <c r="U27" i="4"/>
  <c r="V27" i="4"/>
  <c r="Q28" i="4"/>
  <c r="U28" i="4"/>
  <c r="V28" i="4"/>
  <c r="J49" i="4" l="1"/>
  <c r="L136" i="4"/>
  <c r="O135" i="4"/>
  <c r="K150" i="4"/>
  <c r="J147" i="4"/>
  <c r="F138" i="4"/>
  <c r="G137" i="4"/>
  <c r="G83" i="4"/>
  <c r="L92" i="4"/>
  <c r="O91" i="4"/>
  <c r="V47" i="4"/>
  <c r="B48" i="4"/>
  <c r="K50" i="4"/>
  <c r="F65" i="4"/>
  <c r="V12" i="4"/>
  <c r="V29" i="4"/>
  <c r="U29" i="4"/>
  <c r="U30" i="4" s="1"/>
  <c r="U31" i="4" s="1"/>
  <c r="U32" i="4" s="1"/>
  <c r="U33" i="4" s="1"/>
  <c r="U34" i="4" s="1"/>
  <c r="U35" i="4" s="1"/>
  <c r="U36" i="4" s="1"/>
  <c r="U37" i="4" s="1"/>
  <c r="U38" i="4" s="1"/>
  <c r="U39" i="4" s="1"/>
  <c r="U40" i="4" s="1"/>
  <c r="U41" i="4" s="1"/>
  <c r="U42" i="4" s="1"/>
  <c r="U43" i="4" s="1"/>
  <c r="U44" i="4" s="1"/>
  <c r="U45" i="4" s="1"/>
  <c r="U46" i="4" s="1"/>
  <c r="U47" i="4" s="1"/>
  <c r="U48" i="4" s="1"/>
  <c r="U49" i="4" s="1"/>
  <c r="U50" i="4" s="1"/>
  <c r="U51" i="4" s="1"/>
  <c r="U52" i="4" s="1"/>
  <c r="U53" i="4" s="1"/>
  <c r="U54" i="4" s="1"/>
  <c r="U55" i="4" s="1"/>
  <c r="U56" i="4" s="1"/>
  <c r="U57" i="4" s="1"/>
  <c r="U58" i="4" s="1"/>
  <c r="U59" i="4" s="1"/>
  <c r="U60" i="4" s="1"/>
  <c r="U61" i="4" s="1"/>
  <c r="U62" i="4" s="1"/>
  <c r="U63" i="4" s="1"/>
  <c r="U64" i="4" s="1"/>
  <c r="U65" i="4" s="1"/>
  <c r="U66" i="4" s="1"/>
  <c r="U67" i="4" s="1"/>
  <c r="U68" i="4" s="1"/>
  <c r="U69" i="4" s="1"/>
  <c r="U70" i="4" s="1"/>
  <c r="U71" i="4" s="1"/>
  <c r="U72" i="4" s="1"/>
  <c r="U73" i="4" s="1"/>
  <c r="U74" i="4" s="1"/>
  <c r="U75" i="4" s="1"/>
  <c r="U76" i="4" s="1"/>
  <c r="U77" i="4" s="1"/>
  <c r="U78" i="4" s="1"/>
  <c r="U79" i="4" s="1"/>
  <c r="U80" i="4" s="1"/>
  <c r="U81" i="4" s="1"/>
  <c r="U82" i="4" s="1"/>
  <c r="U83" i="4" s="1"/>
  <c r="U84" i="4" s="1"/>
  <c r="U85" i="4" s="1"/>
  <c r="U86" i="4" s="1"/>
  <c r="U87" i="4" s="1"/>
  <c r="U88" i="4" s="1"/>
  <c r="U89" i="4" s="1"/>
  <c r="U90" i="4" s="1"/>
  <c r="U91" i="4" s="1"/>
  <c r="U92" i="4" s="1"/>
  <c r="U93" i="4" s="1"/>
  <c r="U94" i="4" s="1"/>
  <c r="U95" i="4" s="1"/>
  <c r="U96" i="4" s="1"/>
  <c r="U97" i="4" s="1"/>
  <c r="U98" i="4" s="1"/>
  <c r="U99" i="4" s="1"/>
  <c r="U100" i="4" s="1"/>
  <c r="U101" i="4" s="1"/>
  <c r="U102" i="4" s="1"/>
  <c r="U103" i="4" s="1"/>
  <c r="U104" i="4" s="1"/>
  <c r="U105" i="4" s="1"/>
  <c r="U106" i="4" s="1"/>
  <c r="U107" i="4" s="1"/>
  <c r="U108" i="4" s="1"/>
  <c r="U109" i="4" s="1"/>
  <c r="U110" i="4" s="1"/>
  <c r="U111" i="4" s="1"/>
  <c r="U112" i="4" s="1"/>
  <c r="U113" i="4" s="1"/>
  <c r="U114" i="4" s="1"/>
  <c r="U115" i="4" s="1"/>
  <c r="U116" i="4" s="1"/>
  <c r="U117" i="4" s="1"/>
  <c r="U118" i="4" s="1"/>
  <c r="U119" i="4" s="1"/>
  <c r="U120" i="4" s="1"/>
  <c r="U121" i="4" s="1"/>
  <c r="U122" i="4" s="1"/>
  <c r="U123" i="4" s="1"/>
  <c r="U124" i="4" s="1"/>
  <c r="U125" i="4" s="1"/>
  <c r="U126" i="4" s="1"/>
  <c r="U127" i="4" s="1"/>
  <c r="U128" i="4" s="1"/>
  <c r="U129" i="4" s="1"/>
  <c r="U130" i="4" s="1"/>
  <c r="U131" i="4" s="1"/>
  <c r="U132" i="4" s="1"/>
  <c r="U133" i="4" s="1"/>
  <c r="U134" i="4" s="1"/>
  <c r="U135" i="4" s="1"/>
  <c r="U136" i="4" s="1"/>
  <c r="U137" i="4" s="1"/>
  <c r="U138" i="4" s="1"/>
  <c r="U139" i="4" s="1"/>
  <c r="U140" i="4" s="1"/>
  <c r="U141" i="4" s="1"/>
  <c r="U142" i="4" s="1"/>
  <c r="U143" i="4" s="1"/>
  <c r="U144" i="4" s="1"/>
  <c r="U145" i="4" s="1"/>
  <c r="U146" i="4" s="1"/>
  <c r="U147" i="4" s="1"/>
  <c r="U148" i="4" s="1"/>
  <c r="U149" i="4" s="1"/>
  <c r="U150" i="4" s="1"/>
  <c r="U151" i="4" s="1"/>
  <c r="U152" i="4" s="1"/>
  <c r="U153" i="4" s="1"/>
  <c r="U154" i="4" s="1"/>
  <c r="U155" i="4" s="1"/>
  <c r="U156" i="4" s="1"/>
  <c r="U157" i="4" s="1"/>
  <c r="U158" i="4" s="1"/>
  <c r="U159" i="4" s="1"/>
  <c r="U160" i="4" s="1"/>
  <c r="U161" i="4" s="1"/>
  <c r="U162" i="4" s="1"/>
  <c r="U163" i="4" s="1"/>
  <c r="U164" i="4" s="1"/>
  <c r="U165" i="4" s="1"/>
  <c r="U166" i="4" s="1"/>
  <c r="U167" i="4" s="1"/>
  <c r="U168" i="4" s="1"/>
  <c r="U169" i="4" s="1"/>
  <c r="U170" i="4" s="1"/>
  <c r="U171" i="4" s="1"/>
  <c r="U172" i="4" s="1"/>
  <c r="U173" i="4" s="1"/>
  <c r="U174" i="4" s="1"/>
  <c r="U175" i="4" s="1"/>
  <c r="U176" i="4" s="1"/>
  <c r="U177" i="4" s="1"/>
  <c r="U178" i="4" s="1"/>
  <c r="U179" i="4" s="1"/>
  <c r="U180" i="4" s="1"/>
  <c r="U181" i="4" s="1"/>
  <c r="U182" i="4" s="1"/>
  <c r="U183" i="4" s="1"/>
  <c r="U184" i="4" s="1"/>
  <c r="U185" i="4" s="1"/>
  <c r="U186" i="4" s="1"/>
  <c r="U187" i="4" s="1"/>
  <c r="U188" i="4" s="1"/>
  <c r="U189" i="4" s="1"/>
  <c r="U190" i="4" s="1"/>
  <c r="C4" i="6"/>
  <c r="K4" i="6"/>
  <c r="O4" i="6"/>
  <c r="G4" i="6"/>
  <c r="Y82" i="4" s="1"/>
  <c r="Q4" i="6"/>
  <c r="S4" i="6" s="1"/>
  <c r="N5" i="6"/>
  <c r="O5" i="6" s="1"/>
  <c r="J18" i="6"/>
  <c r="J5" i="6"/>
  <c r="J6" i="6" s="1"/>
  <c r="F5" i="6"/>
  <c r="G5" i="6" s="1"/>
  <c r="B5" i="6"/>
  <c r="C5" i="6" s="1"/>
  <c r="X5" i="6"/>
  <c r="X6" i="6"/>
  <c r="X7" i="6"/>
  <c r="X8" i="6"/>
  <c r="X9" i="6"/>
  <c r="X10" i="6"/>
  <c r="X11" i="6"/>
  <c r="X12" i="6"/>
  <c r="X13" i="6"/>
  <c r="X14" i="6"/>
  <c r="X15" i="6"/>
  <c r="X16" i="6"/>
  <c r="X17" i="6"/>
  <c r="X18" i="6"/>
  <c r="X19" i="6"/>
  <c r="X20" i="6"/>
  <c r="X21" i="6"/>
  <c r="X22" i="6"/>
  <c r="X23" i="6"/>
  <c r="X24" i="6"/>
  <c r="X25" i="6"/>
  <c r="X26" i="6"/>
  <c r="X27" i="6"/>
  <c r="X28" i="6"/>
  <c r="X29" i="6"/>
  <c r="X30" i="6"/>
  <c r="X31" i="6"/>
  <c r="X32" i="6"/>
  <c r="X33" i="6"/>
  <c r="X34" i="6"/>
  <c r="X35" i="6"/>
  <c r="X36" i="6"/>
  <c r="X37" i="6"/>
  <c r="X38" i="6"/>
  <c r="X39" i="6"/>
  <c r="X40" i="6"/>
  <c r="X41" i="6"/>
  <c r="X42" i="6"/>
  <c r="X43" i="6"/>
  <c r="X44" i="6"/>
  <c r="X45" i="6"/>
  <c r="X46" i="6"/>
  <c r="X47" i="6"/>
  <c r="X48" i="6"/>
  <c r="X49" i="6"/>
  <c r="X50" i="6"/>
  <c r="X51" i="6"/>
  <c r="X52" i="6"/>
  <c r="X53" i="6"/>
  <c r="X54" i="6"/>
  <c r="X55" i="6"/>
  <c r="X56" i="6"/>
  <c r="X57" i="6"/>
  <c r="X58" i="6"/>
  <c r="X59" i="6"/>
  <c r="X60" i="6"/>
  <c r="X61" i="6"/>
  <c r="X62" i="6"/>
  <c r="X63" i="6"/>
  <c r="X64" i="6"/>
  <c r="X65" i="6"/>
  <c r="X66" i="6"/>
  <c r="X67" i="6"/>
  <c r="X68" i="6"/>
  <c r="X69" i="6"/>
  <c r="X70" i="6"/>
  <c r="X71" i="6"/>
  <c r="X72" i="6"/>
  <c r="X73" i="6"/>
  <c r="X74" i="6"/>
  <c r="X75" i="6"/>
  <c r="X76" i="6"/>
  <c r="X77" i="6"/>
  <c r="X78" i="6"/>
  <c r="X79" i="6"/>
  <c r="X80" i="6"/>
  <c r="X81" i="6"/>
  <c r="X82" i="6"/>
  <c r="X83" i="6"/>
  <c r="X84" i="6"/>
  <c r="X85" i="6"/>
  <c r="X86" i="6"/>
  <c r="X87" i="6"/>
  <c r="X88" i="6"/>
  <c r="X89" i="6"/>
  <c r="X90" i="6"/>
  <c r="X91" i="6"/>
  <c r="X92" i="6"/>
  <c r="X93" i="6"/>
  <c r="X94" i="6"/>
  <c r="X95" i="6"/>
  <c r="X96" i="6"/>
  <c r="X97" i="6"/>
  <c r="X98" i="6"/>
  <c r="X99" i="6"/>
  <c r="X100" i="6"/>
  <c r="X101" i="6"/>
  <c r="X102" i="6"/>
  <c r="X103" i="6"/>
  <c r="X104" i="6"/>
  <c r="X105" i="6"/>
  <c r="X106" i="6"/>
  <c r="X107" i="6"/>
  <c r="X108" i="6"/>
  <c r="X109" i="6"/>
  <c r="X110" i="6"/>
  <c r="X111" i="6"/>
  <c r="X112" i="6"/>
  <c r="X113" i="6"/>
  <c r="X114" i="6"/>
  <c r="X115" i="6"/>
  <c r="X116" i="6"/>
  <c r="X117" i="6"/>
  <c r="X118" i="6"/>
  <c r="X119" i="6"/>
  <c r="X120" i="6"/>
  <c r="X121" i="6"/>
  <c r="X122" i="6"/>
  <c r="X123" i="6"/>
  <c r="X124" i="6"/>
  <c r="X125" i="6"/>
  <c r="X126" i="6"/>
  <c r="X127" i="6"/>
  <c r="X128" i="6"/>
  <c r="X129" i="6"/>
  <c r="X130" i="6"/>
  <c r="X131" i="6"/>
  <c r="X132" i="6"/>
  <c r="X133" i="6"/>
  <c r="X134" i="6"/>
  <c r="X135" i="6"/>
  <c r="X136" i="6"/>
  <c r="X137" i="6"/>
  <c r="X138" i="6"/>
  <c r="X139" i="6"/>
  <c r="X140" i="6"/>
  <c r="X141" i="6"/>
  <c r="X142" i="6"/>
  <c r="X143" i="6"/>
  <c r="X144" i="6"/>
  <c r="X145" i="6"/>
  <c r="X146" i="6"/>
  <c r="X147" i="6"/>
  <c r="X148" i="6"/>
  <c r="X149" i="6"/>
  <c r="X150" i="6"/>
  <c r="X151" i="6"/>
  <c r="X152" i="6"/>
  <c r="X153" i="6"/>
  <c r="X154" i="6"/>
  <c r="X155" i="6"/>
  <c r="X156" i="6"/>
  <c r="X157" i="6"/>
  <c r="X158" i="6"/>
  <c r="X159" i="6"/>
  <c r="X160" i="6"/>
  <c r="X161" i="6"/>
  <c r="X162" i="6"/>
  <c r="X163" i="6"/>
  <c r="X164" i="6"/>
  <c r="X165" i="6"/>
  <c r="X166" i="6"/>
  <c r="X167" i="6"/>
  <c r="X168" i="6"/>
  <c r="X169" i="6"/>
  <c r="X170" i="6"/>
  <c r="X171" i="6"/>
  <c r="X172" i="6"/>
  <c r="X173" i="6"/>
  <c r="X174" i="6"/>
  <c r="X175" i="6"/>
  <c r="X176" i="6"/>
  <c r="X177" i="6"/>
  <c r="X178" i="6"/>
  <c r="X179" i="6"/>
  <c r="X180" i="6"/>
  <c r="X181" i="6"/>
  <c r="X182" i="6"/>
  <c r="X183" i="6"/>
  <c r="X184" i="6"/>
  <c r="X185" i="6"/>
  <c r="X186" i="6"/>
  <c r="X187" i="6"/>
  <c r="X188" i="6"/>
  <c r="X189" i="6"/>
  <c r="X190" i="6"/>
  <c r="X191" i="6"/>
  <c r="X192" i="6"/>
  <c r="X193" i="6"/>
  <c r="X194" i="6"/>
  <c r="X195" i="6"/>
  <c r="X196" i="6"/>
  <c r="X197" i="6"/>
  <c r="X198" i="6"/>
  <c r="X199" i="6"/>
  <c r="X200" i="6"/>
  <c r="X201" i="6"/>
  <c r="X202" i="6"/>
  <c r="X203" i="6"/>
  <c r="X204" i="6"/>
  <c r="X205" i="6"/>
  <c r="X206" i="6"/>
  <c r="X207" i="6"/>
  <c r="X208" i="6"/>
  <c r="X209" i="6"/>
  <c r="X210" i="6"/>
  <c r="X211" i="6"/>
  <c r="X212" i="6"/>
  <c r="X213" i="6"/>
  <c r="X214" i="6"/>
  <c r="X215" i="6"/>
  <c r="X216" i="6"/>
  <c r="X217" i="6"/>
  <c r="X218" i="6"/>
  <c r="X219" i="6"/>
  <c r="X220" i="6"/>
  <c r="X221" i="6"/>
  <c r="X222" i="6"/>
  <c r="X223" i="6"/>
  <c r="X224" i="6"/>
  <c r="X225" i="6"/>
  <c r="X226" i="6"/>
  <c r="X227" i="6"/>
  <c r="X228" i="6"/>
  <c r="X229" i="6"/>
  <c r="X230" i="6"/>
  <c r="X231" i="6"/>
  <c r="X232" i="6"/>
  <c r="X233" i="6"/>
  <c r="X234" i="6"/>
  <c r="X235" i="6"/>
  <c r="X236" i="6"/>
  <c r="X237" i="6"/>
  <c r="X238" i="6"/>
  <c r="X239" i="6"/>
  <c r="X240" i="6"/>
  <c r="X241" i="6"/>
  <c r="X242" i="6"/>
  <c r="X243" i="6"/>
  <c r="X244" i="6"/>
  <c r="X245" i="6"/>
  <c r="X246" i="6"/>
  <c r="X247" i="6"/>
  <c r="X248" i="6"/>
  <c r="X249" i="6"/>
  <c r="X250" i="6"/>
  <c r="X251" i="6"/>
  <c r="X252" i="6"/>
  <c r="X253" i="6"/>
  <c r="X254" i="6"/>
  <c r="X255" i="6"/>
  <c r="X256" i="6"/>
  <c r="X257" i="6"/>
  <c r="X258" i="6"/>
  <c r="X259" i="6"/>
  <c r="X260" i="6"/>
  <c r="X261" i="6"/>
  <c r="X262" i="6"/>
  <c r="X263" i="6"/>
  <c r="X264" i="6"/>
  <c r="X265" i="6"/>
  <c r="X266" i="6"/>
  <c r="X267" i="6"/>
  <c r="X268" i="6"/>
  <c r="X269" i="6"/>
  <c r="X270" i="6"/>
  <c r="X271" i="6"/>
  <c r="X272" i="6"/>
  <c r="X273" i="6"/>
  <c r="X274" i="6"/>
  <c r="X275" i="6"/>
  <c r="X276" i="6"/>
  <c r="X277" i="6"/>
  <c r="X278" i="6"/>
  <c r="X279" i="6"/>
  <c r="X280" i="6"/>
  <c r="X281" i="6"/>
  <c r="X282" i="6"/>
  <c r="X283" i="6"/>
  <c r="X284" i="6"/>
  <c r="X285" i="6"/>
  <c r="X286" i="6"/>
  <c r="X287" i="6"/>
  <c r="X288" i="6"/>
  <c r="X289" i="6"/>
  <c r="X290" i="6"/>
  <c r="X291" i="6"/>
  <c r="X292" i="6"/>
  <c r="X293" i="6"/>
  <c r="X294" i="6"/>
  <c r="X295" i="6"/>
  <c r="X296" i="6"/>
  <c r="X297" i="6"/>
  <c r="X298" i="6"/>
  <c r="X299" i="6"/>
  <c r="X300" i="6"/>
  <c r="X301" i="6"/>
  <c r="X302" i="6"/>
  <c r="X303" i="6"/>
  <c r="X304" i="6"/>
  <c r="X305" i="6"/>
  <c r="X306" i="6"/>
  <c r="X307" i="6"/>
  <c r="X308" i="6"/>
  <c r="X309" i="6"/>
  <c r="X310" i="6"/>
  <c r="X311" i="6"/>
  <c r="X312" i="6"/>
  <c r="X313" i="6"/>
  <c r="X314" i="6"/>
  <c r="X315" i="6"/>
  <c r="X316" i="6"/>
  <c r="X317" i="6"/>
  <c r="X318" i="6"/>
  <c r="X319" i="6"/>
  <c r="X320" i="6"/>
  <c r="X321" i="6"/>
  <c r="X322" i="6"/>
  <c r="X323" i="6"/>
  <c r="X324" i="6"/>
  <c r="X325" i="6"/>
  <c r="X326" i="6"/>
  <c r="X327" i="6"/>
  <c r="X328" i="6"/>
  <c r="X329" i="6"/>
  <c r="X330" i="6"/>
  <c r="X331" i="6"/>
  <c r="X332" i="6"/>
  <c r="X333" i="6"/>
  <c r="X334" i="6"/>
  <c r="X335" i="6"/>
  <c r="X336" i="6"/>
  <c r="X337" i="6"/>
  <c r="X338" i="6"/>
  <c r="X339" i="6"/>
  <c r="X340" i="6"/>
  <c r="X341" i="6"/>
  <c r="X342" i="6"/>
  <c r="X343" i="6"/>
  <c r="X344" i="6"/>
  <c r="X345" i="6"/>
  <c r="X346" i="6"/>
  <c r="X347" i="6"/>
  <c r="X348" i="6"/>
  <c r="X349" i="6"/>
  <c r="X350" i="6"/>
  <c r="X351" i="6"/>
  <c r="X352" i="6"/>
  <c r="X353" i="6"/>
  <c r="X354" i="6"/>
  <c r="X355" i="6"/>
  <c r="X356" i="6"/>
  <c r="X357" i="6"/>
  <c r="X358" i="6"/>
  <c r="X359" i="6"/>
  <c r="X360" i="6"/>
  <c r="X361" i="6"/>
  <c r="X362" i="6"/>
  <c r="X363" i="6"/>
  <c r="X364" i="6"/>
  <c r="X365" i="6"/>
  <c r="X366" i="6"/>
  <c r="X4" i="6"/>
  <c r="Q29" i="4"/>
  <c r="Q30" i="4" s="1"/>
  <c r="Q31" i="4" s="1"/>
  <c r="Q32" i="4" s="1"/>
  <c r="Q33" i="4" s="1"/>
  <c r="Q34" i="4" s="1"/>
  <c r="Q35" i="4" s="1"/>
  <c r="Q36" i="4" s="1"/>
  <c r="Q37" i="4" s="1"/>
  <c r="Q38" i="4" s="1"/>
  <c r="Q39" i="4" s="1"/>
  <c r="Q40" i="4" s="1"/>
  <c r="Q41" i="4" s="1"/>
  <c r="Q42" i="4" s="1"/>
  <c r="Q43" i="4" s="1"/>
  <c r="Q44" i="4" s="1"/>
  <c r="Q45" i="4" s="1"/>
  <c r="X97" i="4" l="1"/>
  <c r="X98" i="4"/>
  <c r="X99" i="4"/>
  <c r="X100" i="4"/>
  <c r="X101" i="4"/>
  <c r="X102" i="4"/>
  <c r="X103" i="4"/>
  <c r="X104" i="4"/>
  <c r="X105" i="4"/>
  <c r="X106" i="4"/>
  <c r="X107" i="4"/>
  <c r="X108" i="4"/>
  <c r="X109" i="4"/>
  <c r="X110" i="4"/>
  <c r="X111" i="4"/>
  <c r="X112" i="4"/>
  <c r="X113" i="4"/>
  <c r="Z114" i="4"/>
  <c r="Z116" i="4"/>
  <c r="Z115" i="4"/>
  <c r="Z82" i="4"/>
  <c r="Z83" i="4"/>
  <c r="Z84" i="4"/>
  <c r="Z64" i="4"/>
  <c r="Z66" i="4"/>
  <c r="Z68" i="4"/>
  <c r="Z70" i="4"/>
  <c r="Z72" i="4"/>
  <c r="Z74" i="4"/>
  <c r="Z76" i="4"/>
  <c r="Z78" i="4"/>
  <c r="Z80" i="4"/>
  <c r="Z117" i="4"/>
  <c r="Z65" i="4"/>
  <c r="Z67" i="4"/>
  <c r="Z69" i="4"/>
  <c r="Z71" i="4"/>
  <c r="Z73" i="4"/>
  <c r="Z75" i="4"/>
  <c r="Z77" i="4"/>
  <c r="Z79" i="4"/>
  <c r="Z81" i="4"/>
  <c r="Z118" i="4"/>
  <c r="Z85" i="4"/>
  <c r="Z119" i="4"/>
  <c r="Z86" i="4"/>
  <c r="Z120" i="4"/>
  <c r="Z87" i="4"/>
  <c r="Z88" i="4"/>
  <c r="Z121" i="4"/>
  <c r="Z122" i="4"/>
  <c r="Z89" i="4"/>
  <c r="Z123" i="4"/>
  <c r="Z90" i="4"/>
  <c r="Z91" i="4"/>
  <c r="Z124" i="4"/>
  <c r="Z125" i="4"/>
  <c r="Z92" i="4"/>
  <c r="Z93" i="4"/>
  <c r="Z126" i="4"/>
  <c r="Z127" i="4"/>
  <c r="Z94" i="4"/>
  <c r="Z95" i="4"/>
  <c r="Z128" i="4"/>
  <c r="Z96" i="4"/>
  <c r="Z129" i="4"/>
  <c r="Z130" i="4"/>
  <c r="AA149" i="4"/>
  <c r="J50" i="4"/>
  <c r="L137" i="4"/>
  <c r="O136" i="4"/>
  <c r="J148" i="4"/>
  <c r="K151" i="4"/>
  <c r="AA150" i="4"/>
  <c r="G138" i="4"/>
  <c r="F139" i="4"/>
  <c r="L93" i="4"/>
  <c r="O92" i="4"/>
  <c r="G84" i="4"/>
  <c r="Y83" i="4"/>
  <c r="K51" i="4"/>
  <c r="V48" i="4"/>
  <c r="B49" i="4"/>
  <c r="Y33" i="4"/>
  <c r="Y32" i="4"/>
  <c r="Y30" i="4"/>
  <c r="Y35" i="4"/>
  <c r="Y34" i="4"/>
  <c r="Y31" i="4"/>
  <c r="Y36" i="4"/>
  <c r="Y37" i="4"/>
  <c r="Y38" i="4"/>
  <c r="Y39" i="4"/>
  <c r="Y40" i="4"/>
  <c r="Y41" i="4"/>
  <c r="Y42" i="4"/>
  <c r="Y43" i="4"/>
  <c r="Y44" i="4"/>
  <c r="Y45" i="4"/>
  <c r="Y64" i="4"/>
  <c r="Y65" i="4"/>
  <c r="Y63" i="4"/>
  <c r="Y66" i="4"/>
  <c r="Y67" i="4"/>
  <c r="Y68" i="4"/>
  <c r="Y69" i="4"/>
  <c r="Y70" i="4"/>
  <c r="Y71" i="4"/>
  <c r="Y72" i="4"/>
  <c r="Y73" i="4"/>
  <c r="Y74" i="4"/>
  <c r="Y75" i="4"/>
  <c r="Y76" i="4"/>
  <c r="Y77" i="4"/>
  <c r="Y78" i="4"/>
  <c r="Y79" i="4"/>
  <c r="Y80" i="4"/>
  <c r="Y13" i="4"/>
  <c r="Y14" i="4"/>
  <c r="Y15" i="4"/>
  <c r="Y16" i="4"/>
  <c r="Y17" i="4"/>
  <c r="Y18" i="4"/>
  <c r="Y19" i="4"/>
  <c r="Y20" i="4"/>
  <c r="Y21" i="4"/>
  <c r="Y22" i="4"/>
  <c r="Y23" i="4"/>
  <c r="Y24" i="4"/>
  <c r="Y25" i="4"/>
  <c r="Y27" i="4"/>
  <c r="Y28" i="4"/>
  <c r="Y26" i="4"/>
  <c r="Z63" i="4"/>
  <c r="Z46" i="4"/>
  <c r="Z30" i="4"/>
  <c r="Z33" i="4"/>
  <c r="Z34" i="4"/>
  <c r="Z32" i="4"/>
  <c r="Z47" i="4"/>
  <c r="Z31" i="4"/>
  <c r="Z35" i="4"/>
  <c r="Z48" i="4"/>
  <c r="Z49" i="4"/>
  <c r="Z36" i="4"/>
  <c r="Z37" i="4"/>
  <c r="Z50" i="4"/>
  <c r="Z38" i="4"/>
  <c r="Z39" i="4"/>
  <c r="Z40" i="4"/>
  <c r="Z41" i="4"/>
  <c r="Z42" i="4"/>
  <c r="Z43" i="4"/>
  <c r="Z44" i="4"/>
  <c r="Z45" i="4"/>
  <c r="X32" i="4"/>
  <c r="X31" i="4"/>
  <c r="X33" i="4"/>
  <c r="X30" i="4"/>
  <c r="X34" i="4"/>
  <c r="X35" i="4"/>
  <c r="X36" i="4"/>
  <c r="X37" i="4"/>
  <c r="X38" i="4"/>
  <c r="X39" i="4"/>
  <c r="X40" i="4"/>
  <c r="X41" i="4"/>
  <c r="X42" i="4"/>
  <c r="X43" i="4"/>
  <c r="X44" i="4"/>
  <c r="X45" i="4"/>
  <c r="B6" i="6"/>
  <c r="X14" i="4"/>
  <c r="X17" i="4"/>
  <c r="X19" i="4"/>
  <c r="X22" i="4"/>
  <c r="X25" i="4"/>
  <c r="X28" i="4"/>
  <c r="X15" i="4"/>
  <c r="X18" i="4"/>
  <c r="X21" i="4"/>
  <c r="X24" i="4"/>
  <c r="X27" i="4"/>
  <c r="X13" i="4"/>
  <c r="X16" i="4"/>
  <c r="X20" i="4"/>
  <c r="X23" i="4"/>
  <c r="X26" i="4"/>
  <c r="Y81" i="4"/>
  <c r="F66" i="4"/>
  <c r="Y29" i="4"/>
  <c r="X12" i="4"/>
  <c r="X29" i="4"/>
  <c r="J7" i="6"/>
  <c r="K7" i="6" s="1"/>
  <c r="K6" i="6"/>
  <c r="Z147" i="4" s="1"/>
  <c r="K5" i="6"/>
  <c r="F6" i="6"/>
  <c r="F7" i="6" s="1"/>
  <c r="U4" i="6"/>
  <c r="Y4" i="6" s="1"/>
  <c r="W12" i="4" s="1"/>
  <c r="Q5" i="6"/>
  <c r="Q6" i="6" s="1"/>
  <c r="N6" i="6"/>
  <c r="U345" i="6"/>
  <c r="Y345" i="6" s="1"/>
  <c r="U266" i="6"/>
  <c r="Y266" i="6" s="1"/>
  <c r="U193" i="6"/>
  <c r="Y193" i="6" s="1"/>
  <c r="U120" i="6"/>
  <c r="Y120" i="6" s="1"/>
  <c r="U303" i="6"/>
  <c r="Y303" i="6" s="1"/>
  <c r="U221" i="6"/>
  <c r="Y221" i="6" s="1"/>
  <c r="U147" i="6"/>
  <c r="Y147" i="6" s="1"/>
  <c r="U74" i="6"/>
  <c r="Y74" i="6" s="1"/>
  <c r="U361" i="6"/>
  <c r="Y361" i="6" s="1"/>
  <c r="U294" i="6"/>
  <c r="Y294" i="6" s="1"/>
  <c r="U211" i="6"/>
  <c r="Y211" i="6" s="1"/>
  <c r="U138" i="6"/>
  <c r="Y138" i="6" s="1"/>
  <c r="U65" i="6"/>
  <c r="Y65" i="6" s="1"/>
  <c r="U313" i="6"/>
  <c r="Y313" i="6" s="1"/>
  <c r="U230" i="6"/>
  <c r="Y230" i="6" s="1"/>
  <c r="U157" i="6"/>
  <c r="Y157" i="6" s="1"/>
  <c r="U83" i="6"/>
  <c r="Y83" i="6" s="1"/>
  <c r="U359" i="6"/>
  <c r="Y359" i="6" s="1"/>
  <c r="U285" i="6"/>
  <c r="Y285" i="6" s="1"/>
  <c r="U202" i="6"/>
  <c r="Y202" i="6" s="1"/>
  <c r="U129" i="6"/>
  <c r="Y129" i="6" s="1"/>
  <c r="U56" i="6"/>
  <c r="Y56" i="6" s="1"/>
  <c r="U343" i="6"/>
  <c r="Y343" i="6" s="1"/>
  <c r="U257" i="6"/>
  <c r="Y257" i="6" s="1"/>
  <c r="U184" i="6"/>
  <c r="Y184" i="6" s="1"/>
  <c r="U111" i="6"/>
  <c r="Y111" i="6" s="1"/>
  <c r="U333" i="6"/>
  <c r="Y333" i="6" s="1"/>
  <c r="U248" i="6"/>
  <c r="Y248" i="6" s="1"/>
  <c r="U175" i="6"/>
  <c r="Y175" i="6" s="1"/>
  <c r="U102" i="6"/>
  <c r="Y102" i="6" s="1"/>
  <c r="U322" i="6"/>
  <c r="Y322" i="6" s="1"/>
  <c r="U239" i="6"/>
  <c r="Y239" i="6" s="1"/>
  <c r="U166" i="6"/>
  <c r="Y166" i="6" s="1"/>
  <c r="U93" i="6"/>
  <c r="Y93" i="6" s="1"/>
  <c r="U47" i="6"/>
  <c r="Y47" i="6" s="1"/>
  <c r="U38" i="6"/>
  <c r="Y38" i="6" s="1"/>
  <c r="U29" i="6"/>
  <c r="Y29" i="6" s="1"/>
  <c r="U364" i="6"/>
  <c r="Y364" i="6" s="1"/>
  <c r="U356" i="6"/>
  <c r="Y356" i="6" s="1"/>
  <c r="U348" i="6"/>
  <c r="Y348" i="6" s="1"/>
  <c r="U340" i="6"/>
  <c r="Y340" i="6" s="1"/>
  <c r="U332" i="6"/>
  <c r="Y332" i="6" s="1"/>
  <c r="U324" i="6"/>
  <c r="Y324" i="6" s="1"/>
  <c r="U316" i="6"/>
  <c r="Y316" i="6" s="1"/>
  <c r="U308" i="6"/>
  <c r="Y308" i="6" s="1"/>
  <c r="U300" i="6"/>
  <c r="Y300" i="6" s="1"/>
  <c r="U292" i="6"/>
  <c r="Y292" i="6" s="1"/>
  <c r="U284" i="6"/>
  <c r="Y284" i="6" s="1"/>
  <c r="U260" i="6"/>
  <c r="Y260" i="6" s="1"/>
  <c r="U252" i="6"/>
  <c r="Y252" i="6" s="1"/>
  <c r="U244" i="6"/>
  <c r="Y244" i="6" s="1"/>
  <c r="U236" i="6"/>
  <c r="Y236" i="6" s="1"/>
  <c r="U228" i="6"/>
  <c r="Y228" i="6" s="1"/>
  <c r="U220" i="6"/>
  <c r="Y220" i="6" s="1"/>
  <c r="U212" i="6"/>
  <c r="Y212" i="6" s="1"/>
  <c r="U204" i="6"/>
  <c r="Y204" i="6" s="1"/>
  <c r="U196" i="6"/>
  <c r="Y196" i="6" s="1"/>
  <c r="U188" i="6"/>
  <c r="Y188" i="6" s="1"/>
  <c r="U180" i="6"/>
  <c r="Y180" i="6" s="1"/>
  <c r="U172" i="6"/>
  <c r="Y172" i="6" s="1"/>
  <c r="U164" i="6"/>
  <c r="Y164" i="6" s="1"/>
  <c r="U156" i="6"/>
  <c r="Y156" i="6" s="1"/>
  <c r="U148" i="6"/>
  <c r="Y148" i="6" s="1"/>
  <c r="U140" i="6"/>
  <c r="Y140" i="6" s="1"/>
  <c r="U132" i="6"/>
  <c r="Y132" i="6" s="1"/>
  <c r="U124" i="6"/>
  <c r="Y124" i="6" s="1"/>
  <c r="U116" i="6"/>
  <c r="Y116" i="6" s="1"/>
  <c r="U108" i="6"/>
  <c r="Y108" i="6" s="1"/>
  <c r="U100" i="6"/>
  <c r="Y100" i="6" s="1"/>
  <c r="U92" i="6"/>
  <c r="Y92" i="6" s="1"/>
  <c r="U84" i="6"/>
  <c r="Y84" i="6" s="1"/>
  <c r="U76" i="6"/>
  <c r="Y76" i="6" s="1"/>
  <c r="U68" i="6"/>
  <c r="Y68" i="6" s="1"/>
  <c r="U60" i="6"/>
  <c r="Y60" i="6" s="1"/>
  <c r="U52" i="6"/>
  <c r="Y52" i="6" s="1"/>
  <c r="U44" i="6"/>
  <c r="Y44" i="6" s="1"/>
  <c r="U36" i="6"/>
  <c r="Y36" i="6" s="1"/>
  <c r="U28" i="6"/>
  <c r="Y28" i="6" s="1"/>
  <c r="U330" i="6"/>
  <c r="Y330" i="6" s="1"/>
  <c r="U321" i="6"/>
  <c r="Y321" i="6" s="1"/>
  <c r="U312" i="6"/>
  <c r="Y312" i="6" s="1"/>
  <c r="U302" i="6"/>
  <c r="Y302" i="6" s="1"/>
  <c r="U293" i="6"/>
  <c r="Y293" i="6" s="1"/>
  <c r="U265" i="6"/>
  <c r="Y265" i="6" s="1"/>
  <c r="U256" i="6"/>
  <c r="Y256" i="6" s="1"/>
  <c r="U247" i="6"/>
  <c r="Y247" i="6" s="1"/>
  <c r="U238" i="6"/>
  <c r="Y238" i="6" s="1"/>
  <c r="U229" i="6"/>
  <c r="Y229" i="6" s="1"/>
  <c r="U219" i="6"/>
  <c r="Y219" i="6" s="1"/>
  <c r="U210" i="6"/>
  <c r="Y210" i="6" s="1"/>
  <c r="U201" i="6"/>
  <c r="Y201" i="6" s="1"/>
  <c r="U192" i="6"/>
  <c r="Y192" i="6" s="1"/>
  <c r="U183" i="6"/>
  <c r="Y183" i="6" s="1"/>
  <c r="U174" i="6"/>
  <c r="Y174" i="6" s="1"/>
  <c r="U165" i="6"/>
  <c r="Y165" i="6" s="1"/>
  <c r="U155" i="6"/>
  <c r="Y155" i="6" s="1"/>
  <c r="U146" i="6"/>
  <c r="Y146" i="6" s="1"/>
  <c r="U137" i="6"/>
  <c r="Y137" i="6" s="1"/>
  <c r="U128" i="6"/>
  <c r="Y128" i="6" s="1"/>
  <c r="U119" i="6"/>
  <c r="Y119" i="6" s="1"/>
  <c r="U110" i="6"/>
  <c r="Y110" i="6" s="1"/>
  <c r="U101" i="6"/>
  <c r="Y101" i="6" s="1"/>
  <c r="U91" i="6"/>
  <c r="Y91" i="6" s="1"/>
  <c r="U82" i="6"/>
  <c r="Y82" i="6" s="1"/>
  <c r="U73" i="6"/>
  <c r="Y73" i="6" s="1"/>
  <c r="U64" i="6"/>
  <c r="Y64" i="6" s="1"/>
  <c r="U55" i="6"/>
  <c r="Y55" i="6" s="1"/>
  <c r="U46" i="6"/>
  <c r="Y46" i="6" s="1"/>
  <c r="U37" i="6"/>
  <c r="Y37" i="6" s="1"/>
  <c r="U27" i="6"/>
  <c r="Y27" i="6" s="1"/>
  <c r="U363" i="6"/>
  <c r="Y363" i="6" s="1"/>
  <c r="U355" i="6"/>
  <c r="Y355" i="6" s="1"/>
  <c r="U347" i="6"/>
  <c r="Y347" i="6" s="1"/>
  <c r="U339" i="6"/>
  <c r="Y339" i="6" s="1"/>
  <c r="U331" i="6"/>
  <c r="Y331" i="6" s="1"/>
  <c r="U307" i="6"/>
  <c r="Y307" i="6" s="1"/>
  <c r="U358" i="6"/>
  <c r="Y358" i="6" s="1"/>
  <c r="U342" i="6"/>
  <c r="Y342" i="6" s="1"/>
  <c r="U329" i="6"/>
  <c r="Y329" i="6" s="1"/>
  <c r="U320" i="6"/>
  <c r="Y320" i="6" s="1"/>
  <c r="U311" i="6"/>
  <c r="Y311" i="6" s="1"/>
  <c r="U301" i="6"/>
  <c r="Y301" i="6" s="1"/>
  <c r="U291" i="6"/>
  <c r="Y291" i="6" s="1"/>
  <c r="U264" i="6"/>
  <c r="Y264" i="6" s="1"/>
  <c r="U255" i="6"/>
  <c r="Y255" i="6" s="1"/>
  <c r="U246" i="6"/>
  <c r="Y246" i="6" s="1"/>
  <c r="U237" i="6"/>
  <c r="Y237" i="6" s="1"/>
  <c r="U227" i="6"/>
  <c r="Y227" i="6" s="1"/>
  <c r="U218" i="6"/>
  <c r="Y218" i="6" s="1"/>
  <c r="U209" i="6"/>
  <c r="Y209" i="6" s="1"/>
  <c r="U200" i="6"/>
  <c r="Y200" i="6" s="1"/>
  <c r="U191" i="6"/>
  <c r="Y191" i="6" s="1"/>
  <c r="U182" i="6"/>
  <c r="Y182" i="6" s="1"/>
  <c r="U173" i="6"/>
  <c r="Y173" i="6" s="1"/>
  <c r="U163" i="6"/>
  <c r="Y163" i="6" s="1"/>
  <c r="U154" i="6"/>
  <c r="Y154" i="6" s="1"/>
  <c r="U145" i="6"/>
  <c r="Y145" i="6" s="1"/>
  <c r="U136" i="6"/>
  <c r="Y136" i="6" s="1"/>
  <c r="U127" i="6"/>
  <c r="Y127" i="6" s="1"/>
  <c r="U118" i="6"/>
  <c r="Y118" i="6" s="1"/>
  <c r="U109" i="6"/>
  <c r="Y109" i="6" s="1"/>
  <c r="U99" i="6"/>
  <c r="Y99" i="6" s="1"/>
  <c r="U90" i="6"/>
  <c r="Y90" i="6" s="1"/>
  <c r="U81" i="6"/>
  <c r="Y81" i="6" s="1"/>
  <c r="U72" i="6"/>
  <c r="Y72" i="6" s="1"/>
  <c r="U63" i="6"/>
  <c r="Y63" i="6" s="1"/>
  <c r="U54" i="6"/>
  <c r="Y54" i="6" s="1"/>
  <c r="U35" i="6"/>
  <c r="Y35" i="6" s="1"/>
  <c r="U26" i="6"/>
  <c r="Y26" i="6" s="1"/>
  <c r="U354" i="6"/>
  <c r="Y354" i="6" s="1"/>
  <c r="U341" i="6"/>
  <c r="Y341" i="6" s="1"/>
  <c r="U328" i="6"/>
  <c r="Y328" i="6" s="1"/>
  <c r="U319" i="6"/>
  <c r="Y319" i="6" s="1"/>
  <c r="U310" i="6"/>
  <c r="Y310" i="6" s="1"/>
  <c r="U299" i="6"/>
  <c r="Y299" i="6" s="1"/>
  <c r="U290" i="6"/>
  <c r="Y290" i="6" s="1"/>
  <c r="U263" i="6"/>
  <c r="Y263" i="6" s="1"/>
  <c r="U254" i="6"/>
  <c r="Y254" i="6" s="1"/>
  <c r="U245" i="6"/>
  <c r="Y245" i="6" s="1"/>
  <c r="U235" i="6"/>
  <c r="Y235" i="6" s="1"/>
  <c r="U226" i="6"/>
  <c r="Y226" i="6" s="1"/>
  <c r="U217" i="6"/>
  <c r="Y217" i="6" s="1"/>
  <c r="U208" i="6"/>
  <c r="Y208" i="6" s="1"/>
  <c r="U199" i="6"/>
  <c r="Y199" i="6" s="1"/>
  <c r="U190" i="6"/>
  <c r="Y190" i="6" s="1"/>
  <c r="U181" i="6"/>
  <c r="Y181" i="6" s="1"/>
  <c r="U171" i="6"/>
  <c r="Y171" i="6" s="1"/>
  <c r="U162" i="6"/>
  <c r="Y162" i="6" s="1"/>
  <c r="U153" i="6"/>
  <c r="Y153" i="6" s="1"/>
  <c r="U144" i="6"/>
  <c r="Y144" i="6" s="1"/>
  <c r="U135" i="6"/>
  <c r="Y135" i="6" s="1"/>
  <c r="U126" i="6"/>
  <c r="Y126" i="6" s="1"/>
  <c r="U117" i="6"/>
  <c r="Y117" i="6" s="1"/>
  <c r="U107" i="6"/>
  <c r="Y107" i="6" s="1"/>
  <c r="U98" i="6"/>
  <c r="Y98" i="6" s="1"/>
  <c r="U89" i="6"/>
  <c r="Y89" i="6" s="1"/>
  <c r="U80" i="6"/>
  <c r="Y80" i="6" s="1"/>
  <c r="U71" i="6"/>
  <c r="Y71" i="6" s="1"/>
  <c r="U62" i="6"/>
  <c r="Y62" i="6" s="1"/>
  <c r="U53" i="6"/>
  <c r="Y53" i="6" s="1"/>
  <c r="U43" i="6"/>
  <c r="Y43" i="6" s="1"/>
  <c r="U34" i="6"/>
  <c r="Y34" i="6" s="1"/>
  <c r="U25" i="6"/>
  <c r="Y25" i="6" s="1"/>
  <c r="U353" i="6"/>
  <c r="Y353" i="6" s="1"/>
  <c r="U338" i="6"/>
  <c r="Y338" i="6" s="1"/>
  <c r="U327" i="6"/>
  <c r="Y327" i="6" s="1"/>
  <c r="U318" i="6"/>
  <c r="Y318" i="6" s="1"/>
  <c r="U309" i="6"/>
  <c r="Y309" i="6" s="1"/>
  <c r="U298" i="6"/>
  <c r="Y298" i="6" s="1"/>
  <c r="U289" i="6"/>
  <c r="Y289" i="6" s="1"/>
  <c r="U262" i="6"/>
  <c r="Y262" i="6" s="1"/>
  <c r="U253" i="6"/>
  <c r="Y253" i="6" s="1"/>
  <c r="U243" i="6"/>
  <c r="Y243" i="6" s="1"/>
  <c r="U234" i="6"/>
  <c r="Y234" i="6" s="1"/>
  <c r="U225" i="6"/>
  <c r="Y225" i="6" s="1"/>
  <c r="U216" i="6"/>
  <c r="Y216" i="6" s="1"/>
  <c r="U207" i="6"/>
  <c r="Y207" i="6" s="1"/>
  <c r="U198" i="6"/>
  <c r="Y198" i="6" s="1"/>
  <c r="U189" i="6"/>
  <c r="Y189" i="6" s="1"/>
  <c r="U179" i="6"/>
  <c r="Y179" i="6" s="1"/>
  <c r="U170" i="6"/>
  <c r="Y170" i="6" s="1"/>
  <c r="U161" i="6"/>
  <c r="Y161" i="6" s="1"/>
  <c r="U152" i="6"/>
  <c r="Y152" i="6" s="1"/>
  <c r="U143" i="6"/>
  <c r="Y143" i="6" s="1"/>
  <c r="U134" i="6"/>
  <c r="Y134" i="6" s="1"/>
  <c r="U125" i="6"/>
  <c r="Y125" i="6" s="1"/>
  <c r="U115" i="6"/>
  <c r="Y115" i="6" s="1"/>
  <c r="U106" i="6"/>
  <c r="Y106" i="6" s="1"/>
  <c r="U97" i="6"/>
  <c r="Y97" i="6" s="1"/>
  <c r="U88" i="6"/>
  <c r="Y88" i="6" s="1"/>
  <c r="U79" i="6"/>
  <c r="Y79" i="6" s="1"/>
  <c r="U70" i="6"/>
  <c r="Y70" i="6" s="1"/>
  <c r="U61" i="6"/>
  <c r="Y61" i="6" s="1"/>
  <c r="U51" i="6"/>
  <c r="Y51" i="6" s="1"/>
  <c r="U42" i="6"/>
  <c r="Y42" i="6" s="1"/>
  <c r="U33" i="6"/>
  <c r="Y33" i="6" s="1"/>
  <c r="U24" i="6"/>
  <c r="Y24" i="6" s="1"/>
  <c r="U360" i="6"/>
  <c r="Y360" i="6" s="1"/>
  <c r="U352" i="6"/>
  <c r="Y352" i="6" s="1"/>
  <c r="U344" i="6"/>
  <c r="Y344" i="6" s="1"/>
  <c r="U336" i="6"/>
  <c r="Y336" i="6" s="1"/>
  <c r="U351" i="6"/>
  <c r="Y351" i="6" s="1"/>
  <c r="U337" i="6"/>
  <c r="Y337" i="6" s="1"/>
  <c r="U326" i="6"/>
  <c r="Y326" i="6" s="1"/>
  <c r="U317" i="6"/>
  <c r="Y317" i="6" s="1"/>
  <c r="U306" i="6"/>
  <c r="Y306" i="6" s="1"/>
  <c r="U297" i="6"/>
  <c r="Y297" i="6" s="1"/>
  <c r="U288" i="6"/>
  <c r="Y288" i="6" s="1"/>
  <c r="U261" i="6"/>
  <c r="Y261" i="6" s="1"/>
  <c r="U251" i="6"/>
  <c r="Y251" i="6" s="1"/>
  <c r="U242" i="6"/>
  <c r="Y242" i="6" s="1"/>
  <c r="U233" i="6"/>
  <c r="Y233" i="6" s="1"/>
  <c r="U224" i="6"/>
  <c r="Y224" i="6" s="1"/>
  <c r="U215" i="6"/>
  <c r="Y215" i="6" s="1"/>
  <c r="U206" i="6"/>
  <c r="Y206" i="6" s="1"/>
  <c r="U197" i="6"/>
  <c r="Y197" i="6" s="1"/>
  <c r="U187" i="6"/>
  <c r="Y187" i="6" s="1"/>
  <c r="U178" i="6"/>
  <c r="Y178" i="6" s="1"/>
  <c r="U169" i="6"/>
  <c r="Y169" i="6" s="1"/>
  <c r="U160" i="6"/>
  <c r="Y160" i="6" s="1"/>
  <c r="U151" i="6"/>
  <c r="Y151" i="6" s="1"/>
  <c r="U142" i="6"/>
  <c r="Y142" i="6" s="1"/>
  <c r="U133" i="6"/>
  <c r="Y133" i="6" s="1"/>
  <c r="U123" i="6"/>
  <c r="Y123" i="6" s="1"/>
  <c r="U114" i="6"/>
  <c r="Y114" i="6" s="1"/>
  <c r="U105" i="6"/>
  <c r="Y105" i="6" s="1"/>
  <c r="U96" i="6"/>
  <c r="Y96" i="6" s="1"/>
  <c r="U87" i="6"/>
  <c r="Y87" i="6" s="1"/>
  <c r="U78" i="6"/>
  <c r="Y78" i="6" s="1"/>
  <c r="U69" i="6"/>
  <c r="Y69" i="6" s="1"/>
  <c r="U59" i="6"/>
  <c r="Y59" i="6" s="1"/>
  <c r="U50" i="6"/>
  <c r="Y50" i="6" s="1"/>
  <c r="U41" i="6"/>
  <c r="Y41" i="6" s="1"/>
  <c r="U32" i="6"/>
  <c r="Y32" i="6" s="1"/>
  <c r="U23" i="6"/>
  <c r="Y23" i="6" s="1"/>
  <c r="U350" i="6"/>
  <c r="Y350" i="6" s="1"/>
  <c r="U335" i="6"/>
  <c r="Y335" i="6" s="1"/>
  <c r="U325" i="6"/>
  <c r="Y325" i="6" s="1"/>
  <c r="U315" i="6"/>
  <c r="Y315" i="6" s="1"/>
  <c r="U305" i="6"/>
  <c r="Y305" i="6" s="1"/>
  <c r="U296" i="6"/>
  <c r="Y296" i="6" s="1"/>
  <c r="U287" i="6"/>
  <c r="Y287" i="6" s="1"/>
  <c r="U259" i="6"/>
  <c r="Y259" i="6" s="1"/>
  <c r="U250" i="6"/>
  <c r="Y250" i="6" s="1"/>
  <c r="U241" i="6"/>
  <c r="Y241" i="6" s="1"/>
  <c r="U232" i="6"/>
  <c r="Y232" i="6" s="1"/>
  <c r="U223" i="6"/>
  <c r="Y223" i="6" s="1"/>
  <c r="U214" i="6"/>
  <c r="Y214" i="6" s="1"/>
  <c r="U205" i="6"/>
  <c r="Y205" i="6" s="1"/>
  <c r="U195" i="6"/>
  <c r="Y195" i="6" s="1"/>
  <c r="U186" i="6"/>
  <c r="Y186" i="6" s="1"/>
  <c r="U177" i="6"/>
  <c r="Y177" i="6" s="1"/>
  <c r="U168" i="6"/>
  <c r="Y168" i="6" s="1"/>
  <c r="U159" i="6"/>
  <c r="Y159" i="6" s="1"/>
  <c r="U150" i="6"/>
  <c r="Y150" i="6" s="1"/>
  <c r="U141" i="6"/>
  <c r="Y141" i="6" s="1"/>
  <c r="U131" i="6"/>
  <c r="Y131" i="6" s="1"/>
  <c r="U122" i="6"/>
  <c r="Y122" i="6" s="1"/>
  <c r="U113" i="6"/>
  <c r="Y113" i="6" s="1"/>
  <c r="U104" i="6"/>
  <c r="Y104" i="6" s="1"/>
  <c r="U95" i="6"/>
  <c r="Y95" i="6" s="1"/>
  <c r="U86" i="6"/>
  <c r="Y86" i="6" s="1"/>
  <c r="U77" i="6"/>
  <c r="Y77" i="6" s="1"/>
  <c r="U67" i="6"/>
  <c r="Y67" i="6" s="1"/>
  <c r="U58" i="6"/>
  <c r="Y58" i="6" s="1"/>
  <c r="U49" i="6"/>
  <c r="Y49" i="6" s="1"/>
  <c r="U40" i="6"/>
  <c r="Y40" i="6" s="1"/>
  <c r="U31" i="6"/>
  <c r="Y31" i="6" s="1"/>
  <c r="U22" i="6"/>
  <c r="Y22" i="6" s="1"/>
  <c r="U362" i="6"/>
  <c r="Y362" i="6" s="1"/>
  <c r="U346" i="6"/>
  <c r="Y346" i="6" s="1"/>
  <c r="U334" i="6"/>
  <c r="Y334" i="6" s="1"/>
  <c r="U323" i="6"/>
  <c r="Y323" i="6" s="1"/>
  <c r="U314" i="6"/>
  <c r="Y314" i="6" s="1"/>
  <c r="U304" i="6"/>
  <c r="Y304" i="6" s="1"/>
  <c r="U295" i="6"/>
  <c r="Y295" i="6" s="1"/>
  <c r="U286" i="6"/>
  <c r="Y286" i="6" s="1"/>
  <c r="U267" i="6"/>
  <c r="Y267" i="6" s="1"/>
  <c r="U258" i="6"/>
  <c r="Y258" i="6" s="1"/>
  <c r="U249" i="6"/>
  <c r="Y249" i="6" s="1"/>
  <c r="U240" i="6"/>
  <c r="Y240" i="6" s="1"/>
  <c r="U231" i="6"/>
  <c r="Y231" i="6" s="1"/>
  <c r="U222" i="6"/>
  <c r="Y222" i="6" s="1"/>
  <c r="U213" i="6"/>
  <c r="Y213" i="6" s="1"/>
  <c r="U203" i="6"/>
  <c r="Y203" i="6" s="1"/>
  <c r="U194" i="6"/>
  <c r="Y194" i="6" s="1"/>
  <c r="U185" i="6"/>
  <c r="Y185" i="6" s="1"/>
  <c r="U176" i="6"/>
  <c r="Y176" i="6" s="1"/>
  <c r="U167" i="6"/>
  <c r="Y167" i="6" s="1"/>
  <c r="U158" i="6"/>
  <c r="Y158" i="6" s="1"/>
  <c r="U149" i="6"/>
  <c r="Y149" i="6" s="1"/>
  <c r="U139" i="6"/>
  <c r="Y139" i="6" s="1"/>
  <c r="U130" i="6"/>
  <c r="Y130" i="6" s="1"/>
  <c r="U121" i="6"/>
  <c r="Y121" i="6" s="1"/>
  <c r="U112" i="6"/>
  <c r="Y112" i="6" s="1"/>
  <c r="U103" i="6"/>
  <c r="Y103" i="6" s="1"/>
  <c r="U94" i="6"/>
  <c r="Y94" i="6" s="1"/>
  <c r="U85" i="6"/>
  <c r="Y85" i="6" s="1"/>
  <c r="U75" i="6"/>
  <c r="Y75" i="6" s="1"/>
  <c r="U66" i="6"/>
  <c r="Y66" i="6" s="1"/>
  <c r="U57" i="6"/>
  <c r="Y57" i="6" s="1"/>
  <c r="U48" i="6"/>
  <c r="Y48" i="6" s="1"/>
  <c r="U39" i="6"/>
  <c r="Y39" i="6" s="1"/>
  <c r="U30" i="6"/>
  <c r="Y30" i="6" s="1"/>
  <c r="U365" i="6"/>
  <c r="Y365" i="6" s="1"/>
  <c r="U357" i="6"/>
  <c r="Y357" i="6" s="1"/>
  <c r="U349" i="6"/>
  <c r="Y349" i="6" s="1"/>
  <c r="AF30" i="4" l="1"/>
  <c r="AD25" i="4"/>
  <c r="AD30" i="4"/>
  <c r="AE30" i="4"/>
  <c r="W148" i="4"/>
  <c r="W190" i="4"/>
  <c r="W189" i="4"/>
  <c r="G7" i="6"/>
  <c r="F8" i="6"/>
  <c r="W131" i="4"/>
  <c r="W97" i="4"/>
  <c r="W187" i="4"/>
  <c r="W186" i="4"/>
  <c r="W185" i="4"/>
  <c r="O6" i="6"/>
  <c r="N7" i="6"/>
  <c r="Z97" i="4"/>
  <c r="Z131" i="4"/>
  <c r="W188" i="4"/>
  <c r="W166" i="4"/>
  <c r="W183" i="4"/>
  <c r="W149" i="4"/>
  <c r="Z98" i="4"/>
  <c r="Z99" i="4"/>
  <c r="Z100" i="4"/>
  <c r="Z101" i="4"/>
  <c r="Z102" i="4"/>
  <c r="Z103" i="4"/>
  <c r="Z132" i="4"/>
  <c r="Z133" i="4"/>
  <c r="Z104" i="4"/>
  <c r="Z105" i="4"/>
  <c r="Z134" i="4"/>
  <c r="Z135" i="4"/>
  <c r="Z106" i="4"/>
  <c r="Z136" i="4"/>
  <c r="Z107" i="4"/>
  <c r="Z137" i="4"/>
  <c r="Z108" i="4"/>
  <c r="Z138" i="4"/>
  <c r="Z109" i="4"/>
  <c r="Z139" i="4"/>
  <c r="Z110" i="4"/>
  <c r="Z111" i="4"/>
  <c r="Z140" i="4"/>
  <c r="Z112" i="4"/>
  <c r="Z141" i="4"/>
  <c r="Z142" i="4"/>
  <c r="Z113" i="4"/>
  <c r="Z143" i="4"/>
  <c r="Z144" i="4"/>
  <c r="Z145" i="4"/>
  <c r="Z146" i="4"/>
  <c r="W184" i="4"/>
  <c r="W114" i="4"/>
  <c r="AD22" i="4"/>
  <c r="AD23" i="4"/>
  <c r="AD16" i="4"/>
  <c r="AD26" i="4"/>
  <c r="AD12" i="4"/>
  <c r="AD20" i="4"/>
  <c r="AD24" i="4"/>
  <c r="AD14" i="4"/>
  <c r="AD13" i="4"/>
  <c r="AD15" i="4"/>
  <c r="AD21" i="4"/>
  <c r="AD18" i="4"/>
  <c r="AD17" i="4"/>
  <c r="AD19" i="4"/>
  <c r="AD28" i="4"/>
  <c r="J51" i="4"/>
  <c r="L138" i="4"/>
  <c r="O137" i="4"/>
  <c r="K152" i="4"/>
  <c r="AA151" i="4"/>
  <c r="Z148" i="4"/>
  <c r="F140" i="4"/>
  <c r="G139" i="4"/>
  <c r="G85" i="4"/>
  <c r="Y84" i="4"/>
  <c r="L94" i="4"/>
  <c r="O93" i="4"/>
  <c r="V49" i="4"/>
  <c r="B50" i="4"/>
  <c r="K52" i="4"/>
  <c r="W80" i="4"/>
  <c r="Z27" i="4"/>
  <c r="Z13" i="4"/>
  <c r="Z14" i="4"/>
  <c r="Z15" i="4"/>
  <c r="Z16" i="4"/>
  <c r="Z17" i="4"/>
  <c r="Z18" i="4"/>
  <c r="Z19" i="4"/>
  <c r="Z20" i="4"/>
  <c r="Z21" i="4"/>
  <c r="Z22" i="4"/>
  <c r="Z23" i="4"/>
  <c r="Z24" i="4"/>
  <c r="Z25" i="4"/>
  <c r="Z28" i="4"/>
  <c r="Z26" i="4"/>
  <c r="W46" i="4"/>
  <c r="W63" i="4"/>
  <c r="B7" i="6"/>
  <c r="C6" i="6"/>
  <c r="F67" i="4"/>
  <c r="G6" i="6"/>
  <c r="AA73" i="4" l="1"/>
  <c r="AA64" i="4"/>
  <c r="AA80" i="4"/>
  <c r="AA89" i="4"/>
  <c r="AA91" i="4"/>
  <c r="AA83" i="4"/>
  <c r="AA75" i="4"/>
  <c r="AA66" i="4"/>
  <c r="AA86" i="4"/>
  <c r="AA94" i="4"/>
  <c r="AA84" i="4"/>
  <c r="AA77" i="4"/>
  <c r="AA68" i="4"/>
  <c r="AA87" i="4"/>
  <c r="AA92" i="4"/>
  <c r="AA63" i="4"/>
  <c r="AA82" i="4"/>
  <c r="AA79" i="4"/>
  <c r="AA70" i="4"/>
  <c r="AA78" i="4"/>
  <c r="AA65" i="4"/>
  <c r="AA81" i="4"/>
  <c r="AA72" i="4"/>
  <c r="AA95" i="4"/>
  <c r="AA67" i="4"/>
  <c r="AA85" i="4"/>
  <c r="AA74" i="4"/>
  <c r="AA90" i="4"/>
  <c r="AA93" i="4"/>
  <c r="AA96" i="4"/>
  <c r="AA69" i="4"/>
  <c r="AA76" i="4"/>
  <c r="AA88" i="4"/>
  <c r="AA71" i="4"/>
  <c r="O7" i="6"/>
  <c r="AA148" i="4" s="1"/>
  <c r="N8" i="6"/>
  <c r="C7" i="6"/>
  <c r="X66" i="4" s="1"/>
  <c r="B8" i="6"/>
  <c r="G8" i="6"/>
  <c r="F9" i="6"/>
  <c r="Y97" i="4"/>
  <c r="Y99" i="4"/>
  <c r="Y98" i="4"/>
  <c r="Y100" i="4"/>
  <c r="Y101" i="4"/>
  <c r="Y102" i="4"/>
  <c r="Y103" i="4"/>
  <c r="Y104" i="4"/>
  <c r="Y105" i="4"/>
  <c r="Y106" i="4"/>
  <c r="Y107" i="4"/>
  <c r="Y108" i="4"/>
  <c r="Y109" i="4"/>
  <c r="Y110" i="4"/>
  <c r="Y111" i="4"/>
  <c r="Y112" i="4"/>
  <c r="Y113" i="4"/>
  <c r="J52" i="4"/>
  <c r="Z51" i="4"/>
  <c r="AG30" i="4"/>
  <c r="AH30" i="4"/>
  <c r="L139" i="4"/>
  <c r="O138" i="4"/>
  <c r="Z149" i="4"/>
  <c r="K153" i="4"/>
  <c r="AA152" i="4"/>
  <c r="G140" i="4"/>
  <c r="F141" i="4"/>
  <c r="G86" i="4"/>
  <c r="Y85" i="4"/>
  <c r="L95" i="4"/>
  <c r="O94" i="4"/>
  <c r="K53" i="4"/>
  <c r="B51" i="4"/>
  <c r="V50" i="4"/>
  <c r="Y51" i="4"/>
  <c r="Y59" i="4"/>
  <c r="Y46" i="4"/>
  <c r="Y57" i="4"/>
  <c r="Y54" i="4"/>
  <c r="Y60" i="4"/>
  <c r="Y58" i="4"/>
  <c r="Y50" i="4"/>
  <c r="Y53" i="4"/>
  <c r="Y55" i="4"/>
  <c r="Y49" i="4"/>
  <c r="Y52" i="4"/>
  <c r="Y47" i="4"/>
  <c r="Y61" i="4"/>
  <c r="Y56" i="4"/>
  <c r="Y48" i="4"/>
  <c r="Y62" i="4"/>
  <c r="X46" i="4"/>
  <c r="X47" i="4"/>
  <c r="X48" i="4"/>
  <c r="X49" i="4"/>
  <c r="X50" i="4"/>
  <c r="X51" i="4"/>
  <c r="X52" i="4"/>
  <c r="X53" i="4"/>
  <c r="X54" i="4"/>
  <c r="X55" i="4"/>
  <c r="X56" i="4"/>
  <c r="X57" i="4"/>
  <c r="X58" i="4"/>
  <c r="X59" i="4"/>
  <c r="X60" i="4"/>
  <c r="X61" i="4"/>
  <c r="X62" i="4"/>
  <c r="F68" i="4"/>
  <c r="X67" i="4"/>
  <c r="Z29" i="4"/>
  <c r="Z12" i="4"/>
  <c r="O8" i="6" l="1"/>
  <c r="N9" i="6"/>
  <c r="X65" i="4"/>
  <c r="X63" i="4"/>
  <c r="G9" i="6"/>
  <c r="F10" i="6"/>
  <c r="G10" i="6" s="1"/>
  <c r="Y115" i="4"/>
  <c r="Y114" i="4"/>
  <c r="Y116" i="4"/>
  <c r="Y117" i="4"/>
  <c r="Y118" i="4"/>
  <c r="Y119" i="4"/>
  <c r="Y120" i="4"/>
  <c r="Y121" i="4"/>
  <c r="Y122" i="4"/>
  <c r="Y123" i="4"/>
  <c r="Y124" i="4"/>
  <c r="Y125" i="4"/>
  <c r="Y126" i="4"/>
  <c r="Y127" i="4"/>
  <c r="Y128" i="4"/>
  <c r="Y129" i="4"/>
  <c r="Y130" i="4"/>
  <c r="X64" i="4"/>
  <c r="C8" i="6"/>
  <c r="B9" i="6"/>
  <c r="J53" i="4"/>
  <c r="Z52" i="4"/>
  <c r="L140" i="4"/>
  <c r="O139" i="4"/>
  <c r="AA153" i="4"/>
  <c r="K154" i="4"/>
  <c r="Z150" i="4"/>
  <c r="J151" i="4"/>
  <c r="F142" i="4"/>
  <c r="Y140" i="4"/>
  <c r="G141" i="4"/>
  <c r="L96" i="4"/>
  <c r="O96" i="4" s="1"/>
  <c r="O95" i="4"/>
  <c r="Y86" i="4"/>
  <c r="G87" i="4"/>
  <c r="K54" i="4"/>
  <c r="V51" i="4"/>
  <c r="B52" i="4"/>
  <c r="F69" i="4"/>
  <c r="X68" i="4"/>
  <c r="O9" i="6" l="1"/>
  <c r="N10" i="6"/>
  <c r="AA12" i="4"/>
  <c r="AA16" i="4"/>
  <c r="AA14" i="4"/>
  <c r="AA19" i="4"/>
  <c r="AA21" i="4"/>
  <c r="AA20" i="4"/>
  <c r="AA18" i="4"/>
  <c r="AA24" i="4"/>
  <c r="AA22" i="4"/>
  <c r="AA17" i="4"/>
  <c r="AA28" i="4"/>
  <c r="AA27" i="4"/>
  <c r="AA15" i="4"/>
  <c r="AA13" i="4"/>
  <c r="AA23" i="4"/>
  <c r="AA26" i="4"/>
  <c r="AA25" i="4"/>
  <c r="Y131" i="4"/>
  <c r="Y132" i="4"/>
  <c r="Y133" i="4"/>
  <c r="Y134" i="4"/>
  <c r="Y135" i="4"/>
  <c r="Y136" i="4"/>
  <c r="Y137" i="4"/>
  <c r="Y138" i="4"/>
  <c r="Y139" i="4"/>
  <c r="B10" i="6"/>
  <c r="C9" i="6"/>
  <c r="J54" i="4"/>
  <c r="Z53" i="4"/>
  <c r="L141" i="4"/>
  <c r="O140" i="4"/>
  <c r="J152" i="4"/>
  <c r="Z151" i="4"/>
  <c r="K155" i="4"/>
  <c r="AA154" i="4"/>
  <c r="Y141" i="4"/>
  <c r="G142" i="4"/>
  <c r="F143" i="4"/>
  <c r="Y87" i="4"/>
  <c r="G88" i="4"/>
  <c r="V52" i="4"/>
  <c r="B53" i="4"/>
  <c r="K55" i="4"/>
  <c r="F70" i="4"/>
  <c r="X69" i="4"/>
  <c r="Y12" i="4"/>
  <c r="N11" i="6" l="1"/>
  <c r="O10" i="6"/>
  <c r="AA39" i="4"/>
  <c r="AA30" i="4"/>
  <c r="AA40" i="4"/>
  <c r="AA32" i="4"/>
  <c r="AA41" i="4"/>
  <c r="AA34" i="4"/>
  <c r="AA42" i="4"/>
  <c r="AA35" i="4"/>
  <c r="AA43" i="4"/>
  <c r="AA33" i="4"/>
  <c r="AA36" i="4"/>
  <c r="AA44" i="4"/>
  <c r="AA31" i="4"/>
  <c r="AA37" i="4"/>
  <c r="AA45" i="4"/>
  <c r="AA38" i="4"/>
  <c r="AA29" i="4"/>
  <c r="X114" i="4"/>
  <c r="X115" i="4"/>
  <c r="X116" i="4"/>
  <c r="X117" i="4"/>
  <c r="X118" i="4"/>
  <c r="X119" i="4"/>
  <c r="X120" i="4"/>
  <c r="X121" i="4"/>
  <c r="X122" i="4"/>
  <c r="X123" i="4"/>
  <c r="X124" i="4"/>
  <c r="X125" i="4"/>
  <c r="X126" i="4"/>
  <c r="X127" i="4"/>
  <c r="X128" i="4"/>
  <c r="X129" i="4"/>
  <c r="X130" i="4"/>
  <c r="C10" i="6"/>
  <c r="X143" i="4" s="1"/>
  <c r="B11" i="6"/>
  <c r="C11" i="6" s="1"/>
  <c r="J55" i="4"/>
  <c r="Z54" i="4"/>
  <c r="L142" i="4"/>
  <c r="O141" i="4"/>
  <c r="K156" i="4"/>
  <c r="AA155" i="4"/>
  <c r="J153" i="4"/>
  <c r="Z152" i="4"/>
  <c r="F144" i="4"/>
  <c r="Y142" i="4"/>
  <c r="G143" i="4"/>
  <c r="G89" i="4"/>
  <c r="Y88" i="4"/>
  <c r="K56" i="4"/>
  <c r="AA55" i="4"/>
  <c r="V53" i="4"/>
  <c r="B54" i="4"/>
  <c r="F71" i="4"/>
  <c r="X70" i="4"/>
  <c r="S5" i="6"/>
  <c r="S6" i="6"/>
  <c r="AA49" i="4" l="1"/>
  <c r="AA50" i="4"/>
  <c r="AA48" i="4"/>
  <c r="AA46" i="4"/>
  <c r="AA47" i="4"/>
  <c r="AA51" i="4"/>
  <c r="AA52" i="4"/>
  <c r="AA53" i="4"/>
  <c r="AA54" i="4"/>
  <c r="O11" i="6"/>
  <c r="N12" i="6"/>
  <c r="X131" i="4"/>
  <c r="X132" i="4"/>
  <c r="X133" i="4"/>
  <c r="X134" i="4"/>
  <c r="X135" i="4"/>
  <c r="X136" i="4"/>
  <c r="X137" i="4"/>
  <c r="X138" i="4"/>
  <c r="X139" i="4"/>
  <c r="X140" i="4"/>
  <c r="X141" i="4"/>
  <c r="X142" i="4"/>
  <c r="J56" i="4"/>
  <c r="Z55" i="4"/>
  <c r="L143" i="4"/>
  <c r="O142" i="4"/>
  <c r="J154" i="4"/>
  <c r="Z153" i="4"/>
  <c r="K157" i="4"/>
  <c r="AA156" i="4"/>
  <c r="G144" i="4"/>
  <c r="Y143" i="4"/>
  <c r="F145" i="4"/>
  <c r="X144" i="4"/>
  <c r="G90" i="4"/>
  <c r="Y89" i="4"/>
  <c r="K57" i="4"/>
  <c r="AA56" i="4"/>
  <c r="B55" i="4"/>
  <c r="V54" i="4"/>
  <c r="U269" i="6"/>
  <c r="Y269" i="6" s="1"/>
  <c r="U21" i="6"/>
  <c r="Y21" i="6" s="1"/>
  <c r="U45" i="6"/>
  <c r="Y45" i="6" s="1"/>
  <c r="U20" i="6"/>
  <c r="Y20" i="6" s="1"/>
  <c r="U7" i="6"/>
  <c r="Y7" i="6" s="1"/>
  <c r="U12" i="6"/>
  <c r="Y12" i="6" s="1"/>
  <c r="U14" i="6"/>
  <c r="Y14" i="6" s="1"/>
  <c r="U18" i="6"/>
  <c r="Y18" i="6" s="1"/>
  <c r="U17" i="6"/>
  <c r="Y17" i="6" s="1"/>
  <c r="U9" i="6"/>
  <c r="Y9" i="6" s="1"/>
  <c r="U8" i="6"/>
  <c r="Y8" i="6" s="1"/>
  <c r="U6" i="6"/>
  <c r="Y6" i="6" s="1"/>
  <c r="U5" i="6"/>
  <c r="Y5" i="6" s="1"/>
  <c r="U11" i="6"/>
  <c r="Y11" i="6" s="1"/>
  <c r="U19" i="6"/>
  <c r="Y19" i="6" s="1"/>
  <c r="U10" i="6"/>
  <c r="Y10" i="6" s="1"/>
  <c r="U16" i="6"/>
  <c r="Y16" i="6" s="1"/>
  <c r="U13" i="6"/>
  <c r="Y13" i="6" s="1"/>
  <c r="U15" i="6"/>
  <c r="Y15" i="6" s="1"/>
  <c r="F72" i="4"/>
  <c r="X71" i="4"/>
  <c r="W29" i="4"/>
  <c r="U270" i="6"/>
  <c r="Y270" i="6" s="1"/>
  <c r="U282" i="6"/>
  <c r="Y282" i="6" s="1"/>
  <c r="U268" i="6"/>
  <c r="Y268" i="6" s="1"/>
  <c r="U277" i="6"/>
  <c r="Y277" i="6" s="1"/>
  <c r="U279" i="6"/>
  <c r="Y279" i="6" s="1"/>
  <c r="U278" i="6"/>
  <c r="Y278" i="6" s="1"/>
  <c r="U366" i="6"/>
  <c r="Y366" i="6" s="1"/>
  <c r="U272" i="6"/>
  <c r="Y272" i="6" s="1"/>
  <c r="U271" i="6"/>
  <c r="Y271" i="6" s="1"/>
  <c r="U276" i="6"/>
  <c r="Y276" i="6" s="1"/>
  <c r="U283" i="6"/>
  <c r="Y283" i="6" s="1"/>
  <c r="U281" i="6"/>
  <c r="Y281" i="6" s="1"/>
  <c r="U280" i="6"/>
  <c r="Y280" i="6" s="1"/>
  <c r="U275" i="6"/>
  <c r="Y275" i="6" s="1"/>
  <c r="U274" i="6"/>
  <c r="Y274" i="6" s="1"/>
  <c r="U273" i="6"/>
  <c r="Y273" i="6" s="1"/>
  <c r="O12" i="6" l="1"/>
  <c r="N13" i="6"/>
  <c r="O13" i="6" s="1"/>
  <c r="AA98" i="4"/>
  <c r="AA104" i="4"/>
  <c r="AA107" i="4"/>
  <c r="AA110" i="4"/>
  <c r="AA99" i="4"/>
  <c r="AA97" i="4"/>
  <c r="AA102" i="4"/>
  <c r="AA111" i="4"/>
  <c r="AA105" i="4"/>
  <c r="AA108" i="4"/>
  <c r="AA100" i="4"/>
  <c r="AA103" i="4"/>
  <c r="AA112" i="4"/>
  <c r="AA101" i="4"/>
  <c r="AA106" i="4"/>
  <c r="AA109" i="4"/>
  <c r="AA113" i="4"/>
  <c r="W124" i="4"/>
  <c r="W159" i="4"/>
  <c r="W90" i="4"/>
  <c r="W107" i="4"/>
  <c r="W176" i="4"/>
  <c r="W141" i="4"/>
  <c r="W73" i="4"/>
  <c r="W120" i="4"/>
  <c r="W103" i="4"/>
  <c r="W172" i="4"/>
  <c r="W137" i="4"/>
  <c r="W155" i="4"/>
  <c r="W86" i="4"/>
  <c r="W69" i="4"/>
  <c r="W99" i="4"/>
  <c r="W168" i="4"/>
  <c r="W133" i="4"/>
  <c r="W82" i="4"/>
  <c r="W151" i="4"/>
  <c r="W116" i="4"/>
  <c r="W65" i="4"/>
  <c r="W150" i="4"/>
  <c r="W98" i="4"/>
  <c r="W167" i="4"/>
  <c r="W115" i="4"/>
  <c r="W132" i="4"/>
  <c r="W64" i="4"/>
  <c r="W81" i="4"/>
  <c r="W100" i="4"/>
  <c r="W152" i="4"/>
  <c r="W117" i="4"/>
  <c r="W134" i="4"/>
  <c r="W169" i="4"/>
  <c r="W83" i="4"/>
  <c r="W66" i="4"/>
  <c r="W161" i="4"/>
  <c r="W178" i="4"/>
  <c r="W92" i="4"/>
  <c r="W109" i="4"/>
  <c r="W143" i="4"/>
  <c r="W126" i="4"/>
  <c r="W75" i="4"/>
  <c r="W123" i="4"/>
  <c r="W106" i="4"/>
  <c r="W89" i="4"/>
  <c r="W175" i="4"/>
  <c r="W140" i="4"/>
  <c r="W158" i="4"/>
  <c r="W72" i="4"/>
  <c r="W129" i="4"/>
  <c r="W146" i="4"/>
  <c r="W181" i="4"/>
  <c r="W95" i="4"/>
  <c r="W112" i="4"/>
  <c r="W164" i="4"/>
  <c r="W78" i="4"/>
  <c r="W171" i="4"/>
  <c r="W85" i="4"/>
  <c r="W136" i="4"/>
  <c r="W119" i="4"/>
  <c r="W154" i="4"/>
  <c r="W102" i="4"/>
  <c r="W68" i="4"/>
  <c r="W162" i="4"/>
  <c r="W110" i="4"/>
  <c r="W127" i="4"/>
  <c r="W93" i="4"/>
  <c r="W144" i="4"/>
  <c r="W179" i="4"/>
  <c r="W76" i="4"/>
  <c r="W84" i="4"/>
  <c r="W118" i="4"/>
  <c r="W135" i="4"/>
  <c r="W153" i="4"/>
  <c r="W170" i="4"/>
  <c r="W101" i="4"/>
  <c r="W67" i="4"/>
  <c r="W145" i="4"/>
  <c r="W163" i="4"/>
  <c r="W94" i="4"/>
  <c r="W128" i="4"/>
  <c r="W111" i="4"/>
  <c r="W180" i="4"/>
  <c r="W77" i="4"/>
  <c r="W130" i="4"/>
  <c r="W113" i="4"/>
  <c r="W147" i="4"/>
  <c r="W165" i="4"/>
  <c r="W96" i="4"/>
  <c r="W182" i="4"/>
  <c r="W79" i="4"/>
  <c r="W105" i="4"/>
  <c r="W122" i="4"/>
  <c r="W157" i="4"/>
  <c r="W174" i="4"/>
  <c r="W88" i="4"/>
  <c r="W139" i="4"/>
  <c r="W71" i="4"/>
  <c r="W177" i="4"/>
  <c r="W91" i="4"/>
  <c r="W108" i="4"/>
  <c r="W160" i="4"/>
  <c r="W125" i="4"/>
  <c r="W142" i="4"/>
  <c r="W74" i="4"/>
  <c r="W104" i="4"/>
  <c r="W156" i="4"/>
  <c r="W121" i="4"/>
  <c r="W138" i="4"/>
  <c r="W173" i="4"/>
  <c r="W87" i="4"/>
  <c r="W70" i="4"/>
  <c r="J57" i="4"/>
  <c r="Z56" i="4"/>
  <c r="L144" i="4"/>
  <c r="O143" i="4"/>
  <c r="AA157" i="4"/>
  <c r="K158" i="4"/>
  <c r="Z154" i="4"/>
  <c r="J155" i="4"/>
  <c r="F146" i="4"/>
  <c r="X145" i="4"/>
  <c r="Y144" i="4"/>
  <c r="G145" i="4"/>
  <c r="Y90" i="4"/>
  <c r="G91" i="4"/>
  <c r="K58" i="4"/>
  <c r="AA57" i="4"/>
  <c r="B56" i="4"/>
  <c r="V55" i="4"/>
  <c r="W37" i="4"/>
  <c r="W54" i="4"/>
  <c r="W20" i="4"/>
  <c r="W21" i="4"/>
  <c r="W55" i="4"/>
  <c r="W38" i="4"/>
  <c r="W17" i="4"/>
  <c r="W34" i="4"/>
  <c r="W51" i="4"/>
  <c r="W22" i="4"/>
  <c r="W56" i="4"/>
  <c r="W39" i="4"/>
  <c r="W43" i="4"/>
  <c r="W60" i="4"/>
  <c r="W26" i="4"/>
  <c r="W31" i="4"/>
  <c r="W14" i="4"/>
  <c r="W48" i="4"/>
  <c r="W32" i="4"/>
  <c r="W15" i="4"/>
  <c r="W49" i="4"/>
  <c r="W44" i="4"/>
  <c r="W61" i="4"/>
  <c r="W27" i="4"/>
  <c r="W25" i="4"/>
  <c r="W59" i="4"/>
  <c r="W42" i="4"/>
  <c r="W45" i="4"/>
  <c r="W28" i="4"/>
  <c r="W62" i="4"/>
  <c r="W57" i="4"/>
  <c r="W40" i="4"/>
  <c r="W23" i="4"/>
  <c r="W53" i="4"/>
  <c r="W36" i="4"/>
  <c r="W19" i="4"/>
  <c r="W58" i="4"/>
  <c r="W41" i="4"/>
  <c r="W24" i="4"/>
  <c r="W16" i="4"/>
  <c r="W33" i="4"/>
  <c r="W50" i="4"/>
  <c r="W52" i="4"/>
  <c r="W18" i="4"/>
  <c r="W35" i="4"/>
  <c r="W47" i="4"/>
  <c r="W30" i="4"/>
  <c r="W13" i="4"/>
  <c r="F73" i="4"/>
  <c r="X72" i="4"/>
  <c r="AA136" i="4" l="1"/>
  <c r="AA144" i="4"/>
  <c r="AA137" i="4"/>
  <c r="AA145" i="4"/>
  <c r="AA138" i="4"/>
  <c r="AA146" i="4"/>
  <c r="AA131" i="4"/>
  <c r="AA139" i="4"/>
  <c r="AA147" i="4"/>
  <c r="AA143" i="4"/>
  <c r="AA132" i="4"/>
  <c r="AA140" i="4"/>
  <c r="AA133" i="4"/>
  <c r="AA141" i="4"/>
  <c r="AA135" i="4"/>
  <c r="AA134" i="4"/>
  <c r="AA142" i="4"/>
  <c r="AA127" i="4"/>
  <c r="AA119" i="4"/>
  <c r="AA122" i="4"/>
  <c r="AA125" i="4"/>
  <c r="AA126" i="4"/>
  <c r="AA115" i="4"/>
  <c r="AA117" i="4"/>
  <c r="AA120" i="4"/>
  <c r="AA128" i="4"/>
  <c r="AA123" i="4"/>
  <c r="AA124" i="4"/>
  <c r="AA118" i="4"/>
  <c r="AA129" i="4"/>
  <c r="AA114" i="4"/>
  <c r="AA116" i="4"/>
  <c r="AA121" i="4"/>
  <c r="AA130" i="4"/>
  <c r="J58" i="4"/>
  <c r="Z57" i="4"/>
  <c r="L145" i="4"/>
  <c r="O144" i="4"/>
  <c r="J156" i="4"/>
  <c r="Z155" i="4"/>
  <c r="K159" i="4"/>
  <c r="AA158" i="4"/>
  <c r="Y145" i="4"/>
  <c r="G146" i="4"/>
  <c r="X146" i="4"/>
  <c r="F147" i="4"/>
  <c r="Y91" i="4"/>
  <c r="G92" i="4"/>
  <c r="B57" i="4"/>
  <c r="V56" i="4"/>
  <c r="K59" i="4"/>
  <c r="AA58" i="4"/>
  <c r="F74" i="4"/>
  <c r="X73" i="4"/>
  <c r="J59" i="4" l="1"/>
  <c r="Z58" i="4"/>
  <c r="L146" i="4"/>
  <c r="O145" i="4"/>
  <c r="K160" i="4"/>
  <c r="AA159" i="4"/>
  <c r="J157" i="4"/>
  <c r="Z156" i="4"/>
  <c r="F148" i="4"/>
  <c r="X147" i="4"/>
  <c r="G147" i="4"/>
  <c r="Y146" i="4"/>
  <c r="G93" i="4"/>
  <c r="Y92" i="4"/>
  <c r="V57" i="4"/>
  <c r="B58" i="4"/>
  <c r="K60" i="4"/>
  <c r="AA59" i="4"/>
  <c r="F75" i="4"/>
  <c r="X74" i="4"/>
  <c r="J60" i="4" l="1"/>
  <c r="Z59" i="4"/>
  <c r="L147" i="4"/>
  <c r="O146" i="4"/>
  <c r="J158" i="4"/>
  <c r="Z157" i="4"/>
  <c r="AA160" i="4"/>
  <c r="K161" i="4"/>
  <c r="G148" i="4"/>
  <c r="Y147" i="4"/>
  <c r="X148" i="4"/>
  <c r="G94" i="4"/>
  <c r="Y93" i="4"/>
  <c r="K61" i="4"/>
  <c r="AA60" i="4"/>
  <c r="V58" i="4"/>
  <c r="B59" i="4"/>
  <c r="F76" i="4"/>
  <c r="X75" i="4"/>
  <c r="J61" i="4" l="1"/>
  <c r="Z60" i="4"/>
  <c r="L148" i="4"/>
  <c r="O147" i="4"/>
  <c r="AA161" i="4"/>
  <c r="K162" i="4"/>
  <c r="J159" i="4"/>
  <c r="Z158" i="4"/>
  <c r="F150" i="4"/>
  <c r="X149" i="4"/>
  <c r="Y148" i="4"/>
  <c r="Y94" i="4"/>
  <c r="G95" i="4"/>
  <c r="B60" i="4"/>
  <c r="V59" i="4"/>
  <c r="K62" i="4"/>
  <c r="AA61" i="4"/>
  <c r="F77" i="4"/>
  <c r="X76" i="4"/>
  <c r="J62" i="4" l="1"/>
  <c r="Z61" i="4"/>
  <c r="L150" i="4"/>
  <c r="O148" i="4"/>
  <c r="J160" i="4"/>
  <c r="Z159" i="4"/>
  <c r="K163" i="4"/>
  <c r="AA162" i="4"/>
  <c r="Y149" i="4"/>
  <c r="G150" i="4"/>
  <c r="X150" i="4"/>
  <c r="F151" i="4"/>
  <c r="G96" i="4"/>
  <c r="Y96" i="4" s="1"/>
  <c r="Y95" i="4"/>
  <c r="AA62" i="4"/>
  <c r="V60" i="4"/>
  <c r="B61" i="4"/>
  <c r="F78" i="4"/>
  <c r="X77" i="4"/>
  <c r="Z62" i="4" l="1"/>
  <c r="L151" i="4"/>
  <c r="O150" i="4"/>
  <c r="K164" i="4"/>
  <c r="AA163" i="4"/>
  <c r="J161" i="4"/>
  <c r="Z160" i="4"/>
  <c r="F152" i="4"/>
  <c r="X151" i="4"/>
  <c r="G151" i="4"/>
  <c r="Y150" i="4"/>
  <c r="B62" i="4"/>
  <c r="V61" i="4"/>
  <c r="F79" i="4"/>
  <c r="X78" i="4"/>
  <c r="L152" i="4" l="1"/>
  <c r="O151" i="4"/>
  <c r="Z161" i="4"/>
  <c r="J162" i="4"/>
  <c r="AA164" i="4"/>
  <c r="K165" i="4"/>
  <c r="G152" i="4"/>
  <c r="Y151" i="4"/>
  <c r="F153" i="4"/>
  <c r="X152" i="4"/>
  <c r="B63" i="4"/>
  <c r="V62" i="4"/>
  <c r="X79" i="4"/>
  <c r="L153" i="4" l="1"/>
  <c r="O152" i="4"/>
  <c r="AA165" i="4"/>
  <c r="J163" i="4"/>
  <c r="Z162" i="4"/>
  <c r="F154" i="4"/>
  <c r="X153" i="4"/>
  <c r="G153" i="4"/>
  <c r="Y152" i="4"/>
  <c r="V63" i="4"/>
  <c r="B64" i="4"/>
  <c r="F81" i="4"/>
  <c r="X80" i="4"/>
  <c r="L154" i="4" l="1"/>
  <c r="O153" i="4"/>
  <c r="J164" i="4"/>
  <c r="Z163" i="4"/>
  <c r="K167" i="4"/>
  <c r="AA166" i="4"/>
  <c r="Y153" i="4"/>
  <c r="G154" i="4"/>
  <c r="X154" i="4"/>
  <c r="F155" i="4"/>
  <c r="X81" i="4"/>
  <c r="F82" i="4"/>
  <c r="B65" i="4"/>
  <c r="V64" i="4"/>
  <c r="L155" i="4" l="1"/>
  <c r="O154" i="4"/>
  <c r="K168" i="4"/>
  <c r="AA167" i="4"/>
  <c r="J165" i="4"/>
  <c r="Z164" i="4"/>
  <c r="F156" i="4"/>
  <c r="X155" i="4"/>
  <c r="Y154" i="4"/>
  <c r="G155" i="4"/>
  <c r="F83" i="4"/>
  <c r="X82" i="4"/>
  <c r="B66" i="4"/>
  <c r="V65" i="4"/>
  <c r="L156" i="4" l="1"/>
  <c r="O155" i="4"/>
  <c r="AA168" i="4"/>
  <c r="K169" i="4"/>
  <c r="Z165" i="4"/>
  <c r="G156" i="4"/>
  <c r="Y155" i="4"/>
  <c r="X156" i="4"/>
  <c r="F157" i="4"/>
  <c r="F84" i="4"/>
  <c r="X83" i="4"/>
  <c r="B67" i="4"/>
  <c r="V66" i="4"/>
  <c r="L157" i="4" l="1"/>
  <c r="O156" i="4"/>
  <c r="Z166" i="4"/>
  <c r="J167" i="4"/>
  <c r="AA169" i="4"/>
  <c r="K170" i="4"/>
  <c r="F158" i="4"/>
  <c r="X157" i="4"/>
  <c r="Y156" i="4"/>
  <c r="G157" i="4"/>
  <c r="F85" i="4"/>
  <c r="X84" i="4"/>
  <c r="B68" i="4"/>
  <c r="V67" i="4"/>
  <c r="AF12" i="4" l="1"/>
  <c r="AE12" i="4"/>
  <c r="AH12" i="4" s="1"/>
  <c r="L158" i="4"/>
  <c r="O157" i="4"/>
  <c r="J168" i="4"/>
  <c r="AE13" i="4" s="1"/>
  <c r="Z167" i="4"/>
  <c r="K171" i="4"/>
  <c r="AA170" i="4"/>
  <c r="Y157" i="4"/>
  <c r="G158" i="4"/>
  <c r="X158" i="4"/>
  <c r="F159" i="4"/>
  <c r="X85" i="4"/>
  <c r="F86" i="4"/>
  <c r="B69" i="4"/>
  <c r="V68" i="4"/>
  <c r="AG12" i="4" l="1"/>
  <c r="L159" i="4"/>
  <c r="O158" i="4"/>
  <c r="K172" i="4"/>
  <c r="AA171" i="4"/>
  <c r="J169" i="4"/>
  <c r="AE14" i="4" s="1"/>
  <c r="Z168" i="4"/>
  <c r="F160" i="4"/>
  <c r="X159" i="4"/>
  <c r="Y158" i="4"/>
  <c r="G159" i="4"/>
  <c r="X86" i="4"/>
  <c r="F87" i="4"/>
  <c r="B70" i="4"/>
  <c r="V69" i="4"/>
  <c r="L160" i="4" l="1"/>
  <c r="O159" i="4"/>
  <c r="Z169" i="4"/>
  <c r="J170" i="4"/>
  <c r="AE15" i="4" s="1"/>
  <c r="AA172" i="4"/>
  <c r="K173" i="4"/>
  <c r="G160" i="4"/>
  <c r="Y159" i="4"/>
  <c r="F161" i="4"/>
  <c r="X160" i="4"/>
  <c r="F88" i="4"/>
  <c r="X87" i="4"/>
  <c r="B71" i="4"/>
  <c r="V70" i="4"/>
  <c r="L161" i="4" l="1"/>
  <c r="O160" i="4"/>
  <c r="K174" i="4"/>
  <c r="AA173" i="4"/>
  <c r="J171" i="4"/>
  <c r="AE16" i="4" s="1"/>
  <c r="Z170" i="4"/>
  <c r="F162" i="4"/>
  <c r="X161" i="4"/>
  <c r="Y160" i="4"/>
  <c r="G161" i="4"/>
  <c r="X88" i="4"/>
  <c r="F89" i="4"/>
  <c r="B72" i="4"/>
  <c r="V71" i="4"/>
  <c r="L162" i="4" l="1"/>
  <c r="O161" i="4"/>
  <c r="J172" i="4"/>
  <c r="AE17" i="4" s="1"/>
  <c r="Z171" i="4"/>
  <c r="K175" i="4"/>
  <c r="AA174" i="4"/>
  <c r="Y161" i="4"/>
  <c r="G162" i="4"/>
  <c r="X162" i="4"/>
  <c r="F163" i="4"/>
  <c r="F90" i="4"/>
  <c r="X89" i="4"/>
  <c r="B73" i="4"/>
  <c r="V72" i="4"/>
  <c r="L163" i="4" l="1"/>
  <c r="O162" i="4"/>
  <c r="K176" i="4"/>
  <c r="AA175" i="4"/>
  <c r="J173" i="4"/>
  <c r="AE18" i="4" s="1"/>
  <c r="Z172" i="4"/>
  <c r="F164" i="4"/>
  <c r="X163" i="4"/>
  <c r="Y162" i="4"/>
  <c r="G163" i="4"/>
  <c r="F91" i="4"/>
  <c r="X90" i="4"/>
  <c r="B74" i="4"/>
  <c r="V73" i="4"/>
  <c r="L164" i="4" l="1"/>
  <c r="O163" i="4"/>
  <c r="Z173" i="4"/>
  <c r="J174" i="4"/>
  <c r="AE19" i="4" s="1"/>
  <c r="AA176" i="4"/>
  <c r="K177" i="4"/>
  <c r="G164" i="4"/>
  <c r="Y163" i="4"/>
  <c r="F165" i="4"/>
  <c r="X164" i="4"/>
  <c r="X91" i="4"/>
  <c r="F92" i="4"/>
  <c r="B75" i="4"/>
  <c r="V74" i="4"/>
  <c r="L165" i="4" l="1"/>
  <c r="O164" i="4"/>
  <c r="AA177" i="4"/>
  <c r="K178" i="4"/>
  <c r="Z174" i="4"/>
  <c r="J175" i="4"/>
  <c r="AE20" i="4" s="1"/>
  <c r="F166" i="4"/>
  <c r="X165" i="4"/>
  <c r="Y164" i="4"/>
  <c r="G165" i="4"/>
  <c r="X92" i="4"/>
  <c r="F93" i="4"/>
  <c r="B76" i="4"/>
  <c r="V75" i="4"/>
  <c r="L166" i="4" l="1"/>
  <c r="O165" i="4"/>
  <c r="J176" i="4"/>
  <c r="AE21" i="4" s="1"/>
  <c r="Z175" i="4"/>
  <c r="K179" i="4"/>
  <c r="AA178" i="4"/>
  <c r="Y165" i="4"/>
  <c r="G166" i="4"/>
  <c r="X166" i="4"/>
  <c r="F167" i="4"/>
  <c r="X93" i="4"/>
  <c r="F94" i="4"/>
  <c r="B77" i="4"/>
  <c r="V76" i="4"/>
  <c r="L167" i="4" l="1"/>
  <c r="O166" i="4"/>
  <c r="K180" i="4"/>
  <c r="AA179" i="4"/>
  <c r="J177" i="4"/>
  <c r="AE22" i="4" s="1"/>
  <c r="Z176" i="4"/>
  <c r="F168" i="4"/>
  <c r="X167" i="4"/>
  <c r="G167" i="4"/>
  <c r="Y166" i="4"/>
  <c r="F95" i="4"/>
  <c r="X94" i="4"/>
  <c r="B78" i="4"/>
  <c r="V77" i="4"/>
  <c r="L168" i="4" l="1"/>
  <c r="O167" i="4"/>
  <c r="Z177" i="4"/>
  <c r="J178" i="4"/>
  <c r="AE23" i="4" s="1"/>
  <c r="AA180" i="4"/>
  <c r="K181" i="4"/>
  <c r="G168" i="4"/>
  <c r="Y167" i="4"/>
  <c r="F169" i="4"/>
  <c r="X168" i="4"/>
  <c r="F96" i="4"/>
  <c r="X96" i="4" s="1"/>
  <c r="X95" i="4"/>
  <c r="B79" i="4"/>
  <c r="V78" i="4"/>
  <c r="L169" i="4" l="1"/>
  <c r="O168" i="4"/>
  <c r="K182" i="4"/>
  <c r="AA181" i="4"/>
  <c r="J179" i="4"/>
  <c r="Z178" i="4"/>
  <c r="F170" i="4"/>
  <c r="X169" i="4"/>
  <c r="Y168" i="4"/>
  <c r="G169" i="4"/>
  <c r="B80" i="4"/>
  <c r="V79" i="4"/>
  <c r="AF28" i="4" l="1"/>
  <c r="AE28" i="4"/>
  <c r="AH28" i="4" s="1"/>
  <c r="L170" i="4"/>
  <c r="O169" i="4"/>
  <c r="J180" i="4"/>
  <c r="AE24" i="4" s="1"/>
  <c r="Z179" i="4"/>
  <c r="K183" i="4"/>
  <c r="AA182" i="4"/>
  <c r="Y169" i="4"/>
  <c r="G170" i="4"/>
  <c r="X170" i="4"/>
  <c r="F171" i="4"/>
  <c r="B81" i="4"/>
  <c r="V80" i="4"/>
  <c r="AG28" i="4" l="1"/>
  <c r="L171" i="4"/>
  <c r="O170" i="4"/>
  <c r="K184" i="4"/>
  <c r="AA183" i="4"/>
  <c r="J181" i="4"/>
  <c r="AE25" i="4" s="1"/>
  <c r="Z180" i="4"/>
  <c r="F172" i="4"/>
  <c r="X171" i="4"/>
  <c r="Y170" i="4"/>
  <c r="G171" i="4"/>
  <c r="V81" i="4"/>
  <c r="B82" i="4"/>
  <c r="L172" i="4" l="1"/>
  <c r="O171" i="4"/>
  <c r="AA184" i="4"/>
  <c r="K185" i="4"/>
  <c r="Z181" i="4"/>
  <c r="J182" i="4"/>
  <c r="AE26" i="4" s="1"/>
  <c r="G172" i="4"/>
  <c r="Y171" i="4"/>
  <c r="X172" i="4"/>
  <c r="F173" i="4"/>
  <c r="V82" i="4"/>
  <c r="B83" i="4"/>
  <c r="L173" i="4" l="1"/>
  <c r="O172" i="4"/>
  <c r="Z182" i="4"/>
  <c r="J183" i="4"/>
  <c r="K186" i="4"/>
  <c r="AA185" i="4"/>
  <c r="F174" i="4"/>
  <c r="X173" i="4"/>
  <c r="Y172" i="4"/>
  <c r="G173" i="4"/>
  <c r="V83" i="4"/>
  <c r="B84" i="4"/>
  <c r="L174" i="4" l="1"/>
  <c r="O173" i="4"/>
  <c r="K187" i="4"/>
  <c r="AA186" i="4"/>
  <c r="J184" i="4"/>
  <c r="Z183" i="4"/>
  <c r="Y173" i="4"/>
  <c r="G174" i="4"/>
  <c r="X174" i="4"/>
  <c r="F175" i="4"/>
  <c r="B85" i="4"/>
  <c r="V84" i="4"/>
  <c r="L175" i="4" l="1"/>
  <c r="O174" i="4"/>
  <c r="J185" i="4"/>
  <c r="Z184" i="4"/>
  <c r="K188" i="4"/>
  <c r="AA187" i="4"/>
  <c r="F176" i="4"/>
  <c r="X175" i="4"/>
  <c r="Y174" i="4"/>
  <c r="G175" i="4"/>
  <c r="B86" i="4"/>
  <c r="V85" i="4"/>
  <c r="L176" i="4" l="1"/>
  <c r="O175" i="4"/>
  <c r="AA188" i="4"/>
  <c r="K189" i="4"/>
  <c r="Z185" i="4"/>
  <c r="J186" i="4"/>
  <c r="G176" i="4"/>
  <c r="Y175" i="4"/>
  <c r="F177" i="4"/>
  <c r="X176" i="4"/>
  <c r="B87" i="4"/>
  <c r="V86" i="4"/>
  <c r="L177" i="4" l="1"/>
  <c r="O176" i="4"/>
  <c r="J187" i="4"/>
  <c r="Z186" i="4"/>
  <c r="K190" i="4"/>
  <c r="AA190" i="4" s="1"/>
  <c r="AA189" i="4"/>
  <c r="F178" i="4"/>
  <c r="X177" i="4"/>
  <c r="Y176" i="4"/>
  <c r="G177" i="4"/>
  <c r="B88" i="4"/>
  <c r="V87" i="4"/>
  <c r="L178" i="4" l="1"/>
  <c r="O177" i="4"/>
  <c r="J188" i="4"/>
  <c r="Z187" i="4"/>
  <c r="Y177" i="4"/>
  <c r="G178" i="4"/>
  <c r="X178" i="4"/>
  <c r="F179" i="4"/>
  <c r="V88" i="4"/>
  <c r="B89" i="4"/>
  <c r="L179" i="4" l="1"/>
  <c r="O178" i="4"/>
  <c r="J189" i="4"/>
  <c r="Z188" i="4"/>
  <c r="F180" i="4"/>
  <c r="X179" i="4"/>
  <c r="G179" i="4"/>
  <c r="Y178" i="4"/>
  <c r="B90" i="4"/>
  <c r="V89" i="4"/>
  <c r="L180" i="4" l="1"/>
  <c r="O179" i="4"/>
  <c r="Z189" i="4"/>
  <c r="J190" i="4"/>
  <c r="G180" i="4"/>
  <c r="Y179" i="4"/>
  <c r="F181" i="4"/>
  <c r="X180" i="4"/>
  <c r="B91" i="4"/>
  <c r="V90" i="4"/>
  <c r="Z190" i="4" l="1"/>
  <c r="AF13" i="4"/>
  <c r="AF14" i="4"/>
  <c r="AF15" i="4"/>
  <c r="AF16" i="4"/>
  <c r="AF17" i="4"/>
  <c r="AF18" i="4"/>
  <c r="AF19" i="4"/>
  <c r="AF20" i="4"/>
  <c r="AF21" i="4"/>
  <c r="AF22" i="4"/>
  <c r="AF23" i="4"/>
  <c r="AF24" i="4"/>
  <c r="AF25" i="4"/>
  <c r="AF26" i="4"/>
  <c r="L181" i="4"/>
  <c r="O180" i="4"/>
  <c r="F182" i="4"/>
  <c r="X181" i="4"/>
  <c r="Y180" i="4"/>
  <c r="G181" i="4"/>
  <c r="V91" i="4"/>
  <c r="B92" i="4"/>
  <c r="AH19" i="4" l="1"/>
  <c r="AG19" i="4"/>
  <c r="AH26" i="4"/>
  <c r="AG26" i="4"/>
  <c r="AG18" i="4"/>
  <c r="AH18" i="4"/>
  <c r="AG25" i="4"/>
  <c r="AH25" i="4"/>
  <c r="AH17" i="4"/>
  <c r="AG17" i="4"/>
  <c r="AG24" i="4"/>
  <c r="AH24" i="4"/>
  <c r="AG16" i="4"/>
  <c r="AH16" i="4"/>
  <c r="AH23" i="4"/>
  <c r="AG23" i="4"/>
  <c r="AG15" i="4"/>
  <c r="AH15" i="4"/>
  <c r="AH22" i="4"/>
  <c r="AG22" i="4"/>
  <c r="AG14" i="4"/>
  <c r="AH14" i="4"/>
  <c r="AG13" i="4"/>
  <c r="AH13" i="4"/>
  <c r="AH21" i="4"/>
  <c r="AG21" i="4"/>
  <c r="AG20" i="4"/>
  <c r="AH20" i="4"/>
  <c r="L182" i="4"/>
  <c r="O181" i="4"/>
  <c r="Y181" i="4"/>
  <c r="G182" i="4"/>
  <c r="X182" i="4"/>
  <c r="F183" i="4"/>
  <c r="V92" i="4"/>
  <c r="B93" i="4"/>
  <c r="L183" i="4" l="1"/>
  <c r="O182" i="4"/>
  <c r="F184" i="4"/>
  <c r="X183" i="4"/>
  <c r="G183" i="4"/>
  <c r="Y182" i="4"/>
  <c r="B94" i="4"/>
  <c r="V93" i="4"/>
  <c r="L184" i="4" l="1"/>
  <c r="O183" i="4"/>
  <c r="G184" i="4"/>
  <c r="Y183" i="4"/>
  <c r="X184" i="4"/>
  <c r="F185" i="4"/>
  <c r="V94" i="4"/>
  <c r="B95" i="4"/>
  <c r="L185" i="4" l="1"/>
  <c r="O184" i="4"/>
  <c r="F186" i="4"/>
  <c r="X185" i="4"/>
  <c r="Y184" i="4"/>
  <c r="G185" i="4"/>
  <c r="V95" i="4"/>
  <c r="B96" i="4"/>
  <c r="L186" i="4" l="1"/>
  <c r="O185" i="4"/>
  <c r="Y185" i="4"/>
  <c r="G186" i="4"/>
  <c r="X186" i="4"/>
  <c r="F187" i="4"/>
  <c r="V96" i="4"/>
  <c r="B97" i="4"/>
  <c r="L187" i="4" l="1"/>
  <c r="O186" i="4"/>
  <c r="F188" i="4"/>
  <c r="X187" i="4"/>
  <c r="Y186" i="4"/>
  <c r="G187" i="4"/>
  <c r="B98" i="4"/>
  <c r="V97" i="4"/>
  <c r="L188" i="4" l="1"/>
  <c r="O187" i="4"/>
  <c r="G188" i="4"/>
  <c r="Y187" i="4"/>
  <c r="X188" i="4"/>
  <c r="F189" i="4"/>
  <c r="B99" i="4"/>
  <c r="V98" i="4"/>
  <c r="L189" i="4" l="1"/>
  <c r="O188" i="4"/>
  <c r="F190" i="4"/>
  <c r="X190" i="4" s="1"/>
  <c r="X189" i="4"/>
  <c r="G189" i="4"/>
  <c r="Y188" i="4"/>
  <c r="B100" i="4"/>
  <c r="V99" i="4"/>
  <c r="L190" i="4" l="1"/>
  <c r="O190" i="4" s="1"/>
  <c r="O189" i="4"/>
  <c r="Y189" i="4"/>
  <c r="G190" i="4"/>
  <c r="Y190" i="4" s="1"/>
  <c r="V100" i="4"/>
  <c r="B101" i="4"/>
  <c r="V101" i="4" l="1"/>
  <c r="B102" i="4"/>
  <c r="V102" i="4" l="1"/>
  <c r="B103" i="4"/>
  <c r="V103" i="4" l="1"/>
  <c r="B104" i="4"/>
  <c r="V104" i="4" l="1"/>
  <c r="B105" i="4"/>
  <c r="B106" i="4" l="1"/>
  <c r="V105" i="4"/>
  <c r="V106" i="4" l="1"/>
  <c r="B107" i="4"/>
  <c r="B108" i="4" l="1"/>
  <c r="V107" i="4"/>
  <c r="B109" i="4" l="1"/>
  <c r="V108" i="4"/>
  <c r="B110" i="4" l="1"/>
  <c r="V109" i="4"/>
  <c r="V110" i="4" l="1"/>
  <c r="B111" i="4"/>
  <c r="B112" i="4" l="1"/>
  <c r="V111" i="4"/>
  <c r="B113" i="4" l="1"/>
  <c r="V112" i="4"/>
  <c r="V113" i="4" l="1"/>
  <c r="B114" i="4"/>
  <c r="V114" i="4" l="1"/>
  <c r="B115" i="4"/>
  <c r="V115" i="4" l="1"/>
  <c r="B116" i="4"/>
  <c r="B117" i="4" l="1"/>
  <c r="V116" i="4"/>
  <c r="B118" i="4" l="1"/>
  <c r="V117" i="4"/>
  <c r="B119" i="4" l="1"/>
  <c r="V118" i="4"/>
  <c r="B120" i="4" l="1"/>
  <c r="V119" i="4"/>
  <c r="B121" i="4" l="1"/>
  <c r="V120" i="4"/>
  <c r="B122" i="4" l="1"/>
  <c r="V121" i="4"/>
  <c r="V122" i="4" l="1"/>
  <c r="B123" i="4"/>
  <c r="V123" i="4" l="1"/>
  <c r="B124" i="4"/>
  <c r="B125" i="4" l="1"/>
  <c r="V124" i="4"/>
  <c r="B126" i="4" l="1"/>
  <c r="V125" i="4"/>
  <c r="V126" i="4" l="1"/>
  <c r="B127" i="4"/>
  <c r="B128" i="4" l="1"/>
  <c r="V127" i="4"/>
  <c r="V128" i="4" l="1"/>
  <c r="B129" i="4"/>
  <c r="B130" i="4" l="1"/>
  <c r="V129" i="4"/>
  <c r="V130" i="4" l="1"/>
  <c r="B131" i="4"/>
  <c r="V131" i="4" l="1"/>
  <c r="B132" i="4"/>
  <c r="B133" i="4" l="1"/>
  <c r="V132" i="4"/>
  <c r="B134" i="4" l="1"/>
  <c r="V133" i="4"/>
  <c r="V134" i="4" l="1"/>
  <c r="B135" i="4"/>
  <c r="V135" i="4" l="1"/>
  <c r="B136" i="4"/>
  <c r="B137" i="4" l="1"/>
  <c r="V136" i="4"/>
  <c r="B138" i="4" l="1"/>
  <c r="V137" i="4"/>
  <c r="V138" i="4" l="1"/>
  <c r="B139" i="4"/>
  <c r="V139" i="4" l="1"/>
  <c r="B140" i="4"/>
  <c r="B141" i="4" l="1"/>
  <c r="V140" i="4"/>
  <c r="B142" i="4" l="1"/>
  <c r="V141" i="4"/>
  <c r="V142" i="4" l="1"/>
  <c r="B143" i="4"/>
  <c r="V143" i="4" l="1"/>
  <c r="B144" i="4"/>
  <c r="B145" i="4" l="1"/>
  <c r="V144" i="4"/>
  <c r="B146" i="4" l="1"/>
  <c r="V145" i="4"/>
  <c r="V146" i="4" l="1"/>
  <c r="B147" i="4"/>
  <c r="V147" i="4" l="1"/>
  <c r="B148" i="4"/>
  <c r="B149" i="4" l="1"/>
  <c r="V148" i="4"/>
  <c r="V149" i="4" l="1"/>
  <c r="B150" i="4"/>
  <c r="V150" i="4" l="1"/>
  <c r="B151" i="4"/>
  <c r="V151" i="4" l="1"/>
  <c r="B152" i="4"/>
  <c r="B153" i="4" l="1"/>
  <c r="V152" i="4"/>
  <c r="B154" i="4" l="1"/>
  <c r="V153" i="4"/>
  <c r="V154" i="4" l="1"/>
  <c r="B155" i="4"/>
  <c r="V155" i="4" l="1"/>
  <c r="B156" i="4"/>
  <c r="B157" i="4" l="1"/>
  <c r="V156" i="4"/>
  <c r="B158" i="4" l="1"/>
  <c r="V157" i="4"/>
  <c r="V158" i="4" l="1"/>
  <c r="B159" i="4"/>
  <c r="V159" i="4" l="1"/>
  <c r="B160" i="4"/>
  <c r="B161" i="4" l="1"/>
  <c r="V160" i="4"/>
  <c r="B162" i="4" l="1"/>
  <c r="V161" i="4"/>
  <c r="V162" i="4" l="1"/>
  <c r="B163" i="4"/>
  <c r="V163" i="4" l="1"/>
  <c r="B164" i="4"/>
  <c r="B165" i="4" l="1"/>
  <c r="V164" i="4"/>
  <c r="B166" i="4" l="1"/>
  <c r="V165" i="4"/>
  <c r="V166" i="4" l="1"/>
  <c r="B167" i="4"/>
  <c r="B168" i="4" l="1"/>
  <c r="V167" i="4"/>
  <c r="B169" i="4" l="1"/>
  <c r="V168" i="4"/>
  <c r="B170" i="4" l="1"/>
  <c r="V169" i="4"/>
  <c r="B171" i="4" l="1"/>
  <c r="V170" i="4"/>
  <c r="B172" i="4" l="1"/>
  <c r="V171" i="4"/>
  <c r="V172" i="4" l="1"/>
  <c r="B173" i="4"/>
  <c r="B174" i="4" l="1"/>
  <c r="V173" i="4"/>
  <c r="V174" i="4" l="1"/>
  <c r="B175" i="4"/>
  <c r="B176" i="4" l="1"/>
  <c r="V175" i="4"/>
  <c r="V176" i="4" l="1"/>
  <c r="B177" i="4"/>
  <c r="B178" i="4" l="1"/>
  <c r="V177" i="4"/>
  <c r="B179" i="4" l="1"/>
  <c r="V178" i="4"/>
  <c r="V179" i="4" l="1"/>
  <c r="B180" i="4"/>
  <c r="B181" i="4" l="1"/>
  <c r="V180" i="4"/>
  <c r="B182" i="4" l="1"/>
  <c r="V181" i="4"/>
  <c r="B183" i="4" l="1"/>
  <c r="V182" i="4"/>
  <c r="V183" i="4" l="1"/>
  <c r="B184" i="4"/>
  <c r="B185" i="4" l="1"/>
  <c r="V184" i="4"/>
  <c r="B186" i="4" l="1"/>
  <c r="V185" i="4"/>
  <c r="V186" i="4" l="1"/>
  <c r="B187" i="4"/>
  <c r="V187" i="4" l="1"/>
  <c r="B188" i="4"/>
  <c r="B189" i="4" l="1"/>
  <c r="V188" i="4"/>
  <c r="B190" i="4" l="1"/>
  <c r="V190" i="4" s="1"/>
  <c r="V189" i="4"/>
</calcChain>
</file>

<file path=xl/sharedStrings.xml><?xml version="1.0" encoding="utf-8"?>
<sst xmlns="http://schemas.openxmlformats.org/spreadsheetml/2006/main" count="2617" uniqueCount="677">
  <si>
    <t>id</t>
  </si>
  <si>
    <t>coleccion</t>
  </si>
  <si>
    <t>sector</t>
  </si>
  <si>
    <t>tema</t>
  </si>
  <si>
    <t>contenido</t>
  </si>
  <si>
    <t>escala</t>
  </si>
  <si>
    <t>territorio</t>
  </si>
  <si>
    <t>temporalidad</t>
  </si>
  <si>
    <t>unidad_medida</t>
  </si>
  <si>
    <t>fuente</t>
  </si>
  <si>
    <t>titulo</t>
  </si>
  <si>
    <t>descripcion_larga</t>
  </si>
  <si>
    <t>visualizacion</t>
  </si>
  <si>
    <t>tag</t>
  </si>
  <si>
    <t>Educación</t>
  </si>
  <si>
    <t>Chile</t>
  </si>
  <si>
    <t>Región</t>
  </si>
  <si>
    <t>Antofagasta</t>
  </si>
  <si>
    <t>Comuna</t>
  </si>
  <si>
    <t>Recoleta</t>
  </si>
  <si>
    <t>País</t>
  </si>
  <si>
    <t>url</t>
  </si>
  <si>
    <t>Ovalle</t>
  </si>
  <si>
    <t>O'Higgins</t>
  </si>
  <si>
    <t>Filtro Integrado</t>
  </si>
  <si>
    <t>Muestra</t>
  </si>
  <si>
    <t>Regional</t>
  </si>
  <si>
    <t>Comunal</t>
  </si>
  <si>
    <t>Coquimbo</t>
  </si>
  <si>
    <t>Valparaíso</t>
  </si>
  <si>
    <t>Maule</t>
  </si>
  <si>
    <t>Los Lagos</t>
  </si>
  <si>
    <t>Iquique</t>
  </si>
  <si>
    <t>Alto Hospicio</t>
  </si>
  <si>
    <t>Pozo Almonte</t>
  </si>
  <si>
    <t>Camiña</t>
  </si>
  <si>
    <t>Colchane</t>
  </si>
  <si>
    <t>Huara</t>
  </si>
  <si>
    <t>Pica</t>
  </si>
  <si>
    <t>Mejillones</t>
  </si>
  <si>
    <t>Sierra Gorda</t>
  </si>
  <si>
    <t>Taltal</t>
  </si>
  <si>
    <t>Calama</t>
  </si>
  <si>
    <t>Ollagüe</t>
  </si>
  <si>
    <t>San Pedro de Atacama</t>
  </si>
  <si>
    <t>Tocopilla</t>
  </si>
  <si>
    <t>María Elena</t>
  </si>
  <si>
    <t>Copiapó</t>
  </si>
  <si>
    <t>Caldera</t>
  </si>
  <si>
    <t>Tierra Amarilla</t>
  </si>
  <si>
    <t>Chañaral</t>
  </si>
  <si>
    <t>Diego de Almagro</t>
  </si>
  <si>
    <t>Vallenar</t>
  </si>
  <si>
    <t>Alto del Carmen</t>
  </si>
  <si>
    <t>Freirina</t>
  </si>
  <si>
    <t>Huasco</t>
  </si>
  <si>
    <t>La Serena</t>
  </si>
  <si>
    <t>Andacollo</t>
  </si>
  <si>
    <t>La Higuera</t>
  </si>
  <si>
    <t>Paiguano</t>
  </si>
  <si>
    <t>Vicuña</t>
  </si>
  <si>
    <t>Illapel</t>
  </si>
  <si>
    <t>Canela</t>
  </si>
  <si>
    <t>Los Vilos</t>
  </si>
  <si>
    <t>Salamanca</t>
  </si>
  <si>
    <t>Combarbalá</t>
  </si>
  <si>
    <t>Monte Patria</t>
  </si>
  <si>
    <t>Punitaqui</t>
  </si>
  <si>
    <t>Río Hurtado</t>
  </si>
  <si>
    <t>Casablanca</t>
  </si>
  <si>
    <t>Concón</t>
  </si>
  <si>
    <t>Juan Fernández</t>
  </si>
  <si>
    <t>Puchuncaví</t>
  </si>
  <si>
    <t>Quintero</t>
  </si>
  <si>
    <t>Viña del Mar</t>
  </si>
  <si>
    <t>Isla de Pascua</t>
  </si>
  <si>
    <t>Los Andes</t>
  </si>
  <si>
    <t>Calle Larga</t>
  </si>
  <si>
    <t>Rinconada</t>
  </si>
  <si>
    <t>San Esteban</t>
  </si>
  <si>
    <t>La Ligua</t>
  </si>
  <si>
    <t>Cabildo</t>
  </si>
  <si>
    <t>Papudo</t>
  </si>
  <si>
    <t>Petorca</t>
  </si>
  <si>
    <t>Zapallar</t>
  </si>
  <si>
    <t>Quillota</t>
  </si>
  <si>
    <t>Calera</t>
  </si>
  <si>
    <t>Hijuelas</t>
  </si>
  <si>
    <t>La Cruz</t>
  </si>
  <si>
    <t>Nogales</t>
  </si>
  <si>
    <t>San Antonio</t>
  </si>
  <si>
    <t>Algarrobo</t>
  </si>
  <si>
    <t>Cartagena</t>
  </si>
  <si>
    <t>El Quisco</t>
  </si>
  <si>
    <t>El Tabo</t>
  </si>
  <si>
    <t>Santo Domingo</t>
  </si>
  <si>
    <t>San Felipe</t>
  </si>
  <si>
    <t>Catemu</t>
  </si>
  <si>
    <t>Llaillay</t>
  </si>
  <si>
    <t>Panquehue</t>
  </si>
  <si>
    <t>Putaendo</t>
  </si>
  <si>
    <t>Santa María</t>
  </si>
  <si>
    <t>Quilpué</t>
  </si>
  <si>
    <t>Limache</t>
  </si>
  <si>
    <t>Olmué</t>
  </si>
  <si>
    <t>Villa Alemana</t>
  </si>
  <si>
    <t>Rancagua</t>
  </si>
  <si>
    <t>Codegua</t>
  </si>
  <si>
    <t>Coinco</t>
  </si>
  <si>
    <t>Coltauco</t>
  </si>
  <si>
    <t>Doñihue</t>
  </si>
  <si>
    <t>Graneros</t>
  </si>
  <si>
    <t>Las Cabras</t>
  </si>
  <si>
    <t>Machalí</t>
  </si>
  <si>
    <t>Malloa</t>
  </si>
  <si>
    <t>Mostazal</t>
  </si>
  <si>
    <t>Olivar</t>
  </si>
  <si>
    <t>Peumo</t>
  </si>
  <si>
    <t>Pichidegua</t>
  </si>
  <si>
    <t>Quinta de Tilcoco</t>
  </si>
  <si>
    <t>Rengo</t>
  </si>
  <si>
    <t>Requínoa</t>
  </si>
  <si>
    <t>San Vicente</t>
  </si>
  <si>
    <t>Pichilemu</t>
  </si>
  <si>
    <t>La Estrella</t>
  </si>
  <si>
    <t>Litueche</t>
  </si>
  <si>
    <t>Marchihue</t>
  </si>
  <si>
    <t>Navidad</t>
  </si>
  <si>
    <t>Paredones</t>
  </si>
  <si>
    <t>San Fernando</t>
  </si>
  <si>
    <t>Chépica</t>
  </si>
  <si>
    <t>Chimbarongo</t>
  </si>
  <si>
    <t>Lolol</t>
  </si>
  <si>
    <t>Nancagua</t>
  </si>
  <si>
    <t>Palmilla</t>
  </si>
  <si>
    <t>Peralillo</t>
  </si>
  <si>
    <t>Placilla</t>
  </si>
  <si>
    <t>Pumanque</t>
  </si>
  <si>
    <t>Santa Cruz</t>
  </si>
  <si>
    <t>Talca</t>
  </si>
  <si>
    <t>Constitución</t>
  </si>
  <si>
    <t>Curepto</t>
  </si>
  <si>
    <t>Empedrado</t>
  </si>
  <si>
    <t>Pelarco</t>
  </si>
  <si>
    <t>Pencahue</t>
  </si>
  <si>
    <t>Río Claro</t>
  </si>
  <si>
    <t>San Clemente</t>
  </si>
  <si>
    <t>San Rafael</t>
  </si>
  <si>
    <t>Cauquenes</t>
  </si>
  <si>
    <t>Chanco</t>
  </si>
  <si>
    <t>Pelluhue</t>
  </si>
  <si>
    <t>Curicó</t>
  </si>
  <si>
    <t>Hualañé</t>
  </si>
  <si>
    <t>Licantén</t>
  </si>
  <si>
    <t>Molina</t>
  </si>
  <si>
    <t>Rauco</t>
  </si>
  <si>
    <t>Romeral</t>
  </si>
  <si>
    <t>Sagrada Familia</t>
  </si>
  <si>
    <t>Teno</t>
  </si>
  <si>
    <t>Vichuquén</t>
  </si>
  <si>
    <t>Linares</t>
  </si>
  <si>
    <t>Colbún</t>
  </si>
  <si>
    <t>Longaví</t>
  </si>
  <si>
    <t>Parral</t>
  </si>
  <si>
    <t>Retiro</t>
  </si>
  <si>
    <t>San Javier</t>
  </si>
  <si>
    <t>Villa Alegre</t>
  </si>
  <si>
    <t>Yerbas Buenas</t>
  </si>
  <si>
    <t>Concepción</t>
  </si>
  <si>
    <t>Coronel</t>
  </si>
  <si>
    <t>Chiguayante</t>
  </si>
  <si>
    <t>Florida</t>
  </si>
  <si>
    <t>Hualqui</t>
  </si>
  <si>
    <t>Lota</t>
  </si>
  <si>
    <t>Penco</t>
  </si>
  <si>
    <t>San Pedro de la Paz</t>
  </si>
  <si>
    <t>Santa Juana</t>
  </si>
  <si>
    <t>Talcahuano</t>
  </si>
  <si>
    <t>Tomé</t>
  </si>
  <si>
    <t>Hualpén</t>
  </si>
  <si>
    <t>Lebu</t>
  </si>
  <si>
    <t>Arauco</t>
  </si>
  <si>
    <t>Cañete</t>
  </si>
  <si>
    <t>Contulmo</t>
  </si>
  <si>
    <t>Curanilahue</t>
  </si>
  <si>
    <t>Los Alamos</t>
  </si>
  <si>
    <t>Tirúa</t>
  </si>
  <si>
    <t>Los Angeles</t>
  </si>
  <si>
    <t>Antuco</t>
  </si>
  <si>
    <t>Cabrero</t>
  </si>
  <si>
    <t>Laja</t>
  </si>
  <si>
    <t>Mulchén</t>
  </si>
  <si>
    <t>Nacimiento</t>
  </si>
  <si>
    <t>Negrete</t>
  </si>
  <si>
    <t>Quilaco</t>
  </si>
  <si>
    <t>Quilleco</t>
  </si>
  <si>
    <t>San Rosendo</t>
  </si>
  <si>
    <t>Santa Bárbara</t>
  </si>
  <si>
    <t>Tucapel</t>
  </si>
  <si>
    <t>Yumbel</t>
  </si>
  <si>
    <t>Alto Biobío</t>
  </si>
  <si>
    <t>Chillán</t>
  </si>
  <si>
    <t>Bulnes</t>
  </si>
  <si>
    <t>Cobquecura</t>
  </si>
  <si>
    <t>Coelemu</t>
  </si>
  <si>
    <t>Coihueco</t>
  </si>
  <si>
    <t>Chillán Viejo</t>
  </si>
  <si>
    <t>El Carmen</t>
  </si>
  <si>
    <t>Ninhue</t>
  </si>
  <si>
    <t>Ñiquén</t>
  </si>
  <si>
    <t>Pemuco</t>
  </si>
  <si>
    <t>Pinto</t>
  </si>
  <si>
    <t>Portezuelo</t>
  </si>
  <si>
    <t>Quillón</t>
  </si>
  <si>
    <t>Quirihue</t>
  </si>
  <si>
    <t>Ránquil</t>
  </si>
  <si>
    <t>San Carlos</t>
  </si>
  <si>
    <t>San Fabián</t>
  </si>
  <si>
    <t>San Ignacio</t>
  </si>
  <si>
    <t>San Nicolás</t>
  </si>
  <si>
    <t>Treguaco</t>
  </si>
  <si>
    <t>Yungay</t>
  </si>
  <si>
    <t>Temuco</t>
  </si>
  <si>
    <t>Carahue</t>
  </si>
  <si>
    <t>Cunco</t>
  </si>
  <si>
    <t>Curarrehue</t>
  </si>
  <si>
    <t>Freire</t>
  </si>
  <si>
    <t>Galvarino</t>
  </si>
  <si>
    <t>Gorbea</t>
  </si>
  <si>
    <t>Lautaro</t>
  </si>
  <si>
    <t>Loncoche</t>
  </si>
  <si>
    <t>Melipeuco</t>
  </si>
  <si>
    <t>Nueva Imperial</t>
  </si>
  <si>
    <t>Padre las Casas</t>
  </si>
  <si>
    <t>Perquenco</t>
  </si>
  <si>
    <t>Pitrufquén</t>
  </si>
  <si>
    <t>Pucón</t>
  </si>
  <si>
    <t>Saavedra</t>
  </si>
  <si>
    <t>Teodoro Schmidt</t>
  </si>
  <si>
    <t>Toltén</t>
  </si>
  <si>
    <t>Vilcún</t>
  </si>
  <si>
    <t>Villarrica</t>
  </si>
  <si>
    <t>Cholchol</t>
  </si>
  <si>
    <t>Angol</t>
  </si>
  <si>
    <t>Collipulli</t>
  </si>
  <si>
    <t>Curacautín</t>
  </si>
  <si>
    <t>Ercilla</t>
  </si>
  <si>
    <t>Lonquimay</t>
  </si>
  <si>
    <t>Los Sauces</t>
  </si>
  <si>
    <t>Lumaco</t>
  </si>
  <si>
    <t>Purén</t>
  </si>
  <si>
    <t>Renaico</t>
  </si>
  <si>
    <t>Traiguén</t>
  </si>
  <si>
    <t>Victoria</t>
  </si>
  <si>
    <t>Puerto Montt</t>
  </si>
  <si>
    <t>Calbuco</t>
  </si>
  <si>
    <t>Cochamó</t>
  </si>
  <si>
    <t>Fresia</t>
  </si>
  <si>
    <t>Frutillar</t>
  </si>
  <si>
    <t>Los Muermos</t>
  </si>
  <si>
    <t>Llanquihue</t>
  </si>
  <si>
    <t>Maullín</t>
  </si>
  <si>
    <t>Puerto Varas</t>
  </si>
  <si>
    <t>Castro</t>
  </si>
  <si>
    <t>Ancud</t>
  </si>
  <si>
    <t>Chonchi</t>
  </si>
  <si>
    <t>Curaco de Vélez</t>
  </si>
  <si>
    <t>Dalcahue</t>
  </si>
  <si>
    <t>Puqueldón</t>
  </si>
  <si>
    <t>Queilén</t>
  </si>
  <si>
    <t>Quellón</t>
  </si>
  <si>
    <t>Quemchi</t>
  </si>
  <si>
    <t>Quinchao</t>
  </si>
  <si>
    <t>Osorno</t>
  </si>
  <si>
    <t>Puerto Octay</t>
  </si>
  <si>
    <t>Purranque</t>
  </si>
  <si>
    <t>Puyehue</t>
  </si>
  <si>
    <t>Río Negro</t>
  </si>
  <si>
    <t>San Juan de La Costa</t>
  </si>
  <si>
    <t>San Pablo</t>
  </si>
  <si>
    <t>Chaitén</t>
  </si>
  <si>
    <t>Futaleufú</t>
  </si>
  <si>
    <t>Hualaihué</t>
  </si>
  <si>
    <t>Palena</t>
  </si>
  <si>
    <t>Coihaique</t>
  </si>
  <si>
    <t>Lago Verde</t>
  </si>
  <si>
    <t>Aisén</t>
  </si>
  <si>
    <t>Cisnes</t>
  </si>
  <si>
    <t>Guaitecas</t>
  </si>
  <si>
    <t>Cochrane</t>
  </si>
  <si>
    <t>Tortel</t>
  </si>
  <si>
    <t>Chile Chico</t>
  </si>
  <si>
    <t>Río Ibáñez</t>
  </si>
  <si>
    <t>Punta Arenas</t>
  </si>
  <si>
    <t>Laguna Blanca</t>
  </si>
  <si>
    <t>Río Verde</t>
  </si>
  <si>
    <t>San Gregorio</t>
  </si>
  <si>
    <t>Cabo de Hornos</t>
  </si>
  <si>
    <t>Porvenir</t>
  </si>
  <si>
    <t>Primavera</t>
  </si>
  <si>
    <t>Timaukel</t>
  </si>
  <si>
    <t>Natales</t>
  </si>
  <si>
    <t>Torres del Paine</t>
  </si>
  <si>
    <t>Santiago</t>
  </si>
  <si>
    <t>Cerrillos</t>
  </si>
  <si>
    <t>Cerro Navia</t>
  </si>
  <si>
    <t>Conchalí</t>
  </si>
  <si>
    <t>El Bosque</t>
  </si>
  <si>
    <t>Estación Central</t>
  </si>
  <si>
    <t>Huechuraba</t>
  </si>
  <si>
    <t>Independencia</t>
  </si>
  <si>
    <t>La Cisterna</t>
  </si>
  <si>
    <t>La Florida</t>
  </si>
  <si>
    <t>La Granja</t>
  </si>
  <si>
    <t>La Pintana</t>
  </si>
  <si>
    <t>La Reina</t>
  </si>
  <si>
    <t>Las Condes</t>
  </si>
  <si>
    <t>Lo Barnechea</t>
  </si>
  <si>
    <t>Lo Espejo</t>
  </si>
  <si>
    <t>Lo Prado</t>
  </si>
  <si>
    <t>Macul</t>
  </si>
  <si>
    <t>Maipú</t>
  </si>
  <si>
    <t>Ñuñoa</t>
  </si>
  <si>
    <t>Pedro Aguirre Cerda</t>
  </si>
  <si>
    <t>Peñalolén</t>
  </si>
  <si>
    <t>Providencia</t>
  </si>
  <si>
    <t>Pudahuel</t>
  </si>
  <si>
    <t>Quilicura</t>
  </si>
  <si>
    <t>Quinta Normal</t>
  </si>
  <si>
    <t>Renca</t>
  </si>
  <si>
    <t>San Joaquín</t>
  </si>
  <si>
    <t>San Miguel</t>
  </si>
  <si>
    <t>San Ramón</t>
  </si>
  <si>
    <t>Vitacura</t>
  </si>
  <si>
    <t>Puente Alto</t>
  </si>
  <si>
    <t>Pirque</t>
  </si>
  <si>
    <t>San José de Maipo</t>
  </si>
  <si>
    <t>Colina</t>
  </si>
  <si>
    <t>Lampa</t>
  </si>
  <si>
    <t>Tiltil</t>
  </si>
  <si>
    <t>San Bernardo</t>
  </si>
  <si>
    <t>Buin</t>
  </si>
  <si>
    <t>Calera de Tango</t>
  </si>
  <si>
    <t>Paine</t>
  </si>
  <si>
    <t>Melipilla</t>
  </si>
  <si>
    <t>Alhué</t>
  </si>
  <si>
    <t>Curacaví</t>
  </si>
  <si>
    <t>María Pinto</t>
  </si>
  <si>
    <t>San Pedro</t>
  </si>
  <si>
    <t>Talagante</t>
  </si>
  <si>
    <t>El Monte</t>
  </si>
  <si>
    <t>Isla de Maipo</t>
  </si>
  <si>
    <t>Padre Hurtado</t>
  </si>
  <si>
    <t>Peñaflor</t>
  </si>
  <si>
    <t>Valdivia</t>
  </si>
  <si>
    <t>Corral</t>
  </si>
  <si>
    <t>Lanco</t>
  </si>
  <si>
    <t>Máfil</t>
  </si>
  <si>
    <t>Mariquina</t>
  </si>
  <si>
    <t>Paillaco</t>
  </si>
  <si>
    <t>Panguipulli</t>
  </si>
  <si>
    <t>La Unión</t>
  </si>
  <si>
    <t>Futrono</t>
  </si>
  <si>
    <t>Lago Ranco</t>
  </si>
  <si>
    <t>Río Bueno</t>
  </si>
  <si>
    <t>Arica</t>
  </si>
  <si>
    <t>Camarones</t>
  </si>
  <si>
    <t>Putre</t>
  </si>
  <si>
    <t>General Lagos</t>
  </si>
  <si>
    <t>Filtro URL</t>
  </si>
  <si>
    <t>Región de Tarapacá</t>
  </si>
  <si>
    <t>Región de Antofagasta</t>
  </si>
  <si>
    <t>Región de Atacama</t>
  </si>
  <si>
    <t>Región de Coquimbo</t>
  </si>
  <si>
    <t>Región de Valparaíso</t>
  </si>
  <si>
    <t>Región de O'Higgins</t>
  </si>
  <si>
    <t>Región de Maule</t>
  </si>
  <si>
    <t>Región del Biobío</t>
  </si>
  <si>
    <t>Región de La Araucanía</t>
  </si>
  <si>
    <t>Región de Los Lagos</t>
  </si>
  <si>
    <t>Región de Aysén</t>
  </si>
  <si>
    <t>Región de Magallanes</t>
  </si>
  <si>
    <t>Región Metropolitana</t>
  </si>
  <si>
    <t>Región de Los Ríos</t>
  </si>
  <si>
    <t>Región de Arica y Parinacota</t>
  </si>
  <si>
    <t>Región de Ñuble</t>
  </si>
  <si>
    <t>Suscripcion</t>
  </si>
  <si>
    <t>idcoleccion</t>
  </si>
  <si>
    <t>Color</t>
  </si>
  <si>
    <t>(en blanco)</t>
  </si>
  <si>
    <t>Nacional</t>
  </si>
  <si>
    <t>Gráfico Base</t>
  </si>
  <si>
    <t>Gráfico Evolución</t>
  </si>
  <si>
    <t>id_tema</t>
  </si>
  <si>
    <t>id_contenido</t>
  </si>
  <si>
    <t>idescala</t>
  </si>
  <si>
    <t>id_muestra</t>
  </si>
  <si>
    <t>idfiltro</t>
  </si>
  <si>
    <t>0001</t>
  </si>
  <si>
    <t>0002</t>
  </si>
  <si>
    <t>id_grafico</t>
  </si>
  <si>
    <t>idterritorio</t>
  </si>
  <si>
    <t>id_territorio</t>
  </si>
  <si>
    <t>cod</t>
  </si>
  <si>
    <t>#1774B9</t>
  </si>
  <si>
    <t>Agencia de Información</t>
  </si>
  <si>
    <t>Agencia Información</t>
  </si>
  <si>
    <t>Ingresos</t>
  </si>
  <si>
    <t>Ingresos regionales</t>
  </si>
  <si>
    <t>Periodo 2006-2017</t>
  </si>
  <si>
    <t>Encuestas CASEN</t>
  </si>
  <si>
    <t>Ninguno</t>
  </si>
  <si>
    <t>Socioeconómico</t>
  </si>
  <si>
    <t>La región de Antofagasta es la que posee el ingreso medios mensual en el año 2017 entre las 16 regiones del país, con una cifra de algo más de 380 mil CLP/mes. En relación a la estimación anterior, del año 2015, el ingreso aumenta en un 7,3%.</t>
  </si>
  <si>
    <t>https://analytics.zoho.com/open-view/2395394000000579068</t>
  </si>
  <si>
    <t>0003</t>
  </si>
  <si>
    <t>0004</t>
  </si>
  <si>
    <t>0005</t>
  </si>
  <si>
    <t>0006</t>
  </si>
  <si>
    <t>0007</t>
  </si>
  <si>
    <t>0008</t>
  </si>
  <si>
    <t>0009</t>
  </si>
  <si>
    <t>0010</t>
  </si>
  <si>
    <t>0011</t>
  </si>
  <si>
    <t>0012</t>
  </si>
  <si>
    <t>0013</t>
  </si>
  <si>
    <t>0014</t>
  </si>
  <si>
    <t>0015</t>
  </si>
  <si>
    <t>0016</t>
  </si>
  <si>
    <t>0017</t>
  </si>
  <si>
    <t>0019</t>
  </si>
  <si>
    <t>Ingresos Promedio Mensual (CLP/mes)</t>
  </si>
  <si>
    <t>PENDIENTE</t>
  </si>
  <si>
    <t>Suscripción Regional</t>
  </si>
  <si>
    <t>Indicadores de Calidad de Educación Municipal</t>
  </si>
  <si>
    <t>Calidad de la Educación</t>
  </si>
  <si>
    <t>Periodo 2001-2020</t>
  </si>
  <si>
    <t>Porcentaje (%)</t>
  </si>
  <si>
    <t>Proporción de Alumnos de 4to Medio con más de 450 puntos en la PSU según dependencia de colegios</t>
  </si>
  <si>
    <t>0020</t>
  </si>
  <si>
    <t>0021</t>
  </si>
  <si>
    <t>0022</t>
  </si>
  <si>
    <t>Sistema Nacional de Información Municipal</t>
  </si>
  <si>
    <t>Más allá de la gestión alcaldicia, durante los últimos 20 años la proporción de alumnos con más de 450 puntos en la PSU se mantiene estable para colegios municipales en relación a los Subvencionados y Particulares Pagados.</t>
  </si>
  <si>
    <t>0023</t>
  </si>
  <si>
    <t>0024</t>
  </si>
  <si>
    <t>0025</t>
  </si>
  <si>
    <t>0026</t>
  </si>
  <si>
    <t>0027</t>
  </si>
  <si>
    <t>0028</t>
  </si>
  <si>
    <t>0029</t>
  </si>
  <si>
    <t>0030</t>
  </si>
  <si>
    <t>0031</t>
  </si>
  <si>
    <t>0032</t>
  </si>
  <si>
    <t>0033</t>
  </si>
  <si>
    <t>0034</t>
  </si>
  <si>
    <t>0035</t>
  </si>
  <si>
    <t>0036</t>
  </si>
  <si>
    <t>0037</t>
  </si>
  <si>
    <t>0038</t>
  </si>
  <si>
    <t>0039</t>
  </si>
  <si>
    <t>0040</t>
  </si>
  <si>
    <t>0041</t>
  </si>
  <si>
    <t>0042</t>
  </si>
  <si>
    <t>0043</t>
  </si>
  <si>
    <t>0044</t>
  </si>
  <si>
    <t>0045</t>
  </si>
  <si>
    <t>0046</t>
  </si>
  <si>
    <t>0047</t>
  </si>
  <si>
    <t>0048</t>
  </si>
  <si>
    <t>Centro de Estudios y Análisis del Delito (CEAD) de la Subsecretaría de Prevención del Delito</t>
  </si>
  <si>
    <t>Año 2020</t>
  </si>
  <si>
    <t>Número de Denuncias</t>
  </si>
  <si>
    <t>Mujeres</t>
  </si>
  <si>
    <t>Violaciones</t>
  </si>
  <si>
    <t>Denuncias</t>
  </si>
  <si>
    <t>Las comunas más pobladas de la región Metropolitana son las que presentan mayores frecuencias de denuncias por violación el año 2020. Puente Alto, La Florida, San Bernardo, Maipú y Santiago muestran las mayores cifras de denuncias.</t>
  </si>
  <si>
    <t>0049</t>
  </si>
  <si>
    <t>0050</t>
  </si>
  <si>
    <t>0051</t>
  </si>
  <si>
    <t>0052</t>
  </si>
  <si>
    <t>0053</t>
  </si>
  <si>
    <t>0054</t>
  </si>
  <si>
    <t>0055</t>
  </si>
  <si>
    <t>0056</t>
  </si>
  <si>
    <t>0057</t>
  </si>
  <si>
    <t>0058</t>
  </si>
  <si>
    <t>0059</t>
  </si>
  <si>
    <t>0060</t>
  </si>
  <si>
    <t>0061</t>
  </si>
  <si>
    <t>0062</t>
  </si>
  <si>
    <t>0063</t>
  </si>
  <si>
    <t>0064</t>
  </si>
  <si>
    <t>0065</t>
  </si>
  <si>
    <t>0066</t>
  </si>
  <si>
    <t>0067</t>
  </si>
  <si>
    <t>0068</t>
  </si>
  <si>
    <t>0069</t>
  </si>
  <si>
    <t>0070</t>
  </si>
  <si>
    <t>0071</t>
  </si>
  <si>
    <t xml:space="preserve">Gráfico  </t>
  </si>
  <si>
    <t>Suscripción RM</t>
  </si>
  <si>
    <t>Suscripción Nacional</t>
  </si>
  <si>
    <t>Gráficos Expandidos</t>
  </si>
  <si>
    <t>https://analytics.zoho.com/open-view/2395394000006789748?ZOHO_CRITERIA=%22Localiza%20CL%22.%22Codreg%22%3D13</t>
  </si>
  <si>
    <t>Ingresos promedio</t>
  </si>
  <si>
    <t>Ingresos por etnia</t>
  </si>
  <si>
    <t>CASEN 2017</t>
  </si>
  <si>
    <t>POR DEFINIR</t>
  </si>
  <si>
    <t>La población de la etnia Mapuche se distribuye en las 16 regiones del país en distintas proporciones. Las regiones donde las personas de este grupo étnico logran mayores ingresos mensuales, en promedio, son la de Arica y Parinacota y Magallanes.</t>
  </si>
  <si>
    <t>https://analytics.zoho.com/open-view/2395394000007718948</t>
  </si>
  <si>
    <t>Año 2017</t>
  </si>
  <si>
    <t>0072</t>
  </si>
  <si>
    <t>0073</t>
  </si>
  <si>
    <t>0074</t>
  </si>
  <si>
    <t>0075</t>
  </si>
  <si>
    <t>0076</t>
  </si>
  <si>
    <t>0077</t>
  </si>
  <si>
    <t>0078</t>
  </si>
  <si>
    <t>0079</t>
  </si>
  <si>
    <t>0080</t>
  </si>
  <si>
    <t>0081</t>
  </si>
  <si>
    <t>0082</t>
  </si>
  <si>
    <t>0083</t>
  </si>
  <si>
    <t>0084</t>
  </si>
  <si>
    <t>0085</t>
  </si>
  <si>
    <t>0086</t>
  </si>
  <si>
    <t>Gestión Educación</t>
  </si>
  <si>
    <t>0087</t>
  </si>
  <si>
    <t>0088</t>
  </si>
  <si>
    <t>0089</t>
  </si>
  <si>
    <t>0090</t>
  </si>
  <si>
    <t>0091</t>
  </si>
  <si>
    <t>0092</t>
  </si>
  <si>
    <t>0093</t>
  </si>
  <si>
    <t>0094</t>
  </si>
  <si>
    <t>0095</t>
  </si>
  <si>
    <t>0096</t>
  </si>
  <si>
    <t>0097</t>
  </si>
  <si>
    <t>0098</t>
  </si>
  <si>
    <t>0099</t>
  </si>
  <si>
    <t>0100</t>
  </si>
  <si>
    <t>0101</t>
  </si>
  <si>
    <t>0102</t>
  </si>
  <si>
    <t>0103</t>
  </si>
  <si>
    <t>Periodo 2019-2020</t>
  </si>
  <si>
    <t>Ranking de Comunas: Número de Alumnos por Docente en Aula del año 2019 y 2020 y su variación porcentual para los Colegios Municipales</t>
  </si>
  <si>
    <t>Gobiernos locales</t>
  </si>
  <si>
    <t>https://analytics.zoho.com/open-view/2395394000007756457</t>
  </si>
  <si>
    <t>Ranking</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</si>
  <si>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</si>
  <si>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</si>
  <si>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</si>
  <si>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</si>
  <si>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</si>
  <si>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</si>
  <si>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</si>
  <si>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</si>
  <si>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</si>
  <si>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</si>
  <si>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</si>
  <si>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</si>
  <si>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</si>
  <si>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</si>
  <si>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</si>
  <si>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</si>
  <si>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</si>
  <si>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</si>
  <si>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</si>
  <si>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</si>
  <si>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</si>
  <si>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</si>
  <si>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</si>
  <si>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</si>
  <si>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</si>
  <si>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</si>
  <si>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</si>
  <si>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</si>
  <si>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</si>
  <si>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</si>
  <si>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</si>
  <si>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</si>
  <si>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</si>
  <si>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</si>
  <si>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</si>
  <si>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</si>
  <si>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</si>
  <si>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</si>
  <si>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</si>
  <si>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</si>
  <si>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</si>
  <si>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</si>
  <si>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</si>
  <si>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</si>
  <si>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</si>
  <si>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</si>
  <si>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</si>
  <si>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</si>
  <si>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</si>
  <si>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</si>
  <si>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</si>
  <si>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</si>
  <si>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</si>
  <si>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</si>
  <si>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</si>
  <si>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</si>
  <si>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</si>
  <si>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</si>
  <si>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</si>
  <si>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</si>
  <si>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</si>
  <si>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</si>
  <si>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</si>
  <si>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</si>
  <si>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</si>
  <si>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</si>
  <si>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</si>
  <si>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</si>
  <si>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</si>
  <si>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</si>
  <si>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</si>
  <si>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</si>
  <si>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</si>
  <si>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</si>
  <si>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</si>
  <si>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</si>
  <si>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</si>
  <si>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Salud</t>
  </si>
  <si>
    <t>Casos activos COVID-19</t>
  </si>
  <si>
    <t>COVID-19</t>
  </si>
  <si>
    <t>Periodo 2020-2021</t>
  </si>
  <si>
    <t>Casos Activos por 1 millón de habitantes</t>
  </si>
  <si>
    <t>Ministerio de Ciencia y Tecnología</t>
  </si>
  <si>
    <t>La comuna de Iquique presenta un mayor cantidad de casos activos por COVID-19 en los meses de enero y abril del año 2021, superando los 4.000 casos por millón de habitantes. En el mes de julio del mismo año, esta cifra disminuyó a menos de 1500 casos por millón de habitantes.</t>
  </si>
  <si>
    <t>https://analytics.zoho.com/open-view/2395394000007211567?ZOHO_CRITERIA=%22Localiza_CL_Poblacion%22.%22Codcom%22%3D1101</t>
  </si>
  <si>
    <t>Agropecuario y Forestal</t>
  </si>
  <si>
    <t>Fruta exportada</t>
  </si>
  <si>
    <t>Exportaciones</t>
  </si>
  <si>
    <t>Periodo 2012-2020</t>
  </si>
  <si>
    <t>Toneladas</t>
  </si>
  <si>
    <t>Servicio Nacional de Aduanas</t>
  </si>
  <si>
    <t>La manzana es la fruta que más exporta Chile, con un volumen de 7.943.153 ton durante el periodo 2012 – 2020. En segundo lugar está la uva con un volumen de 7.410.265 ton.</t>
  </si>
  <si>
    <t>Gráfico</t>
  </si>
  <si>
    <t>https://analytics.zoho.com/open-view/2395394000005925456?ZOHO_CRITERIA=%22Trasposicion_4.1%22.%22Valor%22%20%3E%200.99</t>
  </si>
  <si>
    <t>Mapa</t>
  </si>
  <si>
    <t>Chile exporta fruta a más de 80 países de todo el mundo. EEUU es el país que recibe más toneladas de fruta desde Chile, en segundo lugar está China. De Sudamérica Colombia es el país que más toneladas de fruta recibe.</t>
  </si>
  <si>
    <t>Sentencias por delitos de abuso sexual</t>
  </si>
  <si>
    <t>Abuso sexual</t>
  </si>
  <si>
    <t>Periodo 2013-2019</t>
  </si>
  <si>
    <t>Número de Sentencias</t>
  </si>
  <si>
    <t>Poder Judicial</t>
  </si>
  <si>
    <t>El delito de Abuso Sexual que más sentencias acumula para el periodo comprendido entre los años 2013 – 2019, en la región Metropolitana, es el calificado como Abuso sexual con contacto de menor de 14 de años, el que supera las 34.000 sentencia cada año.</t>
  </si>
  <si>
    <t>https://analytics.zoho.com/open-view/2395394000007173975?ZOHO_CRITERIA=%22Localiza%20CL%22.%22Codreg%22%3D13</t>
  </si>
  <si>
    <t>CLP/mes</t>
  </si>
  <si>
    <t>Proporción alumnos sobre 450 pts PSU</t>
  </si>
  <si>
    <t>Denuncias por violación</t>
  </si>
  <si>
    <t>Número de alumnos por docente en aula</t>
  </si>
  <si>
    <t>Número de Casos</t>
  </si>
  <si>
    <t>Volumen fruta exportada</t>
  </si>
  <si>
    <t>Ingresos Promedio Mensual</t>
  </si>
  <si>
    <t>Cuenta de id_grafico</t>
  </si>
  <si>
    <t>Total Sentencias por delitos de abuso sexual</t>
  </si>
  <si>
    <t>Total Abuso sexual</t>
  </si>
  <si>
    <t>Total Indicadores de Calidad de Educación Municipal</t>
  </si>
  <si>
    <t>Total Calidad de la Educación</t>
  </si>
  <si>
    <t>Total Casos activos COVID-19</t>
  </si>
  <si>
    <t>Total COVID-19</t>
  </si>
  <si>
    <t>Total Fruta exportada</t>
  </si>
  <si>
    <t>Total Exportaciones</t>
  </si>
  <si>
    <t>Total Gestión Educación</t>
  </si>
  <si>
    <t>Total Ingresos por etnia</t>
  </si>
  <si>
    <t>Total Ingresos promedio</t>
  </si>
  <si>
    <t>Total Ingresos regionales</t>
  </si>
  <si>
    <t>Total Ingresos</t>
  </si>
  <si>
    <t>Total Denuncias</t>
  </si>
  <si>
    <t>Total Violaciones</t>
  </si>
  <si>
    <t>Total Agencia Información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</si>
</sst>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7"/>
      <color theme="0"/>
      <name val="Arial"/>
      <family val="2"/>
    </font>
    <font>
      <u/>
      <sz val="11"/>
      <color theme="10"/>
      <name val="Calibri"/>
      <family val="2"/>
      <scheme val="minor"/>
    </font>
    <font>
      <sz val="9"/>
      <color theme="1"/>
      <name val="Calibri"/>
      <family val="2"/>
      <scheme val="minor"/>
    </font>
    <font>
      <sz val="8"/>
      <color theme="1"/>
      <name val="Calibri"/>
      <family val="2"/>
      <scheme val="minor"/>
    </font>
    <font>
      <u/>
      <sz val="8"/>
      <color theme="10"/>
      <name val="Calibri"/>
      <family val="2"/>
      <scheme val="minor"/>
    </font>
    <font>
      <b/>
      <sz val="9"/>
      <color theme="1"/>
      <name val="Calibri"/>
      <family val="2"/>
      <scheme val="minor"/>
    </font>
    <font>
      <b/>
      <sz val="8"/>
      <color theme="1"/>
      <name val="Calibri"/>
      <family val="2"/>
      <scheme val="minor"/>
    </font>
    <font>
      <sz val="8"/>
      <name val="Calibri"/>
      <family val="2"/>
      <scheme val="minor"/>
    </font>
    <font>
      <b/>
      <sz val="11"/>
      <color theme="1"/>
      <name val="Calibri"/>
      <family val="2"/>
      <scheme val="minor"/>
    </font>
    <font>
      <b/>
      <sz val="11"/>
      <color rgb="FFFF0000"/>
      <name val="Calibri"/>
      <family val="2"/>
      <scheme val="minor"/>
    </font>
    <font>
      <b/>
      <sz val="11"/>
      <color theme="0"/>
      <name val="Calibri"/>
      <family val="2"/>
      <scheme val="minor"/>
    </font>
    <font>
      <sz val="11"/>
      <color theme="0"/>
      <name val="Calibri"/>
      <family val="2"/>
      <scheme val="minor"/>
    </font>
    <font>
      <sz val="9"/>
      <color theme="0"/>
      <name val="Calibri"/>
      <family val="2"/>
      <scheme val="minor"/>
    </font>
    <font>
      <sz val="9"/>
      <name val="Calibri"/>
      <family val="2"/>
      <scheme val="minor"/>
    </font>
    <font>
      <u/>
      <sz val="8"/>
      <color rgb="FFFF0000"/>
      <name val="Calibri"/>
      <family val="2"/>
      <scheme val="minor"/>
    </font>
    <font>
      <b/>
      <sz val="11"/>
      <name val="Calibri"/>
      <family val="2"/>
      <scheme val="minor"/>
    </font>
    <font>
      <sz val="9"/>
      <color rgb="FFFF0000"/>
      <name val="Calibri"/>
      <family val="2"/>
      <scheme val="minor"/>
    </font>
    <font>
      <b/>
      <sz val="9"/>
      <color theme="0"/>
      <name val="Calibri"/>
      <family val="2"/>
      <scheme val="minor"/>
    </font>
  </fonts>
  <fills count="15">
    <fill>
      <patternFill patternType="none"/>
    </fill>
    <fill>
      <patternFill patternType="gray125"/>
    </fill>
    <fill>
      <patternFill patternType="solid">
        <fgColor theme="1"/>
        <bgColor theme="1"/>
      </patternFill>
    </fill>
    <fill>
      <patternFill patternType="solid">
        <fgColor rgb="FFC00000"/>
        <bgColor indexed="64"/>
      </patternFill>
    </fill>
    <fill>
      <patternFill patternType="solid">
        <fgColor theme="6" tint="0.39997558519241921"/>
        <bgColor indexed="64"/>
      </patternFill>
    </fill>
    <fill>
      <patternFill patternType="solid">
        <fgColor theme="8" tint="0.79998168889431442"/>
        <bgColor indexed="64"/>
      </patternFill>
    </fill>
    <fill>
      <patternFill patternType="solid">
        <fgColor rgb="FFFFFF00"/>
        <bgColor indexed="64"/>
      </patternFill>
    </fill>
    <fill>
      <patternFill patternType="solid">
        <fgColor theme="9" tint="-0.249977111117893"/>
        <bgColor theme="1"/>
      </patternFill>
    </fill>
    <fill>
      <patternFill patternType="solid">
        <fgColor theme="9" tint="-0.249977111117893"/>
        <bgColor indexed="64"/>
      </patternFill>
    </fill>
    <fill>
      <patternFill patternType="solid">
        <fgColor rgb="FFFF0000"/>
        <bgColor indexed="64"/>
      </patternFill>
    </fill>
    <fill>
      <patternFill patternType="solid">
        <fgColor rgb="FFFF0000"/>
        <bgColor theme="1"/>
      </patternFill>
    </fill>
    <fill>
      <patternFill patternType="solid">
        <fgColor theme="3" tint="0.79998168889431442"/>
        <bgColor indexed="64"/>
      </patternFill>
    </fill>
    <fill>
      <patternFill patternType="solid">
        <fgColor theme="9" tint="0.79998168889431442"/>
        <bgColor indexed="64"/>
      </patternFill>
    </fill>
    <fill>
      <patternFill patternType="solid">
        <fgColor theme="4" tint="-0.249977111117893"/>
        <bgColor indexed="64"/>
      </patternFill>
    </fill>
    <fill>
      <patternFill patternType="solid">
        <fgColor theme="4"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bottom style="thin">
        <color theme="4" tint="0.39997558519241921"/>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bottom/>
      <diagonal/>
    </border>
  </borders>
  <cellStyleXfs count="2">
    <xf numFmtId="0" fontId="0" fillId="0" borderId="0"/>
    <xf numFmtId="0" fontId="2" fillId="0" borderId="0" applyNumberFormat="0" applyFill="0" applyBorder="0" applyAlignment="0" applyProtection="0"/>
  </cellStyleXfs>
  <cellXfs count="66">
    <xf numFmtId="0" fontId="0" fillId="0" borderId="0" xfId="0"/>
    <xf numFmtId="0" fontId="4" fillId="0" borderId="0" xfId="0" applyFont="1" applyAlignment="1">
      <alignment wrapText="1"/>
    </xf>
    <xf numFmtId="0" fontId="0" fillId="0" borderId="0" xfId="0" applyAlignment="1">
      <alignment horizontal="center"/>
    </xf>
    <xf numFmtId="0" fontId="1" fillId="7" borderId="2" xfId="0" applyFont="1" applyFill="1" applyBorder="1" applyAlignment="1">
      <alignment horizontal="left" vertical="center" wrapText="1"/>
    </xf>
    <xf numFmtId="0" fontId="0" fillId="0" borderId="0" xfId="0" pivotButton="1"/>
    <xf numFmtId="0" fontId="9" fillId="0" borderId="0" xfId="0" applyFont="1" applyAlignment="1">
      <alignment horizontal="center" vertical="center"/>
    </xf>
    <xf numFmtId="0" fontId="10" fillId="6" borderId="0" xfId="0" applyFont="1" applyFill="1" applyAlignment="1">
      <alignment horizontal="center" vertical="center"/>
    </xf>
    <xf numFmtId="0" fontId="12" fillId="9" borderId="0" xfId="0" applyFont="1" applyFill="1"/>
    <xf numFmtId="0" fontId="11" fillId="9" borderId="3" xfId="0" applyFont="1" applyFill="1" applyBorder="1"/>
    <xf numFmtId="0" fontId="1" fillId="2" borderId="4" xfId="0" applyFont="1" applyFill="1" applyBorder="1" applyAlignment="1">
      <alignment horizontal="center" vertical="center" wrapText="1"/>
    </xf>
    <xf numFmtId="0" fontId="1" fillId="2" borderId="4" xfId="0" applyFont="1" applyFill="1" applyBorder="1" applyAlignment="1">
      <alignment horizontal="left" vertical="center" wrapText="1"/>
    </xf>
    <xf numFmtId="0" fontId="1" fillId="7" borderId="4" xfId="0" applyFont="1" applyFill="1" applyBorder="1" applyAlignment="1">
      <alignment horizontal="left" vertical="center" wrapText="1"/>
    </xf>
    <xf numFmtId="0" fontId="1" fillId="3" borderId="4" xfId="0" applyFont="1" applyFill="1" applyBorder="1" applyAlignment="1">
      <alignment horizontal="center" vertical="center" wrapText="1"/>
    </xf>
    <xf numFmtId="0" fontId="1" fillId="8" borderId="4" xfId="0" applyFont="1" applyFill="1" applyBorder="1" applyAlignment="1">
      <alignment horizontal="center" vertical="center" wrapText="1"/>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0" fontId="6" fillId="5" borderId="1" xfId="0" applyFont="1" applyFill="1" applyBorder="1" applyAlignment="1">
      <alignment horizontal="center" vertical="top" wrapText="1"/>
    </xf>
    <xf numFmtId="0" fontId="4" fillId="0" borderId="1" xfId="0" applyFont="1" applyBorder="1" applyAlignment="1">
      <alignment vertical="top" wrapText="1"/>
    </xf>
    <xf numFmtId="0" fontId="5" fillId="0" borderId="1" xfId="1" applyFont="1" applyBorder="1" applyAlignment="1">
      <alignment vertical="top" wrapText="1"/>
    </xf>
    <xf numFmtId="0" fontId="0" fillId="6" borderId="0" xfId="0" applyFill="1"/>
    <xf numFmtId="0" fontId="1" fillId="10" borderId="2" xfId="0" applyFont="1" applyFill="1" applyBorder="1" applyAlignment="1">
      <alignment horizontal="left" vertical="center" wrapText="1"/>
    </xf>
    <xf numFmtId="0" fontId="7" fillId="11" borderId="1" xfId="0" applyFont="1" applyFill="1" applyBorder="1" applyAlignment="1">
      <alignment horizontal="center" vertical="center"/>
    </xf>
    <xf numFmtId="0" fontId="9" fillId="0" borderId="0" xfId="0" applyFont="1" applyAlignment="1">
      <alignment horizontal="center"/>
    </xf>
    <xf numFmtId="0" fontId="11" fillId="3" borderId="0" xfId="0" applyFont="1" applyFill="1"/>
    <xf numFmtId="0" fontId="9" fillId="6" borderId="0" xfId="0" applyFont="1" applyFill="1" applyAlignment="1">
      <alignment horizontal="center"/>
    </xf>
    <xf numFmtId="0" fontId="3" fillId="0" borderId="1" xfId="0" applyFont="1" applyFill="1" applyBorder="1" applyAlignment="1">
      <alignment horizontal="left" vertical="top" wrapText="1"/>
    </xf>
    <xf numFmtId="0" fontId="13" fillId="9" borderId="1" xfId="0" quotePrefix="1" applyFont="1" applyFill="1" applyBorder="1" applyAlignment="1">
      <alignment horizontal="center" vertical="top" wrapText="1"/>
    </xf>
    <xf numFmtId="0" fontId="7" fillId="12" borderId="1" xfId="0" applyFont="1" applyFill="1" applyBorder="1" applyAlignment="1">
      <alignment horizontal="center" vertical="center"/>
    </xf>
    <xf numFmtId="0" fontId="4" fillId="0" borderId="1" xfId="0" applyFont="1" applyBorder="1" applyAlignment="1">
      <alignment horizontal="left" vertical="top" wrapText="1"/>
    </xf>
    <xf numFmtId="0" fontId="14" fillId="0" borderId="1" xfId="0" quotePrefix="1" applyFont="1" applyFill="1" applyBorder="1" applyAlignment="1">
      <alignment horizontal="center" vertical="top" wrapText="1"/>
    </xf>
    <xf numFmtId="0" fontId="15" fillId="0" borderId="1" xfId="1" applyFont="1" applyBorder="1" applyAlignment="1">
      <alignment vertical="top" wrapText="1"/>
    </xf>
    <xf numFmtId="0" fontId="0" fillId="6" borderId="1" xfId="0" applyFont="1" applyFill="1" applyBorder="1" applyAlignment="1">
      <alignment horizontal="center" vertical="top" wrapText="1"/>
    </xf>
    <xf numFmtId="0" fontId="7" fillId="6" borderId="1" xfId="0" applyFont="1" applyFill="1" applyBorder="1" applyAlignment="1">
      <alignment horizontal="center" vertical="top" wrapText="1"/>
    </xf>
    <xf numFmtId="0" fontId="6" fillId="6" borderId="1" xfId="0" applyFont="1" applyFill="1" applyBorder="1" applyAlignment="1">
      <alignment horizontal="center" vertical="top"/>
    </xf>
    <xf numFmtId="0" fontId="4" fillId="6" borderId="5" xfId="0" applyFont="1" applyFill="1" applyBorder="1" applyAlignment="1">
      <alignment vertical="top" wrapText="1"/>
    </xf>
    <xf numFmtId="0" fontId="6" fillId="6" borderId="1" xfId="0" applyNumberFormat="1" applyFont="1" applyFill="1" applyBorder="1" applyAlignment="1">
      <alignment horizontal="center" vertical="top"/>
    </xf>
    <xf numFmtId="0" fontId="4" fillId="6" borderId="1" xfId="0" applyFont="1" applyFill="1" applyBorder="1" applyAlignment="1">
      <alignment vertical="top" wrapText="1"/>
    </xf>
    <xf numFmtId="0" fontId="0" fillId="6" borderId="1" xfId="0" applyNumberFormat="1" applyFill="1" applyBorder="1" applyAlignment="1">
      <alignment horizontal="center" vertical="top"/>
    </xf>
    <xf numFmtId="0" fontId="0" fillId="6" borderId="6" xfId="0" applyNumberFormat="1" applyFill="1" applyBorder="1" applyAlignment="1">
      <alignment horizontal="center" vertical="top"/>
    </xf>
    <xf numFmtId="0" fontId="3" fillId="0" borderId="4" xfId="0" applyFont="1" applyBorder="1" applyAlignment="1">
      <alignment horizontal="center" vertical="top" wrapText="1"/>
    </xf>
    <xf numFmtId="0" fontId="3" fillId="0" borderId="4" xfId="0" applyFont="1" applyBorder="1" applyAlignment="1">
      <alignment horizontal="left" vertical="top" wrapText="1"/>
    </xf>
    <xf numFmtId="0" fontId="3" fillId="0" borderId="4" xfId="0" applyFont="1" applyFill="1" applyBorder="1" applyAlignment="1">
      <alignment horizontal="left" vertical="top" wrapText="1"/>
    </xf>
    <xf numFmtId="0" fontId="4" fillId="0" borderId="4" xfId="0" applyFont="1" applyBorder="1" applyAlignment="1">
      <alignment horizontal="left" vertical="top" wrapText="1"/>
    </xf>
    <xf numFmtId="0" fontId="4" fillId="0" borderId="4" xfId="0" applyFont="1" applyBorder="1" applyAlignment="1">
      <alignment vertical="top" wrapText="1"/>
    </xf>
    <xf numFmtId="0" fontId="0" fillId="6" borderId="4" xfId="0" applyFont="1" applyFill="1" applyBorder="1" applyAlignment="1">
      <alignment horizontal="center" vertical="top" wrapText="1"/>
    </xf>
    <xf numFmtId="0" fontId="4" fillId="6" borderId="4" xfId="0" applyFont="1" applyFill="1" applyBorder="1" applyAlignment="1">
      <alignment vertical="top" wrapText="1"/>
    </xf>
    <xf numFmtId="0" fontId="0" fillId="6" borderId="4" xfId="0" applyNumberFormat="1" applyFill="1" applyBorder="1" applyAlignment="1">
      <alignment horizontal="center" vertical="top"/>
    </xf>
    <xf numFmtId="0" fontId="6" fillId="6" borderId="4" xfId="0" applyNumberFormat="1" applyFont="1" applyFill="1" applyBorder="1" applyAlignment="1">
      <alignment horizontal="center" vertical="top"/>
    </xf>
    <xf numFmtId="0" fontId="5" fillId="9" borderId="1" xfId="1" applyFont="1" applyFill="1" applyBorder="1" applyAlignment="1">
      <alignment vertical="top" wrapText="1"/>
    </xf>
    <xf numFmtId="0" fontId="16" fillId="0" borderId="0" xfId="0" applyFont="1" applyAlignment="1">
      <alignment horizontal="center" vertical="center"/>
    </xf>
    <xf numFmtId="0" fontId="0" fillId="0" borderId="0" xfId="0" applyAlignment="1">
      <alignment vertical="center"/>
    </xf>
    <xf numFmtId="0" fontId="9" fillId="4" borderId="0" xfId="0" applyFont="1" applyFill="1" applyAlignment="1">
      <alignment vertical="center"/>
    </xf>
    <xf numFmtId="0" fontId="9" fillId="0" borderId="0" xfId="0" applyFont="1" applyAlignment="1">
      <alignment vertical="center"/>
    </xf>
    <xf numFmtId="0" fontId="0" fillId="0" borderId="0" xfId="0" applyFill="1"/>
    <xf numFmtId="0" fontId="0" fillId="13" borderId="0" xfId="0" applyFill="1"/>
    <xf numFmtId="0" fontId="12" fillId="13" borderId="0" xfId="0" applyFont="1" applyFill="1"/>
    <xf numFmtId="0" fontId="17" fillId="6" borderId="1" xfId="0" applyFont="1" applyFill="1" applyBorder="1" applyAlignment="1">
      <alignment horizontal="center" vertical="top" wrapText="1"/>
    </xf>
    <xf numFmtId="0" fontId="4" fillId="6" borderId="1" xfId="0" applyFont="1" applyFill="1" applyBorder="1" applyAlignment="1">
      <alignment horizontal="left" vertical="top" wrapText="1"/>
    </xf>
    <xf numFmtId="0" fontId="2" fillId="9" borderId="1" xfId="1" applyFill="1" applyBorder="1" applyAlignment="1">
      <alignment vertical="top" wrapText="1"/>
    </xf>
    <xf numFmtId="0" fontId="18" fillId="13" borderId="1" xfId="0" applyFont="1" applyFill="1" applyBorder="1" applyAlignment="1">
      <alignment horizontal="center" vertical="top" wrapText="1"/>
    </xf>
    <xf numFmtId="0" fontId="3" fillId="14" borderId="1" xfId="0" applyFont="1" applyFill="1" applyBorder="1" applyAlignment="1">
      <alignment horizontal="center" vertical="top" wrapText="1"/>
    </xf>
    <xf numFmtId="0" fontId="18" fillId="8" borderId="1" xfId="0" applyFont="1" applyFill="1" applyBorder="1" applyAlignment="1">
      <alignment horizontal="center" vertical="top" wrapText="1"/>
    </xf>
    <xf numFmtId="0" fontId="3" fillId="12" borderId="1" xfId="0" applyFont="1" applyFill="1" applyBorder="1" applyAlignment="1">
      <alignment horizontal="center" vertical="top" wrapText="1"/>
    </xf>
    <xf numFmtId="0" fontId="3" fillId="6" borderId="1" xfId="0" applyFont="1" applyFill="1" applyBorder="1" applyAlignment="1">
      <alignment horizontal="center" vertical="top" wrapText="1"/>
    </xf>
    <xf numFmtId="0" fontId="2" fillId="0" borderId="4" xfId="1" applyBorder="1" applyAlignment="1">
      <alignment vertical="top" wrapText="1"/>
    </xf>
    <xf numFmtId="0" fontId="0" fillId="0" borderId="0" xfId="0" applyNumberFormat="1"/>
  </cellXfs>
  <cellStyles count="2">
    <cellStyle name="Hipervínculo" xfId="1" builtinId="8"/>
    <cellStyle name="Normal" xfId="0" builtinId="0"/>
  </cellStyles>
  <dxfs count="31">
    <dxf>
      <font>
        <color theme="0"/>
      </font>
      <fill>
        <patternFill patternType="solid">
          <fgColor indexed="64"/>
          <bgColor rgb="FFFF0000"/>
        </patternFill>
      </fill>
    </dxf>
    <dxf>
      <font>
        <color theme="0"/>
      </font>
    </dxf>
    <dxf>
      <fill>
        <patternFill patternType="solid">
          <bgColor rgb="FFFF0000"/>
        </patternFill>
      </fill>
    </dxf>
    <dxf>
      <font>
        <b/>
        <i val="0"/>
        <strike val="0"/>
        <condense val="0"/>
        <extend val="0"/>
        <outline val="0"/>
        <shadow val="0"/>
        <u val="none"/>
        <vertAlign val="baseline"/>
        <sz val="9"/>
        <color theme="1"/>
        <name val="Calibri"/>
        <family val="2"/>
        <scheme val="minor"/>
      </font>
      <numFmt numFmtId="0" formatCode="General"/>
      <fill>
        <patternFill patternType="solid">
          <fgColor indexed="64"/>
          <bgColor rgb="FFFFFF00"/>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9"/>
        <color theme="1"/>
        <name val="Calibri"/>
        <family val="2"/>
        <scheme val="minor"/>
      </font>
      <numFmt numFmtId="0" formatCode="General"/>
      <fill>
        <patternFill patternType="solid">
          <fgColor indexed="64"/>
          <bgColor rgb="FFFFFF00"/>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9"/>
        <color theme="1"/>
        <name val="Calibri"/>
        <family val="2"/>
        <scheme val="minor"/>
      </font>
      <numFmt numFmtId="0" formatCode="General"/>
      <fill>
        <patternFill patternType="solid">
          <fgColor indexed="64"/>
          <bgColor rgb="FFFFFF00"/>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9"/>
        <color theme="1"/>
        <name val="Calibri"/>
        <family val="2"/>
        <scheme val="minor"/>
      </font>
      <numFmt numFmtId="0" formatCode="General"/>
      <fill>
        <patternFill patternType="solid">
          <fgColor indexed="64"/>
          <bgColor rgb="FFFFFF00"/>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solid">
          <fgColor indexed="64"/>
          <bgColor rgb="FFFFFF00"/>
        </patternFill>
      </fill>
      <alignment horizontal="center" vertical="top" textRotation="0" wrapText="0" indent="0" justifyLastLine="0" shrinkToFit="0" readingOrder="0"/>
      <border outline="0">
        <right style="thin">
          <color indexed="64"/>
        </right>
      </border>
    </dxf>
    <dxf>
      <numFmt numFmtId="0" formatCode="General"/>
      <fill>
        <patternFill patternType="solid">
          <fgColor indexed="64"/>
          <bgColor rgb="FFFFFF00"/>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Calibri"/>
        <family val="2"/>
        <scheme val="minor"/>
      </font>
      <fill>
        <patternFill patternType="solid">
          <fgColor indexed="64"/>
          <bgColor rgb="FFFFFF00"/>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ertAlign val="baseline"/>
        <sz val="8"/>
        <color theme="10"/>
        <name val="Calibri"/>
        <family val="2"/>
        <scheme val="minor"/>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theme="1"/>
        <name val="Calibri"/>
        <family val="2"/>
        <scheme val="minor"/>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9"/>
        <color theme="1"/>
        <name val="Calibri"/>
        <family val="2"/>
        <scheme val="minor"/>
      </font>
      <fill>
        <patternFill patternType="solid">
          <fgColor indexed="64"/>
          <bgColor theme="8" tint="0.79998168889431442"/>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8"/>
        <color theme="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7"/>
        <color theme="0"/>
        <name val="Arial"/>
        <family val="2"/>
        <scheme val="none"/>
      </font>
      <fill>
        <patternFill patternType="solid">
          <fgColor theme="1"/>
          <bgColor theme="1"/>
        </patternFill>
      </fill>
      <alignment horizontal="left"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18"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5.xml"/><Relationship Id="rId5" Type="http://schemas.openxmlformats.org/officeDocument/2006/relationships/pivotCacheDefinition" Target="pivotCache/pivotCacheDefinition1.xml"/><Relationship Id="rId15" Type="http://schemas.openxmlformats.org/officeDocument/2006/relationships/theme" Target="theme/theme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07/relationships/slicerCache" Target="slicerCaches/slicerCache8.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1</xdr:rowOff>
    </xdr:from>
    <xdr:to>
      <xdr:col>2</xdr:col>
      <xdr:colOff>483870</xdr:colOff>
      <xdr:row>9</xdr:row>
      <xdr:rowOff>141605</xdr:rowOff>
    </xdr:to>
    <mc:AlternateContent xmlns:mc="http://schemas.openxmlformats.org/markup-compatibility/2006" xmlns:sle15="http://schemas.microsoft.com/office/drawing/2012/slicer">
      <mc:Choice Requires="sle15">
        <xdr:graphicFrame macro="">
          <xdr:nvGraphicFramePr>
            <xdr:cNvPr id="2" name="coleccion">
              <a:extLst>
                <a:ext uri="{FF2B5EF4-FFF2-40B4-BE49-F238E27FC236}">
                  <a16:creationId xmlns:a16="http://schemas.microsoft.com/office/drawing/2014/main" id="{EEAC440E-648D-4541-8520-F8804F0D0ED0}"/>
                </a:ext>
              </a:extLst>
            </xdr:cNvPr>
            <xdr:cNvGraphicFramePr/>
          </xdr:nvGraphicFramePr>
          <xdr:xfrm>
            <a:off x="0" y="0"/>
            <a:ext cx="0" cy="0"/>
          </xdr:xfrm>
          <a:graphic>
            <a:graphicData uri="http://schemas.microsoft.com/office/drawing/2010/slicer">
              <sle:slicer xmlns:sle="http://schemas.microsoft.com/office/drawing/2010/slicer" name="coleccion"/>
            </a:graphicData>
          </a:graphic>
        </xdr:graphicFrame>
      </mc:Choice>
      <mc:Fallback xmlns="">
        <xdr:sp macro="" textlink="">
          <xdr:nvSpPr>
            <xdr:cNvPr id="0" name=""/>
            <xdr:cNvSpPr>
              <a:spLocks noTextEdit="1"/>
            </xdr:cNvSpPr>
          </xdr:nvSpPr>
          <xdr:spPr>
            <a:xfrm>
              <a:off x="0" y="1"/>
              <a:ext cx="1554480" cy="179069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146685</xdr:colOff>
      <xdr:row>0</xdr:row>
      <xdr:rowOff>0</xdr:rowOff>
    </xdr:from>
    <xdr:to>
      <xdr:col>6</xdr:col>
      <xdr:colOff>571500</xdr:colOff>
      <xdr:row>9</xdr:row>
      <xdr:rowOff>140335</xdr:rowOff>
    </xdr:to>
    <mc:AlternateContent xmlns:mc="http://schemas.openxmlformats.org/markup-compatibility/2006" xmlns:sle15="http://schemas.microsoft.com/office/drawing/2012/slicer">
      <mc:Choice Requires="sle15">
        <xdr:graphicFrame macro="">
          <xdr:nvGraphicFramePr>
            <xdr:cNvPr id="3" name="tema">
              <a:extLst>
                <a:ext uri="{FF2B5EF4-FFF2-40B4-BE49-F238E27FC236}">
                  <a16:creationId xmlns:a16="http://schemas.microsoft.com/office/drawing/2014/main" id="{F88B9FB8-9239-4CBD-B5A4-F6EA82DA1E6E}"/>
                </a:ext>
              </a:extLst>
            </xdr:cNvPr>
            <xdr:cNvGraphicFramePr/>
          </xdr:nvGraphicFramePr>
          <xdr:xfrm>
            <a:off x="0" y="0"/>
            <a:ext cx="0" cy="0"/>
          </xdr:xfrm>
          <a:graphic>
            <a:graphicData uri="http://schemas.microsoft.com/office/drawing/2010/slicer">
              <sle:slicer xmlns:sle="http://schemas.microsoft.com/office/drawing/2010/slicer" name="tema"/>
            </a:graphicData>
          </a:graphic>
        </xdr:graphicFrame>
      </mc:Choice>
      <mc:Fallback xmlns="">
        <xdr:sp macro="" textlink="">
          <xdr:nvSpPr>
            <xdr:cNvPr id="0" name=""/>
            <xdr:cNvSpPr>
              <a:spLocks noTextEdit="1"/>
            </xdr:cNvSpPr>
          </xdr:nvSpPr>
          <xdr:spPr>
            <a:xfrm>
              <a:off x="3299460" y="0"/>
              <a:ext cx="1828800" cy="17830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521970</xdr:colOff>
      <xdr:row>0</xdr:row>
      <xdr:rowOff>10796</xdr:rowOff>
    </xdr:from>
    <xdr:to>
      <xdr:col>5</xdr:col>
      <xdr:colOff>107315</xdr:colOff>
      <xdr:row>9</xdr:row>
      <xdr:rowOff>141606</xdr:rowOff>
    </xdr:to>
    <mc:AlternateContent xmlns:mc="http://schemas.openxmlformats.org/markup-compatibility/2006" xmlns:sle15="http://schemas.microsoft.com/office/drawing/2012/slicer">
      <mc:Choice Requires="sle15">
        <xdr:graphicFrame macro="">
          <xdr:nvGraphicFramePr>
            <xdr:cNvPr id="4" name="contenido">
              <a:extLst>
                <a:ext uri="{FF2B5EF4-FFF2-40B4-BE49-F238E27FC236}">
                  <a16:creationId xmlns:a16="http://schemas.microsoft.com/office/drawing/2014/main" id="{12061715-F0FD-4D5B-952F-7BF4EE67C8D9}"/>
                </a:ext>
              </a:extLst>
            </xdr:cNvPr>
            <xdr:cNvGraphicFramePr/>
          </xdr:nvGraphicFramePr>
          <xdr:xfrm>
            <a:off x="0" y="0"/>
            <a:ext cx="0" cy="0"/>
          </xdr:xfrm>
          <a:graphic>
            <a:graphicData uri="http://schemas.microsoft.com/office/drawing/2010/slicer">
              <sle:slicer xmlns:sle="http://schemas.microsoft.com/office/drawing/2010/slicer" name="contenido"/>
            </a:graphicData>
          </a:graphic>
        </xdr:graphicFrame>
      </mc:Choice>
      <mc:Fallback xmlns="">
        <xdr:sp macro="" textlink="">
          <xdr:nvSpPr>
            <xdr:cNvPr id="0" name=""/>
            <xdr:cNvSpPr>
              <a:spLocks noTextEdit="1"/>
            </xdr:cNvSpPr>
          </xdr:nvSpPr>
          <xdr:spPr>
            <a:xfrm>
              <a:off x="1592580" y="7621"/>
              <a:ext cx="1661160" cy="17830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10</xdr:col>
      <xdr:colOff>147320</xdr:colOff>
      <xdr:row>0</xdr:row>
      <xdr:rowOff>10795</xdr:rowOff>
    </xdr:from>
    <xdr:to>
      <xdr:col>11</xdr:col>
      <xdr:colOff>589915</xdr:colOff>
      <xdr:row>9</xdr:row>
      <xdr:rowOff>114299</xdr:rowOff>
    </xdr:to>
    <mc:AlternateContent xmlns:mc="http://schemas.openxmlformats.org/markup-compatibility/2006" xmlns:sle15="http://schemas.microsoft.com/office/drawing/2012/slicer">
      <mc:Choice Requires="sle15">
        <xdr:graphicFrame macro="">
          <xdr:nvGraphicFramePr>
            <xdr:cNvPr id="5" name="escala">
              <a:extLst>
                <a:ext uri="{FF2B5EF4-FFF2-40B4-BE49-F238E27FC236}">
                  <a16:creationId xmlns:a16="http://schemas.microsoft.com/office/drawing/2014/main" id="{2E3EBC81-FEB1-4DFB-A44F-3B169226ACB2}"/>
                </a:ext>
              </a:extLst>
            </xdr:cNvPr>
            <xdr:cNvGraphicFramePr/>
          </xdr:nvGraphicFramePr>
          <xdr:xfrm>
            <a:off x="0" y="0"/>
            <a:ext cx="0" cy="0"/>
          </xdr:xfrm>
          <a:graphic>
            <a:graphicData uri="http://schemas.microsoft.com/office/drawing/2010/slicer">
              <sle:slicer xmlns:sle="http://schemas.microsoft.com/office/drawing/2010/slicer" name="escala"/>
            </a:graphicData>
          </a:graphic>
        </xdr:graphicFrame>
      </mc:Choice>
      <mc:Fallback xmlns="">
        <xdr:sp macro="" textlink="">
          <xdr:nvSpPr>
            <xdr:cNvPr id="0" name=""/>
            <xdr:cNvSpPr>
              <a:spLocks noTextEdit="1"/>
            </xdr:cNvSpPr>
          </xdr:nvSpPr>
          <xdr:spPr>
            <a:xfrm>
              <a:off x="9517380" y="7620"/>
              <a:ext cx="1455420" cy="175259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11</xdr:col>
      <xdr:colOff>667385</xdr:colOff>
      <xdr:row>0</xdr:row>
      <xdr:rowOff>1</xdr:rowOff>
    </xdr:from>
    <xdr:to>
      <xdr:col>14</xdr:col>
      <xdr:colOff>1582420</xdr:colOff>
      <xdr:row>9</xdr:row>
      <xdr:rowOff>141605</xdr:rowOff>
    </xdr:to>
    <mc:AlternateContent xmlns:mc="http://schemas.openxmlformats.org/markup-compatibility/2006" xmlns:sle15="http://schemas.microsoft.com/office/drawing/2012/slicer">
      <mc:Choice Requires="sle15">
        <xdr:graphicFrame macro="">
          <xdr:nvGraphicFramePr>
            <xdr:cNvPr id="6" name="territorio">
              <a:extLst>
                <a:ext uri="{FF2B5EF4-FFF2-40B4-BE49-F238E27FC236}">
                  <a16:creationId xmlns:a16="http://schemas.microsoft.com/office/drawing/2014/main" id="{C083D959-C1DC-4987-84C8-588E63D31B21}"/>
                </a:ext>
              </a:extLst>
            </xdr:cNvPr>
            <xdr:cNvGraphicFramePr/>
          </xdr:nvGraphicFramePr>
          <xdr:xfrm>
            <a:off x="0" y="0"/>
            <a:ext cx="0" cy="0"/>
          </xdr:xfrm>
          <a:graphic>
            <a:graphicData uri="http://schemas.microsoft.com/office/drawing/2010/slicer">
              <sle:slicer xmlns:sle="http://schemas.microsoft.com/office/drawing/2010/slicer" name="territorio"/>
            </a:graphicData>
          </a:graphic>
        </xdr:graphicFrame>
      </mc:Choice>
      <mc:Fallback xmlns="">
        <xdr:sp macro="" textlink="">
          <xdr:nvSpPr>
            <xdr:cNvPr id="0" name=""/>
            <xdr:cNvSpPr>
              <a:spLocks noTextEdit="1"/>
            </xdr:cNvSpPr>
          </xdr:nvSpPr>
          <xdr:spPr>
            <a:xfrm>
              <a:off x="11056620" y="1"/>
              <a:ext cx="4015740" cy="179069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609600</xdr:colOff>
      <xdr:row>0</xdr:row>
      <xdr:rowOff>0</xdr:rowOff>
    </xdr:from>
    <xdr:to>
      <xdr:col>7</xdr:col>
      <xdr:colOff>406400</xdr:colOff>
      <xdr:row>9</xdr:row>
      <xdr:rowOff>140335</xdr:rowOff>
    </xdr:to>
    <mc:AlternateContent xmlns:mc="http://schemas.openxmlformats.org/markup-compatibility/2006" xmlns:sle15="http://schemas.microsoft.com/office/drawing/2012/slicer">
      <mc:Choice Requires="sle15">
        <xdr:graphicFrame macro="">
          <xdr:nvGraphicFramePr>
            <xdr:cNvPr id="7" name="Filtro Integrado">
              <a:extLst>
                <a:ext uri="{FF2B5EF4-FFF2-40B4-BE49-F238E27FC236}">
                  <a16:creationId xmlns:a16="http://schemas.microsoft.com/office/drawing/2014/main" id="{5472C0A4-91A6-42C1-A393-A18D9D3C0660}"/>
                </a:ext>
              </a:extLst>
            </xdr:cNvPr>
            <xdr:cNvGraphicFramePr/>
          </xdr:nvGraphicFramePr>
          <xdr:xfrm>
            <a:off x="0" y="0"/>
            <a:ext cx="0" cy="0"/>
          </xdr:xfrm>
          <a:graphic>
            <a:graphicData uri="http://schemas.microsoft.com/office/drawing/2010/slicer">
              <sle:slicer xmlns:sle="http://schemas.microsoft.com/office/drawing/2010/slicer" name="Filtro Integrado"/>
            </a:graphicData>
          </a:graphic>
        </xdr:graphicFrame>
      </mc:Choice>
      <mc:Fallback xmlns="">
        <xdr:sp macro="" textlink="">
          <xdr:nvSpPr>
            <xdr:cNvPr id="0" name=""/>
            <xdr:cNvSpPr>
              <a:spLocks noTextEdit="1"/>
            </xdr:cNvSpPr>
          </xdr:nvSpPr>
          <xdr:spPr>
            <a:xfrm>
              <a:off x="5166360" y="0"/>
              <a:ext cx="1394460" cy="17830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429260</xdr:colOff>
      <xdr:row>0</xdr:row>
      <xdr:rowOff>10795</xdr:rowOff>
    </xdr:from>
    <xdr:to>
      <xdr:col>9</xdr:col>
      <xdr:colOff>411480</xdr:colOff>
      <xdr:row>9</xdr:row>
      <xdr:rowOff>141605</xdr:rowOff>
    </xdr:to>
    <mc:AlternateContent xmlns:mc="http://schemas.openxmlformats.org/markup-compatibility/2006" xmlns:sle15="http://schemas.microsoft.com/office/drawing/2012/slicer">
      <mc:Choice Requires="sle15">
        <xdr:graphicFrame macro="">
          <xdr:nvGraphicFramePr>
            <xdr:cNvPr id="8" name="Muestra">
              <a:extLst>
                <a:ext uri="{FF2B5EF4-FFF2-40B4-BE49-F238E27FC236}">
                  <a16:creationId xmlns:a16="http://schemas.microsoft.com/office/drawing/2014/main" id="{EAF619AD-8F97-47DC-8AAF-45BDB552F862}"/>
                </a:ext>
              </a:extLst>
            </xdr:cNvPr>
            <xdr:cNvGraphicFramePr/>
          </xdr:nvGraphicFramePr>
          <xdr:xfrm>
            <a:off x="0" y="0"/>
            <a:ext cx="0" cy="0"/>
          </xdr:xfrm>
          <a:graphic>
            <a:graphicData uri="http://schemas.microsoft.com/office/drawing/2010/slicer">
              <sle:slicer xmlns:sle="http://schemas.microsoft.com/office/drawing/2010/slicer" name="Muestra"/>
            </a:graphicData>
          </a:graphic>
        </xdr:graphicFrame>
      </mc:Choice>
      <mc:Fallback xmlns="">
        <xdr:sp macro="" textlink="">
          <xdr:nvSpPr>
            <xdr:cNvPr id="0" name=""/>
            <xdr:cNvSpPr>
              <a:spLocks noTextEdit="1"/>
            </xdr:cNvSpPr>
          </xdr:nvSpPr>
          <xdr:spPr>
            <a:xfrm>
              <a:off x="6583680" y="7620"/>
              <a:ext cx="1287780" cy="17830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9</xdr:col>
      <xdr:colOff>124460</xdr:colOff>
      <xdr:row>0</xdr:row>
      <xdr:rowOff>10795</xdr:rowOff>
    </xdr:from>
    <xdr:to>
      <xdr:col>10</xdr:col>
      <xdr:colOff>318770</xdr:colOff>
      <xdr:row>9</xdr:row>
      <xdr:rowOff>86994</xdr:rowOff>
    </xdr:to>
    <mc:AlternateContent xmlns:mc="http://schemas.openxmlformats.org/markup-compatibility/2006" xmlns:sle15="http://schemas.microsoft.com/office/drawing/2012/slicer">
      <mc:Choice Requires="sle15">
        <xdr:graphicFrame macro="">
          <xdr:nvGraphicFramePr>
            <xdr:cNvPr id="9" name="temporalidad">
              <a:extLst>
                <a:ext uri="{FF2B5EF4-FFF2-40B4-BE49-F238E27FC236}">
                  <a16:creationId xmlns:a16="http://schemas.microsoft.com/office/drawing/2014/main" id="{A3378071-08D8-4EAC-8987-B7ED83C1BDB5}"/>
                </a:ext>
              </a:extLst>
            </xdr:cNvPr>
            <xdr:cNvGraphicFramePr/>
          </xdr:nvGraphicFramePr>
          <xdr:xfrm>
            <a:off x="0" y="0"/>
            <a:ext cx="0" cy="0"/>
          </xdr:xfrm>
          <a:graphic>
            <a:graphicData uri="http://schemas.microsoft.com/office/drawing/2010/slicer">
              <sle:slicer xmlns:sle="http://schemas.microsoft.com/office/drawing/2010/slicer" name="temporalidad"/>
            </a:graphicData>
          </a:graphic>
        </xdr:graphicFrame>
      </mc:Choice>
      <mc:Fallback xmlns="">
        <xdr:sp macro="" textlink="">
          <xdr:nvSpPr>
            <xdr:cNvPr id="0" name=""/>
            <xdr:cNvSpPr>
              <a:spLocks noTextEdit="1"/>
            </xdr:cNvSpPr>
          </xdr:nvSpPr>
          <xdr:spPr>
            <a:xfrm>
              <a:off x="8285480" y="10795"/>
              <a:ext cx="1574800" cy="1733549"/>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en Farias" refreshedDate="44396.714585879628" createdVersion="7" refreshedVersion="7" minRefreshableVersion="3" recordCount="179" xr:uid="{16D461C4-7B81-410E-8D13-D0FA7FAF608D}">
  <cacheSource type="worksheet">
    <worksheetSource name="Agencia"/>
  </cacheSource>
  <cacheFields count="27">
    <cacheField name="id" numFmtId="0">
      <sharedItems/>
    </cacheField>
    <cacheField name="idcoleccion" numFmtId="0">
      <sharedItems containsSemiMixedTypes="0" containsString="0" containsNumber="1" containsInteger="1" minValue="990" maxValue="990"/>
    </cacheField>
    <cacheField name="coleccion" numFmtId="0">
      <sharedItems count="1">
        <s v="Agencia Información"/>
      </sharedItems>
    </cacheField>
    <cacheField name="sector" numFmtId="0">
      <sharedItems/>
    </cacheField>
    <cacheField name="Filtro URL" numFmtId="0">
      <sharedItems containsString="0" containsBlank="1" containsNumber="1" containsInteger="1" minValue="0" maxValue="16"/>
    </cacheField>
    <cacheField name="tema" numFmtId="0">
      <sharedItems count="8">
        <s v="Ingresos regionales"/>
        <s v="Indicadores de Calidad de Educación Municipal"/>
        <s v="Denuncias"/>
        <s v="Ingresos promedio"/>
        <s v="Ingresos por etnia"/>
        <s v="Casos activos COVID-19"/>
        <s v="Fruta exportada"/>
        <s v="Sentencias por delitos de abuso sexual"/>
      </sharedItems>
    </cacheField>
    <cacheField name="contenido" numFmtId="0">
      <sharedItems count="7">
        <s v="Ingresos"/>
        <s v="Calidad de la Educación"/>
        <s v="Violaciones"/>
        <s v="Gestión Educación"/>
        <s v="COVID-19"/>
        <s v="Exportaciones"/>
        <s v="Abuso sexual"/>
      </sharedItems>
    </cacheField>
    <cacheField name="escala" numFmtId="0">
      <sharedItems containsBlank="1" count="3">
        <s v="País"/>
        <s v="Región"/>
        <m/>
      </sharedItems>
    </cacheField>
    <cacheField name="territorio" numFmtId="0">
      <sharedItems containsBlank="1"/>
    </cacheField>
    <cacheField name="Filtro Integrado" numFmtId="0">
      <sharedItems/>
    </cacheField>
    <cacheField name="Muestra" numFmtId="0">
      <sharedItems/>
    </cacheField>
    <cacheField name="temporalidad" numFmtId="0">
      <sharedItems/>
    </cacheField>
    <cacheField name="unidad_medida" numFmtId="0">
      <sharedItems/>
    </cacheField>
    <cacheField name="fuente" numFmtId="0">
      <sharedItems/>
    </cacheField>
    <cacheField name="titulo" numFmtId="0">
      <sharedItems/>
    </cacheField>
    <cacheField name="descripcion_larga" numFmtId="0">
      <sharedItems containsBlank="1" longText="1"/>
    </cacheField>
    <cacheField name="visualizacion" numFmtId="0">
      <sharedItems/>
    </cacheField>
    <cacheField name="tag" numFmtId="0">
      <sharedItems/>
    </cacheField>
    <cacheField name="url" numFmtId="0">
      <sharedItems/>
    </cacheField>
    <cacheField name="Suscripcion" numFmtId="0">
      <sharedItems containsString="0" containsBlank="1" containsNumber="1" containsInteger="1" minValue="100200300" maxValue="100200300"/>
    </cacheField>
    <cacheField name="Color" numFmtId="0">
      <sharedItems/>
    </cacheField>
    <cacheField name="id_grafico" numFmtId="0">
      <sharedItems count="179">
        <s v="990-0001"/>
        <s v="990-0002"/>
        <s v="990-0003"/>
        <s v="990-0004"/>
        <s v="990-0005"/>
        <s v="990-0006"/>
        <s v="990-0007"/>
        <s v="990-0008"/>
        <s v="990-0009"/>
        <s v="990-0010"/>
        <s v="990-0011"/>
        <s v="990-0012"/>
        <s v="990-0013"/>
        <s v="990-0014"/>
        <s v="990-0015"/>
        <s v="990-0016"/>
        <s v="990-0017"/>
        <s v="990-0019"/>
        <s v="990-0020"/>
        <s v="990-0021"/>
        <s v="990-0022"/>
        <s v="990-0023"/>
        <s v="990-0024"/>
        <s v="990-0025"/>
        <s v="990-0026"/>
        <s v="990-0027"/>
        <s v="990-0028"/>
        <s v="990-0029"/>
        <s v="990-0030"/>
        <s v="990-0031"/>
        <s v="990-0032"/>
        <s v="990-0033"/>
        <s v="990-0034"/>
        <s v="990-0035"/>
        <s v="990-0036"/>
        <s v="990-0037"/>
        <s v="990-0038"/>
        <s v="990-0039"/>
        <s v="990-0040"/>
        <s v="990-0041"/>
        <s v="990-0042"/>
        <s v="990-0043"/>
        <s v="990-0044"/>
        <s v="990-0045"/>
        <s v="990-0046"/>
        <s v="990-0047"/>
        <s v="990-0048"/>
        <s v="990-0049"/>
        <s v="990-0050"/>
        <s v="990-0051"/>
        <s v="990-0052"/>
        <s v="990-0053"/>
        <s v="990-0054"/>
        <s v="990-0055"/>
        <s v="990-0056"/>
        <s v="990-0057"/>
        <s v="990-0058"/>
        <s v="990-0059"/>
        <s v="990-0060"/>
        <s v="990-0061"/>
        <s v="990-0062"/>
        <s v="990-0063"/>
        <s v="990-0064"/>
        <s v="990-0065"/>
        <s v="990-0066"/>
        <s v="990-0067"/>
        <s v="990-0068"/>
        <s v="990-0069"/>
        <s v="990-0070"/>
        <s v="990-0071"/>
        <s v="990-0072"/>
        <s v="990-0073"/>
        <s v="990-0074"/>
        <s v="990-0075"/>
        <s v="990-0076"/>
        <s v="990-0077"/>
        <s v="990-0078"/>
        <s v="990-0079"/>
        <s v="990-0080"/>
        <s v="990-0081"/>
        <s v="990-0082"/>
        <s v="990-0083"/>
        <s v="990-0084"/>
        <s v="990-0085"/>
        <s v="990-0086"/>
        <s v="990-0087"/>
        <s v="990-0088"/>
        <s v="990-0089"/>
        <s v="990-0090"/>
        <s v="990-0091"/>
        <s v="990-0092"/>
        <s v="990-0093"/>
        <s v="990-0094"/>
        <s v="990-0095"/>
        <s v="990-0096"/>
        <s v="990-0097"/>
        <s v="990-0098"/>
        <s v="990-0099"/>
        <s v="990-0100"/>
        <s v="990-0101"/>
        <s v="990-0102"/>
        <s v="990-0103"/>
        <s v="990-0104"/>
        <s v="990-0105"/>
        <s v="990-0106"/>
        <s v="990-0107"/>
        <s v="990-0108"/>
        <s v="990-0109"/>
        <s v="990-0110"/>
        <s v="990-0111"/>
        <s v="990-0112"/>
        <s v="990-0113"/>
        <s v="990-0114"/>
        <s v="990-0115"/>
        <s v="990-0116"/>
        <s v="990-0117"/>
        <s v="990-0118"/>
        <s v="990-0119"/>
        <s v="990-0120"/>
        <s v="990-0121"/>
        <s v="990-0122"/>
        <s v="990-0123"/>
        <s v="990-0124"/>
        <s v="990-0125"/>
        <s v="990-0126"/>
        <s v="990-0127"/>
        <s v="990-0128"/>
        <s v="990-0129"/>
        <s v="990-0130"/>
        <s v="990-0131"/>
        <s v="990-0132"/>
        <s v="990-0133"/>
        <s v="990-0134"/>
        <s v="990-0135"/>
        <s v="990-0136"/>
        <s v="990-0137"/>
        <s v="990-0138"/>
        <s v="990-0139"/>
        <s v="990-0140"/>
        <s v="990-0141"/>
        <s v="990-0142"/>
        <s v="990-0143"/>
        <s v="990-0144"/>
        <s v="990-0145"/>
        <s v="990-0146"/>
        <s v="990-0147"/>
        <s v="990-0148"/>
        <s v="990-0149"/>
        <s v="990-0150"/>
        <s v="990-0151"/>
        <s v="990-0152"/>
        <s v="990-0153"/>
        <s v="990-0154"/>
        <s v="990-0155"/>
        <s v="990-0156"/>
        <s v="990-0157"/>
        <s v="990-0158"/>
        <s v="990-0159"/>
        <s v="990-0160"/>
        <s v="990-0161"/>
        <s v="990-0162"/>
        <s v="990-0163"/>
        <s v="990-0164"/>
        <s v="990-0165"/>
        <s v="990-0166"/>
        <s v="990-0167"/>
        <s v="990-0168"/>
        <s v="990-0169"/>
        <s v="990-0170"/>
        <s v="990-0171"/>
        <s v="990-0172"/>
        <s v="990-0173"/>
        <s v="990-0174"/>
        <s v="990-0175"/>
        <s v="990-0176"/>
        <s v="990-0177"/>
        <s v="990-0178"/>
        <s v="990-0179"/>
        <s v="990-0180"/>
      </sharedItems>
    </cacheField>
    <cacheField name="idterritorio" numFmtId="0">
      <sharedItems containsSemiMixedTypes="0" containsString="0" containsNumber="1" containsInteger="1" minValue="99100000" maxValue="99200016"/>
    </cacheField>
    <cacheField name="id_tema" numFmtId="0">
      <sharedItems/>
    </cacheField>
    <cacheField name="id_contenido" numFmtId="0">
      <sharedItems/>
    </cacheField>
    <cacheField name="idfiltro" numFmtId="0">
      <sharedItems/>
    </cacheField>
    <cacheField name="id_muestra"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396.759019907404" createdVersion="7" refreshedVersion="7" minRefreshableVersion="3" recordCount="179" xr:uid="{8FBF8968-6F1D-4FB3-A103-E788B558106B}">
  <cacheSource type="worksheet">
    <worksheetSource ref="A11:U190" sheet="Agencia"/>
  </cacheSource>
  <cacheFields count="21">
    <cacheField name="id" numFmtId="0">
      <sharedItems/>
    </cacheField>
    <cacheField name="idcoleccion" numFmtId="0">
      <sharedItems containsSemiMixedTypes="0" containsString="0" containsNumber="1" containsInteger="1" minValue="990" maxValue="990"/>
    </cacheField>
    <cacheField name="coleccion" numFmtId="0">
      <sharedItems/>
    </cacheField>
    <cacheField name="sector" numFmtId="0">
      <sharedItems/>
    </cacheField>
    <cacheField name="Filtro URL" numFmtId="0">
      <sharedItems containsString="0" containsBlank="1" containsNumber="1" containsInteger="1" minValue="0" maxValue="16"/>
    </cacheField>
    <cacheField name="tema" numFmtId="0">
      <sharedItems count="10">
        <s v="Ingresos regionales"/>
        <s v="Indicadores de Calidad de Educación Municipal"/>
        <s v="Denuncias"/>
        <s v="Ingresos promedio"/>
        <s v="Ingresos por etnia"/>
        <s v="Casos activos COVID-19"/>
        <s v="Fruta exportada"/>
        <s v="Sentencias por delitos de abuso sexual"/>
        <s v="otro" u="1"/>
        <s v="Indicadores de Desarrollo Personal y Social" u="1"/>
      </sharedItems>
    </cacheField>
    <cacheField name="contenido" numFmtId="0">
      <sharedItems count="13">
        <s v="Ingresos"/>
        <s v="Calidad de la Educación"/>
        <s v="Violaciones"/>
        <s v="Gestión Educación"/>
        <s v="COVID-19"/>
        <s v="Exportaciones"/>
        <s v="Abuso sexual"/>
        <s v="Hábitos de vida saludable" u="1"/>
        <s v="Indicadores de Desarrollo Personal y Social" u="1"/>
        <s v="Clima de Convivencia escolar" u="1"/>
        <s v="Otro" u="1"/>
        <s v="Participación y formación ciudadana" u="1"/>
        <s v="Autoestima y Motivación" u="1"/>
      </sharedItems>
    </cacheField>
    <cacheField name="escala" numFmtId="0">
      <sharedItems containsBlank="1" count="5">
        <s v="País"/>
        <s v="Región"/>
        <m/>
        <s v="Comunal" u="1"/>
        <s v="Regional" u="1"/>
      </sharedItems>
    </cacheField>
    <cacheField name="territorio" numFmtId="0">
      <sharedItems containsBlank="1" count="363">
        <s v="Chile"/>
        <s v="Región de Tarapacá"/>
        <s v="Región de Antofagasta"/>
        <s v="Región de Atacama"/>
        <s v="Región de Coquimbo"/>
        <s v="Región de Valparaíso"/>
        <s v="Región de O'Higgins"/>
        <s v="Región de Maule"/>
        <s v="Región del Biobío"/>
        <s v="Región de La Araucanía"/>
        <s v="Región de Los Lagos"/>
        <s v="Región de Aysén"/>
        <s v="Región de Magallanes"/>
        <s v="Región Metropolitana"/>
        <s v="Región de Los Ríos"/>
        <s v="Región de Arica y Parinacota"/>
        <s v="Región de Ñuble"/>
        <m/>
        <s v="Natales" u="1"/>
        <s v="Penco" u="1"/>
        <s v="Nancagua" u="1"/>
        <s v="Colina" u="1"/>
        <s v="Futaleufú" u="1"/>
        <s v="Macul" u="1"/>
        <s v="Río Ibáñez" u="1"/>
        <s v="Coelemu" u="1"/>
        <s v="Teodoro Schmidt" u="1"/>
        <s v="Concepción" u="1"/>
        <s v="Rancagua" u="1"/>
        <s v="Palena" u="1"/>
        <s v="El Tabo" u="1"/>
        <s v="Linares" u="1"/>
        <s v="Contulmo" u="1"/>
        <s v="Maipú" u="1"/>
        <s v="Huasco" u="1"/>
        <s v="Rauco" u="1"/>
        <s v="Longaví" u="1"/>
        <s v="Isla de Pascua" u="1"/>
        <s v="Río Negro" u="1"/>
        <s v="San Joaquín" u="1"/>
        <s v="Los Vilos" u="1"/>
        <s v="Pichilemu" u="1"/>
        <s v="Llanquihue" u="1"/>
        <s v="Panguipulli" u="1"/>
        <s v="Molina" u="1"/>
        <s v="Cochamó" u="1"/>
        <s v="Santa Cruz" u="1"/>
        <s v="Puchuncaví" u="1"/>
        <s v="Santa Bárbara" u="1"/>
        <s v="Pelarco" u="1"/>
        <s v="Ránquil" u="1"/>
        <s v="Máfil" u="1"/>
        <s v="Santiago" u="1"/>
        <s v="Hijuelas" u="1"/>
        <s v="Retiro" u="1"/>
        <s v="Lo Espejo" u="1"/>
        <s v="Curicó" u="1"/>
        <s v="Hualañé" u="1"/>
        <s v="Huara" u="1"/>
        <s v="Quemchi" u="1"/>
        <s v="Santa Juana" u="1"/>
        <s v="Hualqui" u="1"/>
        <s v="Monte Patria" u="1"/>
        <s v="Coltauco" u="1"/>
        <s v="Navidad" u="1"/>
        <s v="El Carmen" u="1"/>
        <s v="Rengo" u="1"/>
        <s v="Chanco" u="1"/>
        <s v="Panquehue" u="1"/>
        <s v="San Pedro" u="1"/>
        <s v="Cabildo" u="1"/>
        <s v="Ninhue" u="1"/>
        <s v="Calera de Tango" u="1"/>
        <s v="Lota" u="1"/>
        <s v="Quinchao" u="1"/>
        <s v="Victoria" u="1"/>
        <s v="Quinta Normal" u="1"/>
        <s v="Sierra Gorda" u="1"/>
        <s v="Chile Chico" u="1"/>
        <s v="Viña del Mar" u="1"/>
        <s v="Requínoa" u="1"/>
        <s v="Hualpén" u="1"/>
        <s v="Purén" u="1"/>
        <s v="San Juan de La Costa" u="1"/>
        <s v="Peñalolén" u="1"/>
        <s v="Calle Larga" u="1"/>
        <s v="Lampa" u="1"/>
        <s v="Algarrobo" u="1"/>
        <s v="Yungay" u="1"/>
        <s v="Coihueco" u="1"/>
        <s v="Carahue" u="1"/>
        <s v="Teno" u="1"/>
        <s v="Peralillo" u="1"/>
        <s v="Illapel" u="1"/>
        <s v="Paine" u="1"/>
        <s v="Machalí" u="1"/>
        <s v="Cabrero" u="1"/>
        <s v="Villarrica" u="1"/>
        <s v="San Bernardo" u="1"/>
        <s v="Putaendo" u="1"/>
        <s v="Lago Verde" u="1"/>
        <s v="Purranque" u="1"/>
        <s v="Pemuco" u="1"/>
        <s v="Curacaví" u="1"/>
        <s v="Pumanque" u="1"/>
        <s v="Concón" u="1"/>
        <s v="La Pintana" u="1"/>
        <s v="Osorno" u="1"/>
        <s v="San Vicente" u="1"/>
        <s v="Limache" u="1"/>
        <s v="Colchane" u="1"/>
        <s v="Ercilla" u="1"/>
        <s v="Tortel" u="1"/>
        <s v="Catemu" u="1"/>
        <s v="Alto Hospicio" u="1"/>
        <s v="Putre" u="1"/>
        <s v="Toltén" u="1"/>
        <s v="Temuco" u="1"/>
        <s v="San Carlos" u="1"/>
        <s v="Placilla" u="1"/>
        <s v="La Estrella" u="1"/>
        <s v="Papudo" u="1"/>
        <s v="San Antonio" u="1"/>
        <s v="Freire" u="1"/>
        <s v="Tierra Amarilla" u="1"/>
        <s v="Ñiquén" u="1"/>
        <s v="Calama" u="1"/>
        <s v="Puerto Varas" u="1"/>
        <s v="Cobquecura" u="1"/>
        <s v="Río Claro" u="1"/>
        <s v="Santa María" u="1"/>
        <s v="Perquenco" u="1"/>
        <s v="Mulchén" u="1"/>
        <s v="Lebu" u="1"/>
        <s v="Coronel" u="1"/>
        <s v="El Monte" u="1"/>
        <s v="Santo Domingo" u="1"/>
        <s v="Isla de Maipo" u="1"/>
        <s v="Peumo" u="1"/>
        <s v="Colbún" u="1"/>
        <s v="Cunco" u="1"/>
        <s v="Pelluhue" u="1"/>
        <s v="Camarones" u="1"/>
        <s v="San Felipe" u="1"/>
        <s v="La Ligua" u="1"/>
        <s v="Coquimbo" u="1"/>
        <s v="San Fernando" u="1"/>
        <s v="Arica" u="1"/>
        <s v="Ollagüe" u="1"/>
        <s v="Providencia" u="1"/>
        <s v="Guaitecas" u="1"/>
        <s v="Paillaco" u="1"/>
        <s v="Paiguano" u="1"/>
        <s v="El Quisco" u="1"/>
        <s v="Combarbalá" u="1"/>
        <s v="General Lagos" u="1"/>
        <s v="Coihaique" u="1"/>
        <s v="Alto Biobío" u="1"/>
        <s v="Pedro Aguirre Cerda" u="1"/>
        <s v="Pozo Almonte" u="1"/>
        <s v="San Ramón" u="1"/>
        <s v="Canela" u="1"/>
        <s v="Chaitén" u="1"/>
        <s v="Cisnes" u="1"/>
        <s v="Lo Barnechea" u="1"/>
        <s v="Nogales" u="1"/>
        <s v="Vichuquén" u="1"/>
        <s v="Nacimiento" u="1"/>
        <s v="Puerto Montt" u="1"/>
        <s v="Talagante" u="1"/>
        <s v="Traiguén" u="1"/>
        <s v="Pitrufquén" u="1"/>
        <s v="La Reina" u="1"/>
        <s v="Chillán" u="1"/>
        <s v="Chillán Viejo" u="1"/>
        <s v="Pirque" u="1"/>
        <s v="María Elena" u="1"/>
        <s v="Melipeuco" u="1"/>
        <s v="Río Bueno" u="1"/>
        <s v="San Rosendo" u="1"/>
        <s v="Pucón" u="1"/>
        <s v="San Pedro de Atacama" u="1"/>
        <s v="Mostazal" u="1"/>
        <s v="Empedrado" u="1"/>
        <s v="Calera" u="1"/>
        <s v="Fresia" u="1"/>
        <s v="Padre Hurtado" u="1"/>
        <s v="Nueva Imperial" u="1"/>
        <s v="Corral" u="1"/>
        <s v="Lumaco" u="1"/>
        <s v="Independencia" u="1"/>
        <s v="Constitución" u="1"/>
        <s v="Petorca" u="1"/>
        <s v="Antofagasta" u="1"/>
        <s v="Pudahuel" u="1"/>
        <s v="Doñihue" u="1"/>
        <s v="Pinto" u="1"/>
        <s v="Padre las Casas" u="1"/>
        <s v="Tomé" u="1"/>
        <s v="Licantén" u="1"/>
        <s v="Vilcún" u="1"/>
        <s v="Los Angeles" u="1"/>
        <s v="María Pinto" u="1"/>
        <s v="Freirina" u="1"/>
        <s v="Collipulli" u="1"/>
        <s v="Los Andes" u="1"/>
        <s v="Curanilahue" u="1"/>
        <s v="Los Sauces" u="1"/>
        <s v="Alhué" u="1"/>
        <s v="Yerbas Buenas" u="1"/>
        <s v="Hualaihué" u="1"/>
        <s v="Diego de Almagro" u="1"/>
        <s v="Treguaco" u="1"/>
        <s v="Cochrane" u="1"/>
        <s v="Vicuña" u="1"/>
        <s v="Melipilla" u="1"/>
        <s v="El Bosque" u="1"/>
        <s v="Graneros" u="1"/>
        <s v="Iquique" u="1"/>
        <s v="Recoleta" u="1"/>
        <s v="Valdivia" u="1"/>
        <s v="Camiña" u="1"/>
        <s v="Los Alamos" u="1"/>
        <s v="Calbuco" u="1"/>
        <s v="San Clemente" u="1"/>
        <s v="Curacautín" u="1"/>
        <s v="San Rafael" u="1"/>
        <s v="Queilén" u="1"/>
        <s v="Tirúa" u="1"/>
        <s v="Andacollo" u="1"/>
        <s v="Copiapó" u="1"/>
        <s v="Quinta de Tilcoco" u="1"/>
        <s v="Quellón" u="1"/>
        <s v="Florida" u="1"/>
        <s v="Quillón" u="1"/>
        <s v="Cerro Navia" u="1"/>
        <s v="Aisén" u="1"/>
        <s v="Casablanca" u="1"/>
        <s v="Quilaco" u="1"/>
        <s v="Mariquina" u="1"/>
        <s v="Cañete" u="1"/>
        <s v="Porvenir" u="1"/>
        <s v="Maule" u="1"/>
        <s v="Cholchol" u="1"/>
        <s v="San José de Maipo" u="1"/>
        <s v="Las Cabras" u="1"/>
        <s v="Talcahuano" u="1"/>
        <s v="Puerto Octay" u="1"/>
        <s v="Puqueldón" u="1"/>
        <s v="Olmué" u="1"/>
        <s v="Parral" u="1"/>
        <s v="Chépica" u="1"/>
        <s v="San Pedro de la Paz" u="1"/>
        <s v="Dalcahue" u="1"/>
        <s v="La Florida" u="1"/>
        <s v="Peñaflor" u="1"/>
        <s v="Gorbea" u="1"/>
        <s v="Pichidegua" u="1"/>
        <s v="San Fabián" u="1"/>
        <s v="San Gregorio" u="1"/>
        <s v="Galvarino" u="1"/>
        <s v="Pica" u="1"/>
        <s v="Yumbel" u="1"/>
        <s v="Chañaral" u="1"/>
        <s v="Zapallar" u="1"/>
        <s v="Romeral" u="1"/>
        <s v="Laja" u="1"/>
        <s v="Portezuelo" u="1"/>
        <s v="Saavedra" u="1"/>
        <s v="La Serena" u="1"/>
        <s v="San Miguel" u="1"/>
        <s v="San Ignacio" u="1"/>
        <s v="Maullín" u="1"/>
        <s v="La Cisterna" u="1"/>
        <s v="Ñuñoa" u="1"/>
        <s v="Codegua" u="1"/>
        <s v="Río Hurtado" u="1"/>
        <s v="O'Higgins" u="1"/>
        <s v="Pencahue" u="1"/>
        <s v="Malloa" u="1"/>
        <s v="Taltal" u="1"/>
        <s v="Negrete" u="1"/>
        <s v="Cartagena" u="1"/>
        <s v="Frutillar" u="1"/>
        <s v="Caldera" u="1"/>
        <s v="Tocopilla" u="1"/>
        <s v="Juan Fernández" u="1"/>
        <s v="Puente Alto" u="1"/>
        <s v="Quilleco" u="1"/>
        <s v="Lolol" u="1"/>
        <s v="La Unión" u="1"/>
        <s v="Quirihue" u="1"/>
        <s v="Las Condes" u="1"/>
        <s v="San Pablo" u="1"/>
        <s v="Renca" u="1"/>
        <s v="Lautaro" u="1"/>
        <s v="Rinconada" u="1"/>
        <s v="Villa Alemana" u="1"/>
        <s v="Arauco" u="1"/>
        <s v="Lago Ranco" u="1"/>
        <s v="Huechuraba" u="1"/>
        <s v="Salamanca" u="1"/>
        <s v="Quillota" u="1"/>
        <s v="Alto del Carmen" u="1"/>
        <s v="Talca" u="1"/>
        <s v="Villa Alegre" u="1"/>
        <s v="Ovalle" u="1"/>
        <s v="Tiltil" u="1"/>
        <s v="Laguna Blanca" u="1"/>
        <s v="Bulnes" u="1"/>
        <s v="Curarrehue" u="1"/>
        <s v="Puyehue" u="1"/>
        <s v="Los Muermos" u="1"/>
        <s v="Antuco" u="1"/>
        <s v="Litueche" u="1"/>
        <s v="Paredones" u="1"/>
        <s v="Futrono" u="1"/>
        <s v="Sagrada Familia" u="1"/>
        <s v="Chonchi" u="1"/>
        <s v="Castro" u="1"/>
        <s v="Mejillones" u="1"/>
        <s v="Coinco" u="1"/>
        <s v="Conchalí" u="1"/>
        <s v="Vitacura" u="1"/>
        <s v="Lonquimay" u="1"/>
        <s v="Cerrillos" u="1"/>
        <s v="Curepto" u="1"/>
        <s v="Vallenar" u="1"/>
        <s v="Timaukel" u="1"/>
        <s v="Estación Central" u="1"/>
        <s v="Palmilla" u="1"/>
        <s v="Loncoche" u="1"/>
        <s v="San Javier" u="1"/>
        <s v="Curaco de Vélez" u="1"/>
        <s v="San Esteban" u="1"/>
        <s v="Chiguayante" u="1"/>
        <s v="Angol" u="1"/>
        <s v="Olivar" u="1"/>
        <s v="Primavera" u="1"/>
        <s v="La Granja" u="1"/>
        <s v="La Higuera" u="1"/>
        <s v="Quilpué" u="1"/>
        <s v="Chimbarongo" u="1"/>
        <s v="Los Lagos" u="1"/>
        <s v="Marchihue" u="1"/>
        <s v="Quilicura" u="1"/>
        <s v="Buin" u="1"/>
        <s v="Lo Prado" u="1"/>
        <s v="Cabo de Hornos" u="1"/>
        <s v="Renaico" u="1"/>
        <s v="La Cruz" u="1"/>
        <s v="Punta Arenas" u="1"/>
        <s v="Punitaqui" u="1"/>
        <s v="San Nicolás" u="1"/>
        <s v="Torres del Paine" u="1"/>
        <s v="Quintero" u="1"/>
        <s v="Llaillay" u="1"/>
        <s v="Cauquenes" u="1"/>
        <s v="Lanco" u="1"/>
        <s v="Valparaíso" u="1"/>
        <s v="Ancud" u="1"/>
        <s v="Tucapel" u="1"/>
        <s v="Río Verde" u="1"/>
      </sharedItems>
    </cacheField>
    <cacheField name="Filtro Integrado" numFmtId="0">
      <sharedItems containsBlank="1" count="9">
        <s v="Región"/>
        <s v="Ninguno"/>
        <s v="Comuna"/>
        <s v="Establecimiento" u="1"/>
        <m u="1"/>
        <s v="Comuna-Dependencia-Curso-Año-Establecimiento" u="1"/>
        <s v="Dependencia-Curso-Año" u="1"/>
        <s v="Región-Dependencia-Año" u="1"/>
        <s v="Ruralidad" u="1"/>
      </sharedItems>
    </cacheField>
    <cacheField name="Muestra" numFmtId="0">
      <sharedItems containsBlank="1" count="12">
        <s v="Ingresos Promedio Mensual"/>
        <s v="Proporción alumnos sobre 450 pts PSU"/>
        <s v="Denuncias por violación"/>
        <s v="Ingresos Promedio Mensual (CLP/mes)"/>
        <s v="Número de alumnos por docente en aula"/>
        <s v="Casos Activos por 1 millón de habitantes"/>
        <s v="Volumen fruta exportada"/>
        <s v="Chile"/>
        <s v="Región"/>
        <s v="Comuna"/>
        <s v="Establecimiento" u="1"/>
        <m u="1"/>
      </sharedItems>
    </cacheField>
    <cacheField name="temporalidad" numFmtId="0">
      <sharedItems/>
    </cacheField>
    <cacheField name="unidad_medida" numFmtId="0">
      <sharedItems/>
    </cacheField>
    <cacheField name="fuente" numFmtId="0">
      <sharedItems/>
    </cacheField>
    <cacheField name="titulo" numFmtId="0">
      <sharedItems/>
    </cacheField>
    <cacheField name="descripcion_larga" numFmtId="0">
      <sharedItems containsBlank="1" longText="1"/>
    </cacheField>
    <cacheField name="visualizacion" numFmtId="0">
      <sharedItems/>
    </cacheField>
    <cacheField name="tag" numFmtId="0">
      <sharedItems/>
    </cacheField>
    <cacheField name="url" numFmtId="0">
      <sharedItems/>
    </cacheField>
    <cacheField name="Suscripcion" numFmtId="0">
      <sharedItems containsString="0" containsBlank="1" containsNumber="1" containsInteger="1" minValue="101" maxValue="100200300" count="19">
        <n v="100200300"/>
        <m/>
        <n v="104" u="1"/>
        <n v="108" u="1"/>
        <n v="112" u="1"/>
        <n v="116" u="1"/>
        <n v="103" u="1"/>
        <n v="107" u="1"/>
        <n v="300" u="1"/>
        <n v="111" u="1"/>
        <n v="200300" u="1"/>
        <n v="115" u="1"/>
        <n v="102" u="1"/>
        <n v="106" u="1"/>
        <n v="110" u="1"/>
        <n v="114" u="1"/>
        <n v="101" u="1"/>
        <n v="105" u="1"/>
        <n v="109" u="1"/>
      </sharedItems>
    </cacheField>
    <cacheField name="Color"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9">
  <r>
    <s v="0001"/>
    <n v="990"/>
    <x v="0"/>
    <s v="Socioeconómico"/>
    <n v="0"/>
    <x v="0"/>
    <x v="0"/>
    <x v="0"/>
    <s v="Chile"/>
    <s v="Región"/>
    <s v="Ingresos Promedio Mensual"/>
    <s v="Periodo 2006-2017"/>
    <s v="CLP/mes"/>
    <s v="Encuestas CASEN"/>
    <s v="Evolución de Ingreso Promedio Mensual en Chile para el Periodo 2006-2017"/>
    <m/>
    <s v="Gráfico Evolución"/>
    <s v="Chile, ingresos, CASEN, mensual, promedio"/>
    <s v="PENDIENTE"/>
    <n v="100200300"/>
    <s v="#1774B9"/>
    <x v="0"/>
    <n v="99100000"/>
    <s v="T-991"/>
    <s v="C-991"/>
    <s v="FI-992"/>
    <e v="#N/A"/>
  </r>
  <r>
    <s v="0002"/>
    <n v="990"/>
    <x v="0"/>
    <s v="Socioeconómico"/>
    <n v="1"/>
    <x v="0"/>
    <x v="0"/>
    <x v="1"/>
    <s v="Región de Tarapacá"/>
    <s v="Ninguno"/>
    <s v="Ingresos Promedio Mensual"/>
    <s v="Periodo 2006-2017"/>
    <s v="CLP/mes"/>
    <s v="Encuestas CASEN"/>
    <s v="Evolución de Ingreso Promedio Mensual en la Región de Tarapacá para el Periodo 2006-2017"/>
    <m/>
    <s v="Gráfico Evolución"/>
    <s v="Región de Tarapacá, ingresos, CASEN, mensual, promedio"/>
    <s v="PENDIENTE"/>
    <m/>
    <s v="#1774B9"/>
    <x v="1"/>
    <n v="99200001"/>
    <s v="T-991"/>
    <s v="C-991"/>
    <s v="FI-993"/>
    <e v="#N/A"/>
  </r>
  <r>
    <s v="0003"/>
    <n v="990"/>
    <x v="0"/>
    <s v="Socioeconómico"/>
    <n v="2"/>
    <x v="0"/>
    <x v="0"/>
    <x v="1"/>
    <s v="Región de Antofagasta"/>
    <s v="Ninguno"/>
    <s v="Ingresos Promedio Mensual"/>
    <s v="Periodo 2006-2017"/>
    <s v="CLP/mes"/>
    <s v="Encuestas CASEN"/>
    <s v="Evolución de Ingreso Promedio Mensual en la Región de Antofagasta para el Periodo 2006-2017"/>
    <s v="La región de Antofagasta es la que posee el ingreso medios mensual en el año 2017 entre las 16 regiones del país, con una cifra de algo más de 380 mil CLP/mes. En relación a la estimación anterior, del año 2015, el ingreso aumenta en un 7,3%."/>
    <s v="Gráfico Evolución"/>
    <s v="Región de Antofagasta, ingresos, CASEN, mensual, promedio"/>
    <s v="https://analytics.zoho.com/open-view/2395394000000579068"/>
    <m/>
    <s v="#1774B9"/>
    <x v="2"/>
    <n v="99200002"/>
    <s v="T-991"/>
    <s v="C-991"/>
    <s v="FI-993"/>
    <e v="#N/A"/>
  </r>
  <r>
    <s v="0004"/>
    <n v="990"/>
    <x v="0"/>
    <s v="Socioeconómico"/>
    <n v="3"/>
    <x v="0"/>
    <x v="0"/>
    <x v="1"/>
    <s v="Región de Atacama"/>
    <s v="Ninguno"/>
    <s v="Ingresos Promedio Mensual"/>
    <s v="Periodo 2006-2017"/>
    <s v="CLP/mes"/>
    <s v="Encuestas CASEN"/>
    <s v="Evolución de Ingreso Promedio Mensual en la Región de Atacama para el Periodo 2006-2017"/>
    <m/>
    <s v="Gráfico Evolución"/>
    <s v="Región de Atacama, ingresos, CASEN, mensual, promedio"/>
    <s v="PENDIENTE"/>
    <m/>
    <s v="#1774B9"/>
    <x v="3"/>
    <n v="99200003"/>
    <s v="T-991"/>
    <s v="C-991"/>
    <s v="FI-993"/>
    <e v="#N/A"/>
  </r>
  <r>
    <s v="0005"/>
    <n v="990"/>
    <x v="0"/>
    <s v="Socioeconómico"/>
    <n v="4"/>
    <x v="0"/>
    <x v="0"/>
    <x v="1"/>
    <s v="Región de Coquimbo"/>
    <s v="Ninguno"/>
    <s v="Ingresos Promedio Mensual"/>
    <s v="Periodo 2006-2017"/>
    <s v="CLP/mes"/>
    <s v="Encuestas CASEN"/>
    <s v="Evolución de Ingreso Promedio Mensual en la Región de Coquimbo para el Periodo 2006-2017"/>
    <m/>
    <s v="Gráfico Evolución"/>
    <s v="Región de Coquimbo, ingresos, CASEN, mensual, promedio"/>
    <s v="PENDIENTE"/>
    <m/>
    <s v="#1774B9"/>
    <x v="4"/>
    <n v="99200004"/>
    <s v="T-991"/>
    <s v="C-991"/>
    <s v="FI-993"/>
    <e v="#N/A"/>
  </r>
  <r>
    <s v="0006"/>
    <n v="990"/>
    <x v="0"/>
    <s v="Socioeconómico"/>
    <n v="5"/>
    <x v="0"/>
    <x v="0"/>
    <x v="1"/>
    <s v="Región de Valparaíso"/>
    <s v="Ninguno"/>
    <s v="Ingresos Promedio Mensual"/>
    <s v="Periodo 2006-2017"/>
    <s v="CLP/mes"/>
    <s v="Encuestas CASEN"/>
    <s v="Evolución de Ingreso Promedio Mensual en la Región de Valparaíso para el Periodo 2006-2017"/>
    <m/>
    <s v="Gráfico Evolución"/>
    <s v="Región de Valparaíso, ingresos, CASEN, mensual, promedio"/>
    <s v="PENDIENTE"/>
    <m/>
    <s v="#1774B9"/>
    <x v="5"/>
    <n v="99200005"/>
    <s v="T-991"/>
    <s v="C-991"/>
    <s v="FI-993"/>
    <e v="#N/A"/>
  </r>
  <r>
    <s v="0007"/>
    <n v="990"/>
    <x v="0"/>
    <s v="Socioeconómico"/>
    <n v="6"/>
    <x v="0"/>
    <x v="0"/>
    <x v="1"/>
    <s v="Región de O'Higgins"/>
    <s v="Ninguno"/>
    <s v="Ingresos Promedio Mensual"/>
    <s v="Periodo 2006-2017"/>
    <s v="CLP/mes"/>
    <s v="Encuestas CASEN"/>
    <s v="Evolución de Ingreso Promedio Mensual en la Región de O'Higgins para el Periodo 2006-2017"/>
    <m/>
    <s v="Gráfico Evolución"/>
    <s v="Región de O'Higgins, ingresos, CASEN, mensual, promedio"/>
    <s v="PENDIENTE"/>
    <m/>
    <s v="#1774B9"/>
    <x v="6"/>
    <n v="99200006"/>
    <s v="T-991"/>
    <s v="C-991"/>
    <s v="FI-993"/>
    <e v="#N/A"/>
  </r>
  <r>
    <s v="0008"/>
    <n v="990"/>
    <x v="0"/>
    <s v="Socioeconómico"/>
    <n v="7"/>
    <x v="0"/>
    <x v="0"/>
    <x v="1"/>
    <s v="Región de Maule"/>
    <s v="Ninguno"/>
    <s v="Ingresos Promedio Mensual"/>
    <s v="Periodo 2006-2017"/>
    <s v="CLP/mes"/>
    <s v="Encuestas CASEN"/>
    <s v="Evolución de Ingreso Promedio Mensual en la Región de Maule para el Periodo 2006-2017"/>
    <m/>
    <s v="Gráfico Evolución"/>
    <s v="Región de Maule, ingresos, CASEN, mensual, promedio"/>
    <s v="PENDIENTE"/>
    <m/>
    <s v="#1774B9"/>
    <x v="7"/>
    <n v="99200007"/>
    <s v="T-991"/>
    <s v="C-991"/>
    <s v="FI-993"/>
    <e v="#N/A"/>
  </r>
  <r>
    <s v="0009"/>
    <n v="990"/>
    <x v="0"/>
    <s v="Socioeconómico"/>
    <n v="8"/>
    <x v="0"/>
    <x v="0"/>
    <x v="1"/>
    <s v="Región del Biobío"/>
    <s v="Ninguno"/>
    <s v="Ingresos Promedio Mensual"/>
    <s v="Periodo 2006-2017"/>
    <s v="CLP/mes"/>
    <s v="Encuestas CASEN"/>
    <s v="Evolución de Ingreso Promedio Mensual en la Región del Biobío para el Periodo 2006-2017"/>
    <m/>
    <s v="Gráfico Evolución"/>
    <s v="Región del Biobío, ingresos, CASEN, mensual, promedio"/>
    <s v="PENDIENTE"/>
    <m/>
    <s v="#1774B9"/>
    <x v="8"/>
    <n v="99200008"/>
    <s v="T-991"/>
    <s v="C-991"/>
    <s v="FI-993"/>
    <e v="#N/A"/>
  </r>
  <r>
    <s v="0010"/>
    <n v="990"/>
    <x v="0"/>
    <s v="Socioeconómico"/>
    <n v="9"/>
    <x v="0"/>
    <x v="0"/>
    <x v="1"/>
    <s v="Región de La Araucanía"/>
    <s v="Ninguno"/>
    <s v="Ingresos Promedio Mensual"/>
    <s v="Periodo 2006-2017"/>
    <s v="CLP/mes"/>
    <s v="Encuestas CASEN"/>
    <s v="Evolución de Ingreso Promedio Mensual en la Región de La Araucanía para el Periodo 2006-2017"/>
    <m/>
    <s v="Gráfico Evolución"/>
    <s v="Región de La Araucanía, ingresos, CASEN, mensual, promedio"/>
    <s v="PENDIENTE"/>
    <m/>
    <s v="#1774B9"/>
    <x v="9"/>
    <n v="99200009"/>
    <s v="T-991"/>
    <s v="C-991"/>
    <s v="FI-993"/>
    <e v="#N/A"/>
  </r>
  <r>
    <s v="0011"/>
    <n v="990"/>
    <x v="0"/>
    <s v="Socioeconómico"/>
    <n v="10"/>
    <x v="0"/>
    <x v="0"/>
    <x v="1"/>
    <s v="Región de Los Lagos"/>
    <s v="Ninguno"/>
    <s v="Ingresos Promedio Mensual"/>
    <s v="Periodo 2006-2017"/>
    <s v="CLP/mes"/>
    <s v="Encuestas CASEN"/>
    <s v="Evolución de Ingreso Promedio Mensual en la Región de Los Lagos para el Periodo 2006-2017"/>
    <m/>
    <s v="Gráfico Evolución"/>
    <s v="Región de Los Lagos, ingresos, CASEN, mensual, promedio"/>
    <s v="PENDIENTE"/>
    <m/>
    <s v="#1774B9"/>
    <x v="10"/>
    <n v="99200010"/>
    <s v="T-991"/>
    <s v="C-991"/>
    <s v="FI-993"/>
    <e v="#N/A"/>
  </r>
  <r>
    <s v="0012"/>
    <n v="990"/>
    <x v="0"/>
    <s v="Socioeconómico"/>
    <n v="11"/>
    <x v="0"/>
    <x v="0"/>
    <x v="1"/>
    <s v="Región de Aysén"/>
    <s v="Ninguno"/>
    <s v="Ingresos Promedio Mensual"/>
    <s v="Periodo 2006-2017"/>
    <s v="CLP/mes"/>
    <s v="Encuestas CASEN"/>
    <s v="Evolución de Ingreso Promedio Mensual en la Región de Aysén para el Periodo 2006-2017"/>
    <m/>
    <s v="Gráfico Evolución"/>
    <s v="Región de Aysén, ingresos, CASEN, mensual, promedio"/>
    <s v="PENDIENTE"/>
    <m/>
    <s v="#1774B9"/>
    <x v="11"/>
    <n v="99200011"/>
    <s v="T-991"/>
    <s v="C-991"/>
    <s v="FI-993"/>
    <e v="#N/A"/>
  </r>
  <r>
    <s v="0013"/>
    <n v="990"/>
    <x v="0"/>
    <s v="Socioeconómico"/>
    <n v="12"/>
    <x v="0"/>
    <x v="0"/>
    <x v="1"/>
    <s v="Región de Magallanes"/>
    <s v="Ninguno"/>
    <s v="Ingresos Promedio Mensual"/>
    <s v="Periodo 2006-2017"/>
    <s v="CLP/mes"/>
    <s v="Encuestas CASEN"/>
    <s v="Evolución de Ingreso Promedio Mensual en la Región de Magallanes para el Periodo 2006-2017"/>
    <m/>
    <s v="Gráfico Evolución"/>
    <s v="Región de Magallanes, ingresos, CASEN, mensual, promedio"/>
    <s v="PENDIENTE"/>
    <m/>
    <s v="#1774B9"/>
    <x v="12"/>
    <n v="99200012"/>
    <s v="T-991"/>
    <s v="C-991"/>
    <s v="FI-993"/>
    <e v="#N/A"/>
  </r>
  <r>
    <s v="0014"/>
    <n v="990"/>
    <x v="0"/>
    <s v="Socioeconómico"/>
    <n v="13"/>
    <x v="0"/>
    <x v="0"/>
    <x v="1"/>
    <s v="Región Metropolitana"/>
    <s v="Ninguno"/>
    <s v="Ingresos Promedio Mensual"/>
    <s v="Periodo 2006-2017"/>
    <s v="CLP/mes"/>
    <s v="Encuestas CASEN"/>
    <s v="Evolución de Ingreso Promedio Mensual en la Región Metropolitana para el Periodo 2006-2017"/>
    <m/>
    <s v="Gráfico Evolución"/>
    <s v="Región Metropolitana, ingresos, CASEN, mensual, promedio"/>
    <s v="PENDIENTE"/>
    <m/>
    <s v="#1774B9"/>
    <x v="13"/>
    <n v="99200013"/>
    <s v="T-991"/>
    <s v="C-991"/>
    <s v="FI-993"/>
    <e v="#N/A"/>
  </r>
  <r>
    <s v="0015"/>
    <n v="990"/>
    <x v="0"/>
    <s v="Socioeconómico"/>
    <n v="14"/>
    <x v="0"/>
    <x v="0"/>
    <x v="1"/>
    <s v="Región de Los Ríos"/>
    <s v="Ninguno"/>
    <s v="Ingresos Promedio Mensual"/>
    <s v="Periodo 2006-2017"/>
    <s v="CLP/mes"/>
    <s v="Encuestas CASEN"/>
    <s v="Evolución de Ingreso Promedio Mensual en la Región de Los Ríos para el Periodo 2006-2017"/>
    <m/>
    <s v="Gráfico Evolución"/>
    <s v="Región de Los Ríos, ingresos, CASEN, mensual, promedio"/>
    <s v="PENDIENTE"/>
    <m/>
    <s v="#1774B9"/>
    <x v="14"/>
    <n v="99200014"/>
    <s v="T-991"/>
    <s v="C-991"/>
    <s v="FI-993"/>
    <e v="#N/A"/>
  </r>
  <r>
    <s v="0016"/>
    <n v="990"/>
    <x v="0"/>
    <s v="Socioeconómico"/>
    <n v="15"/>
    <x v="0"/>
    <x v="0"/>
    <x v="1"/>
    <s v="Región de Arica y Parinacota"/>
    <s v="Ninguno"/>
    <s v="Ingresos Promedio Mensual"/>
    <s v="Periodo 2006-2017"/>
    <s v="CLP/mes"/>
    <s v="Encuestas CASEN"/>
    <s v="Evolución de Ingreso Promedio Mensual en la Región de Arica y Parinacota para el Periodo 2006-2017"/>
    <m/>
    <s v="Gráfico Evolución"/>
    <s v="Región de Arica y Parinacota, ingresos, CASEN, mensual, promedio"/>
    <s v="PENDIENTE"/>
    <m/>
    <s v="#1774B9"/>
    <x v="15"/>
    <n v="99200015"/>
    <s v="T-991"/>
    <s v="C-991"/>
    <s v="FI-993"/>
    <e v="#N/A"/>
  </r>
  <r>
    <s v="0017"/>
    <n v="990"/>
    <x v="0"/>
    <s v="Socioeconómico"/>
    <n v="16"/>
    <x v="0"/>
    <x v="0"/>
    <x v="1"/>
    <s v="Región de Ñuble"/>
    <s v="Ninguno"/>
    <s v="Ingresos Promedio Mensual"/>
    <s v="Periodo 2006-2017"/>
    <s v="CLP/mes"/>
    <s v="Encuestas CASEN"/>
    <s v="Evolución de Ingreso Promedio Mensual en la Región de Ñuble para el Periodo 2006-2017"/>
    <m/>
    <s v="Gráfico Evolución"/>
    <s v="Región de Ñuble, ingresos, CASEN, mensual, promedio"/>
    <s v="PENDIENTE"/>
    <m/>
    <s v="#1774B9"/>
    <x v="16"/>
    <n v="99200016"/>
    <s v="T-991"/>
    <s v="C-991"/>
    <s v="FI-993"/>
    <e v="#N/A"/>
  </r>
  <r>
    <s v="0019"/>
    <n v="990"/>
    <x v="0"/>
    <s v="Educación"/>
    <n v="0"/>
    <x v="1"/>
    <x v="1"/>
    <x v="0"/>
    <s v="Chile"/>
    <s v="Región"/>
    <s v="Proporción alumnos sobre 450 pts PSU"/>
    <s v="Periodo 2001-2020"/>
    <s v="Porcentaje (%)"/>
    <s v="Sistema Nacional de Información Municipal"/>
    <s v="Proporción de Alumnos de 4to Medio con más de 450 puntos en la PSU según dependencia de colegios"/>
    <s v="Más allá de la gestión alcaldicia, durante los últimos 20 años la proporción de alumnos con más de 450 puntos en la PSU se mantiene estable para colegios municipales en relación a los Subvencionados y Particulares Pagados."/>
    <s v="Gráfico Evolución"/>
    <s v="Chile,Educacion,Municipal,PSU,Alumnos,Calidad Educacion,Colegios Municipales"/>
    <s v="PENDIENTE"/>
    <n v="100200300"/>
    <s v="#1774B9"/>
    <x v="17"/>
    <n v="99100000"/>
    <s v="T-992"/>
    <s v="C-992"/>
    <s v="FI-992"/>
    <e v="#N/A"/>
  </r>
  <r>
    <s v="0020"/>
    <n v="990"/>
    <x v="0"/>
    <s v="Educación"/>
    <n v="1"/>
    <x v="1"/>
    <x v="1"/>
    <x v="1"/>
    <s v="Región de Tarapacá"/>
    <s v="Comuna"/>
    <s v="Proporción alumnos sobre 450 pts PSU"/>
    <s v="Periodo 2001-2020"/>
    <s v="Porcentaje (%)"/>
    <s v="Sistema Nacional de Información Municipal"/>
    <s v="Proporción de Alumnos de 4to Medio con más de 450 puntos en la PSU según dependencia de colegios"/>
    <m/>
    <s v="Gráfico Evolución"/>
    <s v="Región de Tarapacá,Educacion,Municipal,PSU,Alumnos,Calidad Educacion,Colegios Municipales"/>
    <s v="PENDIENTE"/>
    <m/>
    <s v="#1774B9"/>
    <x v="18"/>
    <n v="99200001"/>
    <s v="T-992"/>
    <s v="C-992"/>
    <s v="FI-991"/>
    <e v="#N/A"/>
  </r>
  <r>
    <s v="0021"/>
    <n v="990"/>
    <x v="0"/>
    <s v="Educación"/>
    <n v="2"/>
    <x v="1"/>
    <x v="1"/>
    <x v="1"/>
    <s v="Región de Antofagasta"/>
    <s v="Comuna"/>
    <s v="Proporción alumnos sobre 450 pts PSU"/>
    <s v="Periodo 2001-2020"/>
    <s v="Porcentaje (%)"/>
    <s v="Sistema Nacional de Información Municipal"/>
    <s v="Proporción de Alumnos de 4to Medio con más de 450 puntos en la PSU según dependencia de colegios"/>
    <m/>
    <s v="Gráfico Evolución"/>
    <s v="Región de Antofagasta,Educacion,Municipal,PSU,Alumnos,Calidad Educacion,Colegios Municipales"/>
    <s v="PENDIENTE"/>
    <m/>
    <s v="#1774B9"/>
    <x v="19"/>
    <n v="99200002"/>
    <s v="T-992"/>
    <s v="C-992"/>
    <s v="FI-991"/>
    <e v="#N/A"/>
  </r>
  <r>
    <s v="0022"/>
    <n v="990"/>
    <x v="0"/>
    <s v="Educación"/>
    <n v="3"/>
    <x v="1"/>
    <x v="1"/>
    <x v="1"/>
    <s v="Región de Atacama"/>
    <s v="Comuna"/>
    <s v="Proporción alumnos sobre 450 pts PSU"/>
    <s v="Periodo 2001-2020"/>
    <s v="Porcentaje (%)"/>
    <s v="Sistema Nacional de Información Municipal"/>
    <s v="Proporción de Alumnos de 4to Medio con más de 450 puntos en la PSU según dependencia de colegios"/>
    <m/>
    <s v="Gráfico Evolución"/>
    <s v="Región de Atacama,Educacion,Municipal,PSU,Alumnos,Calidad Educacion,Colegios Municipales"/>
    <s v="PENDIENTE"/>
    <m/>
    <s v="#1774B9"/>
    <x v="20"/>
    <n v="99200003"/>
    <s v="T-992"/>
    <s v="C-992"/>
    <s v="FI-991"/>
    <e v="#N/A"/>
  </r>
  <r>
    <s v="0023"/>
    <n v="990"/>
    <x v="0"/>
    <s v="Educación"/>
    <n v="4"/>
    <x v="1"/>
    <x v="1"/>
    <x v="1"/>
    <s v="Región de Coquimbo"/>
    <s v="Comuna"/>
    <s v="Proporción alumnos sobre 450 pts PSU"/>
    <s v="Periodo 2001-2020"/>
    <s v="Porcentaje (%)"/>
    <s v="Sistema Nacional de Información Municipal"/>
    <s v="Proporción de Alumnos de 4to Medio con más de 450 puntos en la PSU según dependencia de colegios"/>
    <m/>
    <s v="Gráfico Evolución"/>
    <s v="Región de Coquimbo,Educacion,Municipal,PSU,Alumnos,Calidad Educacion,Colegios Municipales"/>
    <s v="PENDIENTE"/>
    <m/>
    <s v="#1774B9"/>
    <x v="21"/>
    <n v="99200004"/>
    <s v="T-992"/>
    <s v="C-992"/>
    <s v="FI-991"/>
    <e v="#N/A"/>
  </r>
  <r>
    <s v="0024"/>
    <n v="990"/>
    <x v="0"/>
    <s v="Educación"/>
    <n v="5"/>
    <x v="1"/>
    <x v="1"/>
    <x v="1"/>
    <s v="Región de Valparaíso"/>
    <s v="Comuna"/>
    <s v="Proporción alumnos sobre 450 pts PSU"/>
    <s v="Periodo 2001-2020"/>
    <s v="Porcentaje (%)"/>
    <s v="Sistema Nacional de Información Municipal"/>
    <s v="Proporción de Alumnos de 4to Medio con más de 450 puntos en la PSU según dependencia de colegios"/>
    <m/>
    <s v="Gráfico Evolución"/>
    <s v="Región de Valparaíso,Educacion,Municipal,PSU,Alumnos,Calidad Educacion,Colegios Municipales"/>
    <s v="PENDIENTE"/>
    <m/>
    <s v="#1774B9"/>
    <x v="22"/>
    <n v="99200005"/>
    <s v="T-992"/>
    <s v="C-992"/>
    <s v="FI-991"/>
    <e v="#N/A"/>
  </r>
  <r>
    <s v="0025"/>
    <n v="990"/>
    <x v="0"/>
    <s v="Educación"/>
    <n v="6"/>
    <x v="1"/>
    <x v="1"/>
    <x v="1"/>
    <s v="Región de O'Higgins"/>
    <s v="Comuna"/>
    <s v="Proporción alumnos sobre 450 pts PSU"/>
    <s v="Periodo 2001-2020"/>
    <s v="Porcentaje (%)"/>
    <s v="Sistema Nacional de Información Municipal"/>
    <s v="Proporción de Alumnos de 4to Medio con más de 450 puntos en la PSU según dependencia de colegios"/>
    <m/>
    <s v="Gráfico Evolución"/>
    <s v="Región de O'Higgins,Educacion,Municipal,PSU,Alumnos,Calidad Educacion,Colegios Municipales"/>
    <s v="PENDIENTE"/>
    <m/>
    <s v="#1774B9"/>
    <x v="23"/>
    <n v="99200006"/>
    <s v="T-992"/>
    <s v="C-992"/>
    <s v="FI-991"/>
    <e v="#N/A"/>
  </r>
  <r>
    <s v="0026"/>
    <n v="990"/>
    <x v="0"/>
    <s v="Educación"/>
    <n v="7"/>
    <x v="1"/>
    <x v="1"/>
    <x v="1"/>
    <s v="Región de Maule"/>
    <s v="Comuna"/>
    <s v="Proporción alumnos sobre 450 pts PSU"/>
    <s v="Periodo 2001-2020"/>
    <s v="Porcentaje (%)"/>
    <s v="Sistema Nacional de Información Municipal"/>
    <s v="Proporción de Alumnos de 4to Medio con más de 450 puntos en la PSU según dependencia de colegios"/>
    <m/>
    <s v="Gráfico Evolución"/>
    <s v="Región de Maule,Educacion,Municipal,PSU,Alumnos,Calidad Educacion,Colegios Municipales"/>
    <s v="PENDIENTE"/>
    <m/>
    <s v="#1774B9"/>
    <x v="24"/>
    <n v="99200007"/>
    <s v="T-992"/>
    <s v="C-992"/>
    <s v="FI-991"/>
    <e v="#N/A"/>
  </r>
  <r>
    <s v="0027"/>
    <n v="990"/>
    <x v="0"/>
    <s v="Educación"/>
    <n v="8"/>
    <x v="1"/>
    <x v="1"/>
    <x v="1"/>
    <s v="Región del Biobío"/>
    <s v="Comuna"/>
    <s v="Proporción alumnos sobre 450 pts PSU"/>
    <s v="Periodo 2001-2020"/>
    <s v="Porcentaje (%)"/>
    <s v="Sistema Nacional de Información Municipal"/>
    <s v="Proporción de Alumnos de 4to Medio con más de 450 puntos en la PSU según dependencia de colegios"/>
    <m/>
    <s v="Gráfico Evolución"/>
    <s v="Región del Biobío,Educacion,Municipal,PSU,Alumnos,Calidad Educacion,Colegios Municipales"/>
    <s v="PENDIENTE"/>
    <m/>
    <s v="#1774B9"/>
    <x v="25"/>
    <n v="99200008"/>
    <s v="T-992"/>
    <s v="C-992"/>
    <s v="FI-991"/>
    <e v="#N/A"/>
  </r>
  <r>
    <s v="0028"/>
    <n v="990"/>
    <x v="0"/>
    <s v="Educación"/>
    <n v="9"/>
    <x v="1"/>
    <x v="1"/>
    <x v="1"/>
    <s v="Región de La Araucanía"/>
    <s v="Comuna"/>
    <s v="Proporción alumnos sobre 450 pts PSU"/>
    <s v="Periodo 2001-2020"/>
    <s v="Porcentaje (%)"/>
    <s v="Sistema Nacional de Información Municipal"/>
    <s v="Proporción de Alumnos de 4to Medio con más de 450 puntos en la PSU según dependencia de colegios"/>
    <m/>
    <s v="Gráfico Evolución"/>
    <s v="Región de La Araucanía,Educacion,Municipal,PSU,Alumnos,Calidad Educacion,Colegios Municipales"/>
    <s v="PENDIENTE"/>
    <m/>
    <s v="#1774B9"/>
    <x v="26"/>
    <n v="99200009"/>
    <s v="T-992"/>
    <s v="C-992"/>
    <s v="FI-991"/>
    <e v="#N/A"/>
  </r>
  <r>
    <s v="0029"/>
    <n v="990"/>
    <x v="0"/>
    <s v="Educación"/>
    <n v="10"/>
    <x v="1"/>
    <x v="1"/>
    <x v="1"/>
    <s v="Región de Los Lagos"/>
    <s v="Comuna"/>
    <s v="Proporción alumnos sobre 450 pts PSU"/>
    <s v="Periodo 2001-2020"/>
    <s v="Porcentaje (%)"/>
    <s v="Sistema Nacional de Información Municipal"/>
    <s v="Proporción de Alumnos de 4to Medio con más de 450 puntos en la PSU según dependencia de colegios"/>
    <m/>
    <s v="Gráfico Evolución"/>
    <s v="Región de Los Lagos,Educacion,Municipal,PSU,Alumnos,Calidad Educacion,Colegios Municipales"/>
    <s v="PENDIENTE"/>
    <m/>
    <s v="#1774B9"/>
    <x v="27"/>
    <n v="99200010"/>
    <s v="T-992"/>
    <s v="C-992"/>
    <s v="FI-991"/>
    <e v="#N/A"/>
  </r>
  <r>
    <s v="0030"/>
    <n v="990"/>
    <x v="0"/>
    <s v="Educación"/>
    <n v="11"/>
    <x v="1"/>
    <x v="1"/>
    <x v="1"/>
    <s v="Región de Aysén"/>
    <s v="Comuna"/>
    <s v="Proporción alumnos sobre 450 pts PSU"/>
    <s v="Periodo 2001-2020"/>
    <s v="Porcentaje (%)"/>
    <s v="Sistema Nacional de Información Municipal"/>
    <s v="Proporción de Alumnos de 4to Medio con más de 450 puntos en la PSU según dependencia de colegios"/>
    <m/>
    <s v="Gráfico Evolución"/>
    <s v="Región de Aysén,Educacion,Municipal,PSU,Alumnos,Calidad Educacion,Colegios Municipales"/>
    <s v="PENDIENTE"/>
    <m/>
    <s v="#1774B9"/>
    <x v="28"/>
    <n v="99200011"/>
    <s v="T-992"/>
    <s v="C-992"/>
    <s v="FI-991"/>
    <e v="#N/A"/>
  </r>
  <r>
    <s v="0031"/>
    <n v="990"/>
    <x v="0"/>
    <s v="Educación"/>
    <n v="12"/>
    <x v="1"/>
    <x v="1"/>
    <x v="1"/>
    <s v="Región de Magallanes"/>
    <s v="Comuna"/>
    <s v="Proporción alumnos sobre 450 pts PSU"/>
    <s v="Periodo 2001-2020"/>
    <s v="Porcentaje (%)"/>
    <s v="Sistema Nacional de Información Municipal"/>
    <s v="Proporción de Alumnos de 4to Medio con más de 450 puntos en la PSU según dependencia de colegios"/>
    <m/>
    <s v="Gráfico Evolución"/>
    <s v="Región de Magallanes,Educacion,Municipal,PSU,Alumnos,Calidad Educacion,Colegios Municipales"/>
    <s v="PENDIENTE"/>
    <m/>
    <s v="#1774B9"/>
    <x v="29"/>
    <n v="99200012"/>
    <s v="T-992"/>
    <s v="C-992"/>
    <s v="FI-991"/>
    <e v="#N/A"/>
  </r>
  <r>
    <s v="0032"/>
    <n v="990"/>
    <x v="0"/>
    <s v="Educación"/>
    <n v="13"/>
    <x v="1"/>
    <x v="1"/>
    <x v="1"/>
    <s v="Región Metropolitana"/>
    <s v="Comuna"/>
    <s v="Proporción alumnos sobre 450 pts PSU"/>
    <s v="Periodo 2001-2020"/>
    <s v="Porcentaje (%)"/>
    <s v="Sistema Nacional de Información Municipal"/>
    <s v="Proporción de Alumnos de 4to Medio con más de 450 puntos en la PSU según dependencia de colegios"/>
    <m/>
    <s v="Gráfico Evolución"/>
    <s v="Región Metropolitana,Educacion,Municipal,PSU,Alumnos,Calidad Educacion,Colegios Municipales"/>
    <s v="PENDIENTE"/>
    <m/>
    <s v="#1774B9"/>
    <x v="30"/>
    <n v="99200013"/>
    <s v="T-992"/>
    <s v="C-992"/>
    <s v="FI-991"/>
    <e v="#N/A"/>
  </r>
  <r>
    <s v="0033"/>
    <n v="990"/>
    <x v="0"/>
    <s v="Educación"/>
    <n v="14"/>
    <x v="1"/>
    <x v="1"/>
    <x v="1"/>
    <s v="Región de Los Ríos"/>
    <s v="Comuna"/>
    <s v="Proporción alumnos sobre 450 pts PSU"/>
    <s v="Periodo 2001-2020"/>
    <s v="Porcentaje (%)"/>
    <s v="Sistema Nacional de Información Municipal"/>
    <s v="Proporción de Alumnos de 4to Medio con más de 450 puntos en la PSU según dependencia de colegios"/>
    <m/>
    <s v="Gráfico Evolución"/>
    <s v="Región de Los Ríos,Educacion,Municipal,PSU,Alumnos,Calidad Educacion,Colegios Municipales"/>
    <s v="PENDIENTE"/>
    <m/>
    <s v="#1774B9"/>
    <x v="31"/>
    <n v="99200014"/>
    <s v="T-992"/>
    <s v="C-992"/>
    <s v="FI-991"/>
    <e v="#N/A"/>
  </r>
  <r>
    <s v="0034"/>
    <n v="990"/>
    <x v="0"/>
    <s v="Educación"/>
    <n v="15"/>
    <x v="1"/>
    <x v="1"/>
    <x v="1"/>
    <s v="Región de Arica y Parinacota"/>
    <s v="Comuna"/>
    <s v="Proporción alumnos sobre 450 pts PSU"/>
    <s v="Periodo 2001-2020"/>
    <s v="Porcentaje (%)"/>
    <s v="Sistema Nacional de Información Municipal"/>
    <s v="Proporción de Alumnos de 4to Medio con más de 450 puntos en la PSU según dependencia de colegios"/>
    <m/>
    <s v="Gráfico Evolución"/>
    <s v="Región de Arica y Parinacota,Educacion,Municipal,PSU,Alumnos,Calidad Educacion,Colegios Municipales"/>
    <s v="PENDIENTE"/>
    <m/>
    <s v="#1774B9"/>
    <x v="32"/>
    <n v="99200015"/>
    <s v="T-992"/>
    <s v="C-992"/>
    <s v="FI-991"/>
    <e v="#N/A"/>
  </r>
  <r>
    <s v="0035"/>
    <n v="990"/>
    <x v="0"/>
    <s v="Educación"/>
    <n v="16"/>
    <x v="1"/>
    <x v="1"/>
    <x v="1"/>
    <s v="Región de Ñuble"/>
    <s v="Comuna"/>
    <s v="Proporción alumnos sobre 450 pts PSU"/>
    <s v="Periodo 2001-2020"/>
    <s v="Porcentaje (%)"/>
    <s v="Sistema Nacional de Información Municipal"/>
    <s v="Proporción de Alumnos de 4to Medio con más de 450 puntos en la PSU según dependencia de colegios"/>
    <m/>
    <s v="Gráfico Evolución"/>
    <s v="Región de Ñuble,Educacion,Municipal,PSU,Alumnos,Calidad Educacion,Colegios Municipales"/>
    <s v="PENDIENTE"/>
    <m/>
    <s v="#1774B9"/>
    <x v="33"/>
    <n v="99200016"/>
    <s v="T-992"/>
    <s v="C-992"/>
    <s v="FI-991"/>
    <e v="#N/A"/>
  </r>
  <r>
    <s v="0036"/>
    <n v="990"/>
    <x v="0"/>
    <s v="Mujeres"/>
    <n v="0"/>
    <x v="2"/>
    <x v="2"/>
    <x v="0"/>
    <s v="Chile"/>
    <s v="Comuna"/>
    <s v="Denuncias por violación"/>
    <s v="Año 2020"/>
    <s v="Número de Denuncias"/>
    <s v="Centro de Estudios y Análisis del Delito (CEAD) de la Subsecretaría de Prevención del Delito"/>
    <s v="Distribución comunal de denuncias por violación en Chile en el Año 2020"/>
    <m/>
    <s v="Gráfico  "/>
    <s v="Chile,comunas,violencia,mujer,violacion,denuncias"/>
    <s v="PENDIENTE"/>
    <m/>
    <s v="#1774B9"/>
    <x v="34"/>
    <n v="99100000"/>
    <s v="T-993"/>
    <s v="C-993"/>
    <s v="FI-991"/>
    <e v="#N/A"/>
  </r>
  <r>
    <s v="0037"/>
    <n v="990"/>
    <x v="0"/>
    <s v="Mujeres"/>
    <n v="1"/>
    <x v="2"/>
    <x v="2"/>
    <x v="1"/>
    <s v="Región de Tarapacá"/>
    <s v="Comuna"/>
    <s v="Denuncias por violación"/>
    <s v="Año 2020"/>
    <s v="Número de Denuncias"/>
    <s v="Centro de Estudios y Análisis del Delito (CEAD) de la Subsecretaría de Prevención del Delito"/>
    <s v="Distribución comunal de denuncias por violación en la Región de Tarapacá en el Año 2020"/>
    <m/>
    <s v="Gráfico  "/>
    <s v="Región de Tarapacá,comunas,violencia,mujer,violacion,denuncias"/>
    <s v="PENDIENTE"/>
    <m/>
    <s v="#1774B9"/>
    <x v="35"/>
    <n v="99200001"/>
    <s v="T-993"/>
    <s v="C-993"/>
    <s v="FI-991"/>
    <e v="#N/A"/>
  </r>
  <r>
    <s v="0038"/>
    <n v="990"/>
    <x v="0"/>
    <s v="Mujeres"/>
    <n v="2"/>
    <x v="2"/>
    <x v="2"/>
    <x v="1"/>
    <s v="Región de Antofagasta"/>
    <s v="Comuna"/>
    <s v="Denuncias por violación"/>
    <s v="Año 2020"/>
    <s v="Número de Denuncias"/>
    <s v="Centro de Estudios y Análisis del Delito (CEAD) de la Subsecretaría de Prevención del Delito"/>
    <s v="Distribución comunal de denuncias por violación en la Región de Antofagasta en el Año 2020"/>
    <m/>
    <s v="Gráfico  "/>
    <s v="Región de Antofagasta,comunas,violencia,mujer,violacion,denuncias"/>
    <s v="PENDIENTE"/>
    <m/>
    <s v="#1774B9"/>
    <x v="36"/>
    <n v="99200002"/>
    <s v="T-993"/>
    <s v="C-993"/>
    <s v="FI-991"/>
    <e v="#N/A"/>
  </r>
  <r>
    <s v="0039"/>
    <n v="990"/>
    <x v="0"/>
    <s v="Mujeres"/>
    <n v="3"/>
    <x v="2"/>
    <x v="2"/>
    <x v="1"/>
    <s v="Región de Atacama"/>
    <s v="Comuna"/>
    <s v="Denuncias por violación"/>
    <s v="Año 2020"/>
    <s v="Número de Denuncias"/>
    <s v="Centro de Estudios y Análisis del Delito (CEAD) de la Subsecretaría de Prevención del Delito"/>
    <s v="Distribución comunal de denuncias por violación en la Región de Atacama en el Año 2020"/>
    <m/>
    <s v="Gráfico  "/>
    <s v="Región de Atacama,comunas,violencia,mujer,violacion,denuncias"/>
    <s v="PENDIENTE"/>
    <m/>
    <s v="#1774B9"/>
    <x v="37"/>
    <n v="99200003"/>
    <s v="T-993"/>
    <s v="C-993"/>
    <s v="FI-991"/>
    <e v="#N/A"/>
  </r>
  <r>
    <s v="0040"/>
    <n v="990"/>
    <x v="0"/>
    <s v="Mujeres"/>
    <n v="4"/>
    <x v="2"/>
    <x v="2"/>
    <x v="1"/>
    <s v="Región de Coquimbo"/>
    <s v="Comuna"/>
    <s v="Denuncias por violación"/>
    <s v="Año 2020"/>
    <s v="Número de Denuncias"/>
    <s v="Centro de Estudios y Análisis del Delito (CEAD) de la Subsecretaría de Prevención del Delito"/>
    <s v="Distribución comunal de denuncias por violación en la Región de Coquimbo en el Año 2020"/>
    <m/>
    <s v="Gráfico  "/>
    <s v="Región de Coquimbo,comunas,violencia,mujer,violacion,denuncias"/>
    <s v="PENDIENTE"/>
    <m/>
    <s v="#1774B9"/>
    <x v="38"/>
    <n v="99200004"/>
    <s v="T-993"/>
    <s v="C-993"/>
    <s v="FI-991"/>
    <e v="#N/A"/>
  </r>
  <r>
    <s v="0041"/>
    <n v="990"/>
    <x v="0"/>
    <s v="Mujeres"/>
    <n v="5"/>
    <x v="2"/>
    <x v="2"/>
    <x v="1"/>
    <s v="Región de Valparaíso"/>
    <s v="Comuna"/>
    <s v="Denuncias por violación"/>
    <s v="Año 2020"/>
    <s v="Número de Denuncias"/>
    <s v="Centro de Estudios y Análisis del Delito (CEAD) de la Subsecretaría de Prevención del Delito"/>
    <s v="Distribución comunal de denuncias por violación en la Región de Valparaíso en el Año 2020"/>
    <m/>
    <s v="Gráfico  "/>
    <s v="Región de Valparaíso,comunas,violencia,mujer,violacion,denuncias"/>
    <s v="PENDIENTE"/>
    <m/>
    <s v="#1774B9"/>
    <x v="39"/>
    <n v="99200005"/>
    <s v="T-993"/>
    <s v="C-993"/>
    <s v="FI-991"/>
    <e v="#N/A"/>
  </r>
  <r>
    <s v="0042"/>
    <n v="990"/>
    <x v="0"/>
    <s v="Mujeres"/>
    <n v="6"/>
    <x v="2"/>
    <x v="2"/>
    <x v="1"/>
    <s v="Región de O'Higgins"/>
    <s v="Comuna"/>
    <s v="Denuncias por violación"/>
    <s v="Año 2020"/>
    <s v="Número de Denuncias"/>
    <s v="Centro de Estudios y Análisis del Delito (CEAD) de la Subsecretaría de Prevención del Delito"/>
    <s v="Distribución comunal de denuncias por violación en la Región de O'Higgins en el Año 2020"/>
    <m/>
    <s v="Gráfico  "/>
    <s v="Región de O'Higgins,comunas,violencia,mujer,violacion,denuncias"/>
    <s v="PENDIENTE"/>
    <m/>
    <s v="#1774B9"/>
    <x v="40"/>
    <n v="99200006"/>
    <s v="T-993"/>
    <s v="C-993"/>
    <s v="FI-991"/>
    <e v="#N/A"/>
  </r>
  <r>
    <s v="0043"/>
    <n v="990"/>
    <x v="0"/>
    <s v="Mujeres"/>
    <n v="7"/>
    <x v="2"/>
    <x v="2"/>
    <x v="1"/>
    <s v="Región de Maule"/>
    <s v="Comuna"/>
    <s v="Denuncias por violación"/>
    <s v="Año 2020"/>
    <s v="Número de Denuncias"/>
    <s v="Centro de Estudios y Análisis del Delito (CEAD) de la Subsecretaría de Prevención del Delito"/>
    <s v="Distribución comunal de denuncias por violación en la Región de Maule en el Año 2020"/>
    <m/>
    <s v="Gráfico  "/>
    <s v="Región de Maule,comunas,violencia,mujer,violacion,denuncias"/>
    <s v="PENDIENTE"/>
    <m/>
    <s v="#1774B9"/>
    <x v="41"/>
    <n v="99200007"/>
    <s v="T-993"/>
    <s v="C-993"/>
    <s v="FI-991"/>
    <e v="#N/A"/>
  </r>
  <r>
    <s v="0044"/>
    <n v="990"/>
    <x v="0"/>
    <s v="Mujeres"/>
    <n v="8"/>
    <x v="2"/>
    <x v="2"/>
    <x v="1"/>
    <s v="Región del Biobío"/>
    <s v="Comuna"/>
    <s v="Denuncias por violación"/>
    <s v="Año 2020"/>
    <s v="Número de Denuncias"/>
    <s v="Centro de Estudios y Análisis del Delito (CEAD) de la Subsecretaría de Prevención del Delito"/>
    <s v="Distribución comunal de denuncias por violación en la Región del Biobío en el Año 2020"/>
    <m/>
    <s v="Gráfico  "/>
    <s v="Región del Biobío,comunas,violencia,mujer,violacion,denuncias"/>
    <s v="PENDIENTE"/>
    <m/>
    <s v="#1774B9"/>
    <x v="42"/>
    <n v="99200008"/>
    <s v="T-993"/>
    <s v="C-993"/>
    <s v="FI-991"/>
    <e v="#N/A"/>
  </r>
  <r>
    <s v="0045"/>
    <n v="990"/>
    <x v="0"/>
    <s v="Mujeres"/>
    <n v="9"/>
    <x v="2"/>
    <x v="2"/>
    <x v="1"/>
    <s v="Región de La Araucanía"/>
    <s v="Comuna"/>
    <s v="Denuncias por violación"/>
    <s v="Año 2020"/>
    <s v="Número de Denuncias"/>
    <s v="Centro de Estudios y Análisis del Delito (CEAD) de la Subsecretaría de Prevención del Delito"/>
    <s v="Distribución comunal de denuncias por violación en la Región de La Araucanía en el Año 2020"/>
    <m/>
    <s v="Gráfico  "/>
    <s v="Región de La Araucanía,comunas,violencia,mujer,violacion,denuncias"/>
    <s v="PENDIENTE"/>
    <m/>
    <s v="#1774B9"/>
    <x v="43"/>
    <n v="99200009"/>
    <s v="T-993"/>
    <s v="C-993"/>
    <s v="FI-991"/>
    <e v="#N/A"/>
  </r>
  <r>
    <s v="0046"/>
    <n v="990"/>
    <x v="0"/>
    <s v="Mujeres"/>
    <n v="10"/>
    <x v="2"/>
    <x v="2"/>
    <x v="1"/>
    <s v="Región de Los Lagos"/>
    <s v="Comuna"/>
    <s v="Denuncias por violación"/>
    <s v="Año 2020"/>
    <s v="Número de Denuncias"/>
    <s v="Centro de Estudios y Análisis del Delito (CEAD) de la Subsecretaría de Prevención del Delito"/>
    <s v="Distribución comunal de denuncias por violación en la Región de Los Lagos en el Año 2020"/>
    <m/>
    <s v="Gráfico  "/>
    <s v="Región de Los Lagos,comunas,violencia,mujer,violacion,denuncias"/>
    <s v="PENDIENTE"/>
    <m/>
    <s v="#1774B9"/>
    <x v="44"/>
    <n v="99200010"/>
    <s v="T-993"/>
    <s v="C-993"/>
    <s v="FI-991"/>
    <e v="#N/A"/>
  </r>
  <r>
    <s v="0047"/>
    <n v="990"/>
    <x v="0"/>
    <s v="Mujeres"/>
    <n v="11"/>
    <x v="2"/>
    <x v="2"/>
    <x v="1"/>
    <s v="Región de Aysén"/>
    <s v="Comuna"/>
    <s v="Denuncias por violación"/>
    <s v="Año 2020"/>
    <s v="Número de Denuncias"/>
    <s v="Centro de Estudios y Análisis del Delito (CEAD) de la Subsecretaría de Prevención del Delito"/>
    <s v="Distribución comunal de denuncias por violación en la Región de Aysén en el Año 2020"/>
    <m/>
    <s v="Gráfico  "/>
    <s v="Región de Aysén,comunas,violencia,mujer,violacion,denuncias"/>
    <s v="PENDIENTE"/>
    <m/>
    <s v="#1774B9"/>
    <x v="45"/>
    <n v="99200011"/>
    <s v="T-993"/>
    <s v="C-993"/>
    <s v="FI-991"/>
    <e v="#N/A"/>
  </r>
  <r>
    <s v="0048"/>
    <n v="990"/>
    <x v="0"/>
    <s v="Mujeres"/>
    <n v="12"/>
    <x v="2"/>
    <x v="2"/>
    <x v="1"/>
    <s v="Región de Magallanes"/>
    <s v="Comuna"/>
    <s v="Denuncias por violación"/>
    <s v="Año 2020"/>
    <s v="Número de Denuncias"/>
    <s v="Centro de Estudios y Análisis del Delito (CEAD) de la Subsecretaría de Prevención del Delito"/>
    <s v="Distribución comunal de denuncias por violación en la Región de Magallanes en el Año 2020"/>
    <m/>
    <s v="Gráfico  "/>
    <s v="Región de Magallanes,comunas,violencia,mujer,violacion,denuncias"/>
    <s v="PENDIENTE"/>
    <m/>
    <s v="#1774B9"/>
    <x v="46"/>
    <n v="99200012"/>
    <s v="T-993"/>
    <s v="C-993"/>
    <s v="FI-991"/>
    <e v="#N/A"/>
  </r>
  <r>
    <s v="0049"/>
    <n v="990"/>
    <x v="0"/>
    <s v="Mujeres"/>
    <n v="13"/>
    <x v="2"/>
    <x v="2"/>
    <x v="1"/>
    <s v="Región Metropolitana"/>
    <s v="Comuna"/>
    <s v="Denuncias por violación"/>
    <s v="Año 2020"/>
    <s v="Número de Denuncias"/>
    <s v="Centro de Estudios y Análisis del Delito (CEAD) de la Subsecretaría de Prevención del Delito"/>
    <s v="Distribución comunal de denuncias por violación en la Región Metropolitana en el Año 2020"/>
    <s v="Las comunas más pobladas de la región Metropolitana son las que presentan mayores frecuencias de denuncias por violación el año 2020. Puente Alto, La Florida, San Bernardo, Maipú y Santiago muestran las mayores cifras de denuncias."/>
    <s v="Gráfico  "/>
    <s v="Región Metropolitana,comunas,violencia,mujer,violacion,denuncias"/>
    <s v="https://analytics.zoho.com/open-view/2395394000006789748?ZOHO_CRITERIA=%22Localiza%20CL%22.%22Codreg%22%3D13"/>
    <m/>
    <s v="#1774B9"/>
    <x v="47"/>
    <n v="99200013"/>
    <s v="T-993"/>
    <s v="C-993"/>
    <s v="FI-991"/>
    <e v="#N/A"/>
  </r>
  <r>
    <s v="0050"/>
    <n v="990"/>
    <x v="0"/>
    <s v="Mujeres"/>
    <n v="14"/>
    <x v="2"/>
    <x v="2"/>
    <x v="1"/>
    <s v="Región de Los Ríos"/>
    <s v="Comuna"/>
    <s v="Denuncias por violación"/>
    <s v="Año 2020"/>
    <s v="Número de Denuncias"/>
    <s v="Centro de Estudios y Análisis del Delito (CEAD) de la Subsecretaría de Prevención del Delito"/>
    <s v="Distribución comunal de denuncias por violación en la Región de Los Ríos en el Año 2020"/>
    <m/>
    <s v="Gráfico  "/>
    <s v="Región de Los Ríos,comunas,violencia,mujer,violacion,denuncias"/>
    <s v="PENDIENTE"/>
    <m/>
    <s v="#1774B9"/>
    <x v="48"/>
    <n v="99200014"/>
    <s v="T-993"/>
    <s v="C-993"/>
    <s v="FI-991"/>
    <e v="#N/A"/>
  </r>
  <r>
    <s v="0051"/>
    <n v="990"/>
    <x v="0"/>
    <s v="Mujeres"/>
    <n v="15"/>
    <x v="2"/>
    <x v="2"/>
    <x v="1"/>
    <s v="Región de Arica y Parinacota"/>
    <s v="Comuna"/>
    <s v="Denuncias por violación"/>
    <s v="Año 2020"/>
    <s v="Número de Denuncias"/>
    <s v="Centro de Estudios y Análisis del Delito (CEAD) de la Subsecretaría de Prevención del Delito"/>
    <s v="Distribución comunal de denuncias por violación en la Región de Arica y Parinacota en el Año 2020"/>
    <m/>
    <s v="Gráfico  "/>
    <s v="Región de Arica y Parinacota,comunas,violencia,mujer,violacion,denuncias"/>
    <s v="PENDIENTE"/>
    <m/>
    <s v="#1774B9"/>
    <x v="49"/>
    <n v="99200015"/>
    <s v="T-993"/>
    <s v="C-993"/>
    <s v="FI-991"/>
    <e v="#N/A"/>
  </r>
  <r>
    <s v="0052"/>
    <n v="990"/>
    <x v="0"/>
    <s v="Mujeres"/>
    <n v="16"/>
    <x v="2"/>
    <x v="2"/>
    <x v="1"/>
    <s v="Región de Ñuble"/>
    <s v="Comuna"/>
    <s v="Denuncias por violación"/>
    <s v="Año 2020"/>
    <s v="Número de Denuncias"/>
    <s v="Centro de Estudios y Análisis del Delito (CEAD) de la Subsecretaría de Prevención del Delito"/>
    <s v="Distribución comunal de denuncias por violación en la Región de Ñuble en el Año 2020"/>
    <m/>
    <s v="Gráfico  "/>
    <s v="Región de Ñuble,comunas,violencia,mujer,violacion,denuncias"/>
    <s v="PENDIENTE"/>
    <m/>
    <s v="#1774B9"/>
    <x v="50"/>
    <n v="99200016"/>
    <s v="T-993"/>
    <s v="C-993"/>
    <s v="FI-991"/>
    <e v="#N/A"/>
  </r>
  <r>
    <s v="0053"/>
    <n v="990"/>
    <x v="0"/>
    <s v="Socioeconómico"/>
    <n v="0"/>
    <x v="3"/>
    <x v="0"/>
    <x v="0"/>
    <s v="Chile"/>
    <s v="Comuna"/>
    <s v="Ingresos Promedio Mensual (CLP/mes)"/>
    <s v="POR DEFINIR"/>
    <s v="CLP/mes"/>
    <s v="CASEN 2017"/>
    <s v="Ingresos promedios mensuales en Chile en el POR DEFINIR"/>
    <s v="La población de la etnia Mapuche se distribuye en las 16 regiones del país en distintas proporciones. Las regiones donde las personas de este grupo étnico logran mayores ingresos mensuales, en promedio, son la de Arica y Parinacota y Magallanes."/>
    <s v="Gráfico  "/>
    <s v="Chile,CASEN,ingresos,promedio,etnia,comuna"/>
    <s v="https://analytics.zoho.com/open-view/2395394000007718948"/>
    <m/>
    <s v="#1774B9"/>
    <x v="51"/>
    <n v="99100000"/>
    <s v="T-994"/>
    <s v="C-991"/>
    <s v="FI-991"/>
    <s v="M-993"/>
  </r>
  <r>
    <s v="0054"/>
    <n v="990"/>
    <x v="0"/>
    <s v="Socioeconómico"/>
    <n v="1"/>
    <x v="3"/>
    <x v="0"/>
    <x v="1"/>
    <s v="Región de Tarapacá"/>
    <s v="Comuna"/>
    <s v="Ingresos Promedio Mensual (CLP/mes)"/>
    <s v="POR DEFINIR"/>
    <s v="CLP/mes"/>
    <s v="CASEN 2017"/>
    <s v="Ingresos promedios mensuales en Región de Tarapacá en el POR DEFINIR"/>
    <m/>
    <s v="Gráfico  "/>
    <s v="Región de Tarapacá,CASEN,ingresos,promedio,etnia,comuna"/>
    <s v="PENDIENTE"/>
    <m/>
    <s v="#1774B9"/>
    <x v="52"/>
    <n v="99200001"/>
    <s v="T-994"/>
    <s v="C-991"/>
    <s v="FI-991"/>
    <s v="M-993"/>
  </r>
  <r>
    <s v="0055"/>
    <n v="990"/>
    <x v="0"/>
    <s v="Socioeconómico"/>
    <n v="2"/>
    <x v="3"/>
    <x v="0"/>
    <x v="1"/>
    <s v="Región de Antofagasta"/>
    <s v="Comuna"/>
    <s v="Ingresos Promedio Mensual (CLP/mes)"/>
    <s v="POR DEFINIR"/>
    <s v="CLP/mes"/>
    <s v="CASEN 2017"/>
    <s v="Ingresos promedios mensuales en Región de Antofagasta en el POR DEFINIR"/>
    <m/>
    <s v="Gráfico  "/>
    <s v="Región de Antofagasta,CASEN,ingresos,promedio,etnia,comuna"/>
    <s v="PENDIENTE"/>
    <m/>
    <s v="#1774B9"/>
    <x v="53"/>
    <n v="99200002"/>
    <s v="T-994"/>
    <s v="C-991"/>
    <s v="FI-991"/>
    <s v="M-993"/>
  </r>
  <r>
    <s v="0056"/>
    <n v="990"/>
    <x v="0"/>
    <s v="Socioeconómico"/>
    <n v="3"/>
    <x v="3"/>
    <x v="0"/>
    <x v="1"/>
    <s v="Región de Atacama"/>
    <s v="Comuna"/>
    <s v="Ingresos Promedio Mensual (CLP/mes)"/>
    <s v="POR DEFINIR"/>
    <s v="CLP/mes"/>
    <s v="CASEN 2017"/>
    <s v="Ingresos promedios mensuales en Región de Atacama en el POR DEFINIR"/>
    <m/>
    <s v="Gráfico  "/>
    <s v="Región de Atacama,CASEN,ingresos,promedio,etnia,comuna"/>
    <s v="PENDIENTE"/>
    <m/>
    <s v="#1774B9"/>
    <x v="54"/>
    <n v="99200003"/>
    <s v="T-994"/>
    <s v="C-991"/>
    <s v="FI-991"/>
    <s v="M-993"/>
  </r>
  <r>
    <s v="0057"/>
    <n v="990"/>
    <x v="0"/>
    <s v="Socioeconómico"/>
    <n v="4"/>
    <x v="3"/>
    <x v="0"/>
    <x v="1"/>
    <s v="Región de Coquimbo"/>
    <s v="Comuna"/>
    <s v="Ingresos Promedio Mensual (CLP/mes)"/>
    <s v="POR DEFINIR"/>
    <s v="CLP/mes"/>
    <s v="CASEN 2017"/>
    <s v="Ingresos promedios mensuales en Región de Coquimbo en el POR DEFINIR"/>
    <m/>
    <s v="Gráfico  "/>
    <s v="Región de Coquimbo,CASEN,ingresos,promedio,etnia,comuna"/>
    <s v="PENDIENTE"/>
    <m/>
    <s v="#1774B9"/>
    <x v="55"/>
    <n v="99200004"/>
    <s v="T-994"/>
    <s v="C-991"/>
    <s v="FI-991"/>
    <s v="M-993"/>
  </r>
  <r>
    <s v="0058"/>
    <n v="990"/>
    <x v="0"/>
    <s v="Socioeconómico"/>
    <n v="5"/>
    <x v="3"/>
    <x v="0"/>
    <x v="1"/>
    <s v="Región de Valparaíso"/>
    <s v="Comuna"/>
    <s v="Ingresos Promedio Mensual (CLP/mes)"/>
    <s v="POR DEFINIR"/>
    <s v="CLP/mes"/>
    <s v="CASEN 2017"/>
    <s v="Ingresos promedios mensuales en Región de Valparaíso en el POR DEFINIR"/>
    <m/>
    <s v="Gráfico  "/>
    <s v="Región de Valparaíso,CASEN,ingresos,promedio,etnia,comuna"/>
    <s v="PENDIENTE"/>
    <m/>
    <s v="#1774B9"/>
    <x v="56"/>
    <n v="99200005"/>
    <s v="T-994"/>
    <s v="C-991"/>
    <s v="FI-991"/>
    <s v="M-993"/>
  </r>
  <r>
    <s v="0059"/>
    <n v="990"/>
    <x v="0"/>
    <s v="Socioeconómico"/>
    <n v="6"/>
    <x v="3"/>
    <x v="0"/>
    <x v="1"/>
    <s v="Región de O'Higgins"/>
    <s v="Comuna"/>
    <s v="Ingresos Promedio Mensual (CLP/mes)"/>
    <s v="POR DEFINIR"/>
    <s v="CLP/mes"/>
    <s v="CASEN 2017"/>
    <s v="Ingresos promedios mensuales en Región de O'Higgins en el POR DEFINIR"/>
    <m/>
    <s v="Gráfico  "/>
    <s v="Región de O'Higgins,CASEN,ingresos,promedio,etnia,comuna"/>
    <s v="PENDIENTE"/>
    <m/>
    <s v="#1774B9"/>
    <x v="57"/>
    <n v="99200006"/>
    <s v="T-994"/>
    <s v="C-991"/>
    <s v="FI-991"/>
    <s v="M-993"/>
  </r>
  <r>
    <s v="0060"/>
    <n v="990"/>
    <x v="0"/>
    <s v="Socioeconómico"/>
    <n v="7"/>
    <x v="3"/>
    <x v="0"/>
    <x v="1"/>
    <s v="Región de Maule"/>
    <s v="Comuna"/>
    <s v="Ingresos Promedio Mensual (CLP/mes)"/>
    <s v="POR DEFINIR"/>
    <s v="CLP/mes"/>
    <s v="CASEN 2017"/>
    <s v="Ingresos promedios mensuales en Región de Maule en el POR DEFINIR"/>
    <m/>
    <s v="Gráfico  "/>
    <s v="Región de Maule,CASEN,ingresos,promedio,etnia,comuna"/>
    <s v="PENDIENTE"/>
    <m/>
    <s v="#1774B9"/>
    <x v="58"/>
    <n v="99200007"/>
    <s v="T-994"/>
    <s v="C-991"/>
    <s v="FI-991"/>
    <s v="M-993"/>
  </r>
  <r>
    <s v="0061"/>
    <n v="990"/>
    <x v="0"/>
    <s v="Socioeconómico"/>
    <n v="8"/>
    <x v="3"/>
    <x v="0"/>
    <x v="1"/>
    <s v="Región del Biobío"/>
    <s v="Comuna"/>
    <s v="Ingresos Promedio Mensual (CLP/mes)"/>
    <s v="POR DEFINIR"/>
    <s v="CLP/mes"/>
    <s v="CASEN 2017"/>
    <s v="Ingresos promedios mensuales en Región del Biobío en el POR DEFINIR"/>
    <m/>
    <s v="Gráfico  "/>
    <s v="Región del Biobío,CASEN,ingresos,promedio,etnia,comuna"/>
    <s v="PENDIENTE"/>
    <m/>
    <s v="#1774B9"/>
    <x v="59"/>
    <n v="99200008"/>
    <s v="T-994"/>
    <s v="C-991"/>
    <s v="FI-991"/>
    <s v="M-993"/>
  </r>
  <r>
    <s v="0062"/>
    <n v="990"/>
    <x v="0"/>
    <s v="Socioeconómico"/>
    <n v="9"/>
    <x v="3"/>
    <x v="0"/>
    <x v="1"/>
    <s v="Región de La Araucanía"/>
    <s v="Comuna"/>
    <s v="Ingresos Promedio Mensual (CLP/mes)"/>
    <s v="POR DEFINIR"/>
    <s v="CLP/mes"/>
    <s v="CASEN 2017"/>
    <s v="Ingresos promedios mensuales en Región de La Araucanía en el POR DEFINIR"/>
    <m/>
    <s v="Gráfico  "/>
    <s v="Región de La Araucanía,CASEN,ingresos,promedio,etnia,comuna"/>
    <s v="PENDIENTE"/>
    <m/>
    <s v="#1774B9"/>
    <x v="60"/>
    <n v="99200009"/>
    <s v="T-994"/>
    <s v="C-991"/>
    <s v="FI-991"/>
    <s v="M-993"/>
  </r>
  <r>
    <s v="0063"/>
    <n v="990"/>
    <x v="0"/>
    <s v="Socioeconómico"/>
    <n v="10"/>
    <x v="3"/>
    <x v="0"/>
    <x v="1"/>
    <s v="Región de Los Lagos"/>
    <s v="Comuna"/>
    <s v="Ingresos Promedio Mensual (CLP/mes)"/>
    <s v="POR DEFINIR"/>
    <s v="CLP/mes"/>
    <s v="CASEN 2017"/>
    <s v="Ingresos promedios mensuales en Región de Los Lagos en el POR DEFINIR"/>
    <m/>
    <s v="Gráfico  "/>
    <s v="Región de Los Lagos,CASEN,ingresos,promedio,etnia,comuna"/>
    <s v="PENDIENTE"/>
    <m/>
    <s v="#1774B9"/>
    <x v="61"/>
    <n v="99200010"/>
    <s v="T-994"/>
    <s v="C-991"/>
    <s v="FI-991"/>
    <s v="M-993"/>
  </r>
  <r>
    <s v="0064"/>
    <n v="990"/>
    <x v="0"/>
    <s v="Socioeconómico"/>
    <n v="11"/>
    <x v="3"/>
    <x v="0"/>
    <x v="1"/>
    <s v="Región de Aysén"/>
    <s v="Comuna"/>
    <s v="Ingresos Promedio Mensual (CLP/mes)"/>
    <s v="POR DEFINIR"/>
    <s v="CLP/mes"/>
    <s v="CASEN 2017"/>
    <s v="Ingresos promedios mensuales en Región de Aysén en el POR DEFINIR"/>
    <m/>
    <s v="Gráfico  "/>
    <s v="Región de Aysén,CASEN,ingresos,promedio,etnia,comuna"/>
    <s v="PENDIENTE"/>
    <m/>
    <s v="#1774B9"/>
    <x v="62"/>
    <n v="99200011"/>
    <s v="T-994"/>
    <s v="C-991"/>
    <s v="FI-991"/>
    <s v="M-993"/>
  </r>
  <r>
    <s v="0065"/>
    <n v="990"/>
    <x v="0"/>
    <s v="Socioeconómico"/>
    <n v="12"/>
    <x v="3"/>
    <x v="0"/>
    <x v="1"/>
    <s v="Región de Magallanes"/>
    <s v="Comuna"/>
    <s v="Ingresos Promedio Mensual (CLP/mes)"/>
    <s v="POR DEFINIR"/>
    <s v="CLP/mes"/>
    <s v="CASEN 2017"/>
    <s v="Ingresos promedios mensuales en Región de Magallanes en el POR DEFINIR"/>
    <m/>
    <s v="Gráfico  "/>
    <s v="Región de Magallanes,CASEN,ingresos,promedio,etnia,comuna"/>
    <s v="PENDIENTE"/>
    <m/>
    <s v="#1774B9"/>
    <x v="63"/>
    <n v="99200012"/>
    <s v="T-994"/>
    <s v="C-991"/>
    <s v="FI-991"/>
    <s v="M-993"/>
  </r>
  <r>
    <s v="0066"/>
    <n v="990"/>
    <x v="0"/>
    <s v="Socioeconómico"/>
    <n v="13"/>
    <x v="3"/>
    <x v="0"/>
    <x v="1"/>
    <s v="Región Metropolitana"/>
    <s v="Comuna"/>
    <s v="Ingresos Promedio Mensual (CLP/mes)"/>
    <s v="POR DEFINIR"/>
    <s v="CLP/mes"/>
    <s v="CASEN 2017"/>
    <s v="Ingresos promedios mensuales en Región Metropolitana en el POR DEFINIR"/>
    <m/>
    <s v="Gráfico  "/>
    <s v="Región Metropolitana,CASEN,ingresos,promedio,etnia,comuna"/>
    <s v="PENDIENTE"/>
    <m/>
    <s v="#1774B9"/>
    <x v="64"/>
    <n v="99200013"/>
    <s v="T-994"/>
    <s v="C-991"/>
    <s v="FI-991"/>
    <s v="M-993"/>
  </r>
  <r>
    <s v="0067"/>
    <n v="990"/>
    <x v="0"/>
    <s v="Socioeconómico"/>
    <n v="14"/>
    <x v="3"/>
    <x v="0"/>
    <x v="1"/>
    <s v="Región de Los Ríos"/>
    <s v="Comuna"/>
    <s v="Ingresos Promedio Mensual (CLP/mes)"/>
    <s v="POR DEFINIR"/>
    <s v="CLP/mes"/>
    <s v="CASEN 2017"/>
    <s v="Ingresos promedios mensuales en Región de Los Ríos en el POR DEFINIR"/>
    <m/>
    <s v="Gráfico  "/>
    <s v="Región de Los Ríos,CASEN,ingresos,promedio,etnia,comuna"/>
    <s v="PENDIENTE"/>
    <m/>
    <s v="#1774B9"/>
    <x v="65"/>
    <n v="99200014"/>
    <s v="T-994"/>
    <s v="C-991"/>
    <s v="FI-991"/>
    <s v="M-993"/>
  </r>
  <r>
    <s v="0068"/>
    <n v="990"/>
    <x v="0"/>
    <s v="Socioeconómico"/>
    <n v="15"/>
    <x v="3"/>
    <x v="0"/>
    <x v="1"/>
    <s v="Región de Arica y Parinacota"/>
    <s v="Comuna"/>
    <s v="Ingresos Promedio Mensual (CLP/mes)"/>
    <s v="POR DEFINIR"/>
    <s v="CLP/mes"/>
    <s v="CASEN 2017"/>
    <s v="Ingresos promedios mensuales en Región de Arica y Parinacota en el POR DEFINIR"/>
    <m/>
    <s v="Gráfico  "/>
    <s v="Región de Arica y Parinacota,CASEN,ingresos,promedio,etnia,comuna"/>
    <s v="PENDIENTE"/>
    <m/>
    <s v="#1774B9"/>
    <x v="66"/>
    <n v="99200015"/>
    <s v="T-994"/>
    <s v="C-991"/>
    <s v="FI-991"/>
    <s v="M-993"/>
  </r>
  <r>
    <s v="0069"/>
    <n v="990"/>
    <x v="0"/>
    <s v="Socioeconómico"/>
    <n v="16"/>
    <x v="3"/>
    <x v="0"/>
    <x v="1"/>
    <s v="Región de Ñuble"/>
    <s v="Comuna"/>
    <s v="Ingresos Promedio Mensual (CLP/mes)"/>
    <s v="POR DEFINIR"/>
    <s v="CLP/mes"/>
    <s v="CASEN 2017"/>
    <s v="Ingresos promedios mensuales en Región de Ñuble en el POR DEFINIR"/>
    <m/>
    <s v="Gráfico  "/>
    <s v="Región de Ñuble,CASEN,ingresos,promedio,etnia,comuna"/>
    <s v="PENDIENTE"/>
    <m/>
    <s v="#1774B9"/>
    <x v="67"/>
    <n v="99200016"/>
    <s v="T-994"/>
    <s v="C-991"/>
    <s v="FI-991"/>
    <s v="M-993"/>
  </r>
  <r>
    <s v="0070"/>
    <n v="990"/>
    <x v="0"/>
    <s v="Socioeconómico"/>
    <n v="0"/>
    <x v="4"/>
    <x v="0"/>
    <x v="0"/>
    <s v="Chile"/>
    <s v="Comuna"/>
    <s v="Ingresos Promedio Mensual (CLP/mes)"/>
    <s v="Año 2017"/>
    <s v="CLP/mes"/>
    <s v="CASEN 2017"/>
    <s v="Mapa Regional de Ingresos Promedio Mensuales (CLP/mes) para la población de Chile autodefinida de Etnia Mapuche en el Año 2017"/>
    <s v="La población de la etnia Mapuche se distribuye en las 16 regiones del país en distintas proporciones. Las regiones donde las personas de este grupo étnico logran mayores ingresos mensuales, en promedio, son la de Arica y Parinacota y Magallanes."/>
    <s v="Gráfico  "/>
    <s v="Chile,CASEN,ingresos,promedio,etnia,comuna"/>
    <s v="PENDIENTE"/>
    <m/>
    <s v="#1774B9"/>
    <x v="68"/>
    <n v="99100000"/>
    <s v="T-995"/>
    <s v="C-991"/>
    <s v="FI-991"/>
    <s v="M-993"/>
  </r>
  <r>
    <s v="0071"/>
    <n v="990"/>
    <x v="0"/>
    <s v="Socioeconómico"/>
    <n v="1"/>
    <x v="4"/>
    <x v="0"/>
    <x v="1"/>
    <s v="Región de Tarapacá"/>
    <s v="Comuna"/>
    <s v="Ingresos Promedio Mensual (CLP/mes)"/>
    <s v="Año 2017"/>
    <s v="CLP/mes"/>
    <s v="CASEN 2017"/>
    <s v="Mapa Regional de Ingresos Promedio Mensuales (CLP/mes) para la población de la Región de Tarapacá autodefinida como Etnia Mapuche en el Año 2017"/>
    <m/>
    <s v="Gráfico  "/>
    <s v="Región de Tarapacá,CASEN,ingresos,promedio,etnia,comuna"/>
    <s v="PENDIENTE"/>
    <m/>
    <s v="#1774B9"/>
    <x v="69"/>
    <n v="99200001"/>
    <s v="T-995"/>
    <s v="C-991"/>
    <s v="FI-991"/>
    <s v="M-993"/>
  </r>
  <r>
    <s v="0072"/>
    <n v="990"/>
    <x v="0"/>
    <s v="Socioeconómico"/>
    <n v="2"/>
    <x v="4"/>
    <x v="0"/>
    <x v="1"/>
    <s v="Región de Antofagasta"/>
    <s v="Comuna"/>
    <s v="Ingresos Promedio Mensual (CLP/mes)"/>
    <s v="Año 2017"/>
    <s v="CLP/mes"/>
    <s v="CASEN 2017"/>
    <s v="Mapa Regional de Ingresos Promedio Mensuales (CLP/mes) para la población de la Región de Antofagasta autodefinida como Etnia Mapuche en el Año 2017"/>
    <m/>
    <s v="Gráfico  "/>
    <s v="Región de Antofagasta,CASEN,ingresos,promedio,etnia,comuna"/>
    <s v="PENDIENTE"/>
    <m/>
    <s v="#1774B9"/>
    <x v="70"/>
    <n v="99200002"/>
    <s v="T-995"/>
    <s v="C-991"/>
    <s v="FI-991"/>
    <s v="M-993"/>
  </r>
  <r>
    <s v="0073"/>
    <n v="990"/>
    <x v="0"/>
    <s v="Socioeconómico"/>
    <n v="3"/>
    <x v="4"/>
    <x v="0"/>
    <x v="1"/>
    <s v="Región de Atacama"/>
    <s v="Comuna"/>
    <s v="Ingresos Promedio Mensual (CLP/mes)"/>
    <s v="Año 2017"/>
    <s v="CLP/mes"/>
    <s v="CASEN 2017"/>
    <s v="Mapa Regional de Ingresos Promedio Mensuales (CLP/mes) para la población de la Región de Atacama autodefinida como Etnia Mapuche en el Año 2017"/>
    <m/>
    <s v="Gráfico  "/>
    <s v="Región de Atacama,CASEN,ingresos,promedio,etnia,comuna"/>
    <s v="PENDIENTE"/>
    <m/>
    <s v="#1774B9"/>
    <x v="71"/>
    <n v="99200003"/>
    <s v="T-995"/>
    <s v="C-991"/>
    <s v="FI-991"/>
    <s v="M-993"/>
  </r>
  <r>
    <s v="0074"/>
    <n v="990"/>
    <x v="0"/>
    <s v="Socioeconómico"/>
    <n v="4"/>
    <x v="4"/>
    <x v="0"/>
    <x v="1"/>
    <s v="Región de Coquimbo"/>
    <s v="Comuna"/>
    <s v="Ingresos Promedio Mensual (CLP/mes)"/>
    <s v="Año 2017"/>
    <s v="CLP/mes"/>
    <s v="CASEN 2017"/>
    <s v="Mapa Regional de Ingresos Promedio Mensuales (CLP/mes) para la población de la Región de Coquimbo autodefinida como Etnia Mapuche en el Año 2017"/>
    <m/>
    <s v="Gráfico  "/>
    <s v="Región de Coquimbo,CASEN,ingresos,promedio,etnia,comuna"/>
    <s v="PENDIENTE"/>
    <m/>
    <s v="#1774B9"/>
    <x v="72"/>
    <n v="99200004"/>
    <s v="T-995"/>
    <s v="C-991"/>
    <s v="FI-991"/>
    <s v="M-993"/>
  </r>
  <r>
    <s v="0075"/>
    <n v="990"/>
    <x v="0"/>
    <s v="Socioeconómico"/>
    <n v="5"/>
    <x v="4"/>
    <x v="0"/>
    <x v="1"/>
    <s v="Región de Valparaíso"/>
    <s v="Comuna"/>
    <s v="Ingresos Promedio Mensual (CLP/mes)"/>
    <s v="Año 2017"/>
    <s v="CLP/mes"/>
    <s v="CASEN 2017"/>
    <s v="Mapa Regional de Ingresos Promedio Mensuales (CLP/mes) para la población de la Región de Valparaíso autodefinida como Etnia Mapuche en el Año 2017"/>
    <m/>
    <s v="Gráfico  "/>
    <s v="Región de Valparaíso,CASEN,ingresos,promedio,etnia,comuna"/>
    <s v="PENDIENTE"/>
    <m/>
    <s v="#1774B9"/>
    <x v="73"/>
    <n v="99200005"/>
    <s v="T-995"/>
    <s v="C-991"/>
    <s v="FI-991"/>
    <s v="M-993"/>
  </r>
  <r>
    <s v="0076"/>
    <n v="990"/>
    <x v="0"/>
    <s v="Socioeconómico"/>
    <n v="6"/>
    <x v="4"/>
    <x v="0"/>
    <x v="1"/>
    <s v="Región de O'Higgins"/>
    <s v="Comuna"/>
    <s v="Ingresos Promedio Mensual (CLP/mes)"/>
    <s v="Año 2017"/>
    <s v="CLP/mes"/>
    <s v="CASEN 2017"/>
    <s v="Mapa Regional de Ingresos Promedio Mensuales (CLP/mes) para la población de la Región de O'Higgins autodefinida como Etnia Mapuche en el Año 2017"/>
    <m/>
    <s v="Gráfico  "/>
    <s v="Región de O'Higgins,CASEN,ingresos,promedio,etnia,comuna"/>
    <s v="PENDIENTE"/>
    <m/>
    <s v="#1774B9"/>
    <x v="74"/>
    <n v="99200006"/>
    <s v="T-995"/>
    <s v="C-991"/>
    <s v="FI-991"/>
    <s v="M-993"/>
  </r>
  <r>
    <s v="0077"/>
    <n v="990"/>
    <x v="0"/>
    <s v="Socioeconómico"/>
    <n v="7"/>
    <x v="4"/>
    <x v="0"/>
    <x v="1"/>
    <s v="Región de Maule"/>
    <s v="Comuna"/>
    <s v="Ingresos Promedio Mensual (CLP/mes)"/>
    <s v="Año 2017"/>
    <s v="CLP/mes"/>
    <s v="CASEN 2017"/>
    <s v="Mapa Regional de Ingresos Promedio Mensuales (CLP/mes) para la población de la Región de Maule autodefinida como Etnia Mapuche en el Año 2017"/>
    <m/>
    <s v="Gráfico  "/>
    <s v="Región de Maule,CASEN,ingresos,promedio,etnia,comuna"/>
    <s v="PENDIENTE"/>
    <m/>
    <s v="#1774B9"/>
    <x v="75"/>
    <n v="99200007"/>
    <s v="T-995"/>
    <s v="C-991"/>
    <s v="FI-991"/>
    <s v="M-993"/>
  </r>
  <r>
    <s v="0078"/>
    <n v="990"/>
    <x v="0"/>
    <s v="Socioeconómico"/>
    <n v="8"/>
    <x v="4"/>
    <x v="0"/>
    <x v="1"/>
    <s v="Región del Biobío"/>
    <s v="Comuna"/>
    <s v="Ingresos Promedio Mensual (CLP/mes)"/>
    <s v="Año 2017"/>
    <s v="CLP/mes"/>
    <s v="CASEN 2017"/>
    <s v="Mapa Regional de Ingresos Promedio Mensuales (CLP/mes) para la población de la Región del Biobío autodefinida como Etnia Mapuche en el Año 2017"/>
    <m/>
    <s v="Gráfico  "/>
    <s v="Región del Biobío,CASEN,ingresos,promedio,etnia,comuna"/>
    <s v="PENDIENTE"/>
    <m/>
    <s v="#1774B9"/>
    <x v="76"/>
    <n v="99200008"/>
    <s v="T-995"/>
    <s v="C-991"/>
    <s v="FI-991"/>
    <s v="M-993"/>
  </r>
  <r>
    <s v="0079"/>
    <n v="990"/>
    <x v="0"/>
    <s v="Socioeconómico"/>
    <n v="9"/>
    <x v="4"/>
    <x v="0"/>
    <x v="1"/>
    <s v="Región de La Araucanía"/>
    <s v="Comuna"/>
    <s v="Ingresos Promedio Mensual (CLP/mes)"/>
    <s v="Año 2017"/>
    <s v="CLP/mes"/>
    <s v="CASEN 2017"/>
    <s v="Mapa Regional de Ingresos Promedio Mensuales (CLP/mes) para la población de la Región de La Araucanía autodefinida como Etnia Mapuche en el Año 2017"/>
    <m/>
    <s v="Gráfico  "/>
    <s v="Región de La Araucanía,CASEN,ingresos,promedio,etnia,comuna"/>
    <s v="PENDIENTE"/>
    <m/>
    <s v="#1774B9"/>
    <x v="77"/>
    <n v="99200009"/>
    <s v="T-995"/>
    <s v="C-991"/>
    <s v="FI-991"/>
    <s v="M-993"/>
  </r>
  <r>
    <s v="0080"/>
    <n v="990"/>
    <x v="0"/>
    <s v="Socioeconómico"/>
    <n v="10"/>
    <x v="4"/>
    <x v="0"/>
    <x v="1"/>
    <s v="Región de Los Lagos"/>
    <s v="Comuna"/>
    <s v="Ingresos Promedio Mensual (CLP/mes)"/>
    <s v="Año 2017"/>
    <s v="CLP/mes"/>
    <s v="CASEN 2017"/>
    <s v="Mapa Regional de Ingresos Promedio Mensuales (CLP/mes) para la población de la Región de Los Lagos autodefinida como Etnia Mapuche en el Año 2017"/>
    <m/>
    <s v="Gráfico  "/>
    <s v="Región de Los Lagos,CASEN,ingresos,promedio,etnia,comuna"/>
    <s v="PENDIENTE"/>
    <m/>
    <s v="#1774B9"/>
    <x v="78"/>
    <n v="99200010"/>
    <s v="T-995"/>
    <s v="C-991"/>
    <s v="FI-991"/>
    <s v="M-993"/>
  </r>
  <r>
    <s v="0081"/>
    <n v="990"/>
    <x v="0"/>
    <s v="Socioeconómico"/>
    <n v="11"/>
    <x v="4"/>
    <x v="0"/>
    <x v="1"/>
    <s v="Región de Aysén"/>
    <s v="Comuna"/>
    <s v="Ingresos Promedio Mensual (CLP/mes)"/>
    <s v="Año 2017"/>
    <s v="CLP/mes"/>
    <s v="CASEN 2017"/>
    <s v="Mapa Regional de Ingresos Promedio Mensuales (CLP/mes) para la población de la Región de Aysén autodefinida como Etnia Mapuche en el Año 2017"/>
    <m/>
    <s v="Gráfico  "/>
    <s v="Región de Aysén,CASEN,ingresos,promedio,etnia,comuna"/>
    <s v="PENDIENTE"/>
    <m/>
    <s v="#1774B9"/>
    <x v="79"/>
    <n v="99200011"/>
    <s v="T-995"/>
    <s v="C-991"/>
    <s v="FI-991"/>
    <s v="M-993"/>
  </r>
  <r>
    <s v="0082"/>
    <n v="990"/>
    <x v="0"/>
    <s v="Socioeconómico"/>
    <n v="12"/>
    <x v="4"/>
    <x v="0"/>
    <x v="1"/>
    <s v="Región de Magallanes"/>
    <s v="Comuna"/>
    <s v="Ingresos Promedio Mensual (CLP/mes)"/>
    <s v="Año 2017"/>
    <s v="CLP/mes"/>
    <s v="CASEN 2017"/>
    <s v="Mapa Regional de Ingresos Promedio Mensuales (CLP/mes) para la población de la Región de Magallanes autodefinida como Etnia Mapuche en el Año 2017"/>
    <m/>
    <s v="Gráfico  "/>
    <s v="Región de Magallanes,CASEN,ingresos,promedio,etnia,comuna"/>
    <s v="PENDIENTE"/>
    <m/>
    <s v="#1774B9"/>
    <x v="80"/>
    <n v="99200012"/>
    <s v="T-995"/>
    <s v="C-991"/>
    <s v="FI-991"/>
    <s v="M-993"/>
  </r>
  <r>
    <s v="0083"/>
    <n v="990"/>
    <x v="0"/>
    <s v="Socioeconómico"/>
    <n v="13"/>
    <x v="4"/>
    <x v="0"/>
    <x v="1"/>
    <s v="Región Metropolitana"/>
    <s v="Comuna"/>
    <s v="Ingresos Promedio Mensual (CLP/mes)"/>
    <s v="Año 2017"/>
    <s v="CLP/mes"/>
    <s v="CASEN 2017"/>
    <s v="Mapa Regional de Ingresos Promedio Mensuales (CLP/mes) para la población de la Región Metropolitana autodefinida como Etnia Mapuche en el Año 2017"/>
    <m/>
    <s v="Gráfico  "/>
    <s v="Región Metropolitana,CASEN,ingresos,promedio,etnia,comuna"/>
    <s v="PENDIENTE"/>
    <m/>
    <s v="#1774B9"/>
    <x v="81"/>
    <n v="99200013"/>
    <s v="T-995"/>
    <s v="C-991"/>
    <s v="FI-991"/>
    <s v="M-993"/>
  </r>
  <r>
    <s v="0084"/>
    <n v="990"/>
    <x v="0"/>
    <s v="Socioeconómico"/>
    <n v="14"/>
    <x v="4"/>
    <x v="0"/>
    <x v="1"/>
    <s v="Región de Los Ríos"/>
    <s v="Comuna"/>
    <s v="Ingresos Promedio Mensual (CLP/mes)"/>
    <s v="Año 2017"/>
    <s v="CLP/mes"/>
    <s v="CASEN 2017"/>
    <s v="Mapa Regional de Ingresos Promedio Mensuales (CLP/mes) para la población de la Región de Los Ríos autodefinida como Etnia Mapuche en el Año 2017"/>
    <m/>
    <s v="Gráfico  "/>
    <s v="Región de Los Ríos,CASEN,ingresos,promedio,etnia,comuna"/>
    <s v="PENDIENTE"/>
    <m/>
    <s v="#1774B9"/>
    <x v="82"/>
    <n v="99200014"/>
    <s v="T-995"/>
    <s v="C-991"/>
    <s v="FI-991"/>
    <s v="M-993"/>
  </r>
  <r>
    <s v="0085"/>
    <n v="990"/>
    <x v="0"/>
    <s v="Socioeconómico"/>
    <n v="15"/>
    <x v="4"/>
    <x v="0"/>
    <x v="1"/>
    <s v="Región de Arica y Parinacota"/>
    <s v="Comuna"/>
    <s v="Ingresos Promedio Mensual (CLP/mes)"/>
    <s v="Año 2017"/>
    <s v="CLP/mes"/>
    <s v="CASEN 2017"/>
    <s v="Mapa Regional de Ingresos Promedio Mensuales (CLP/mes) para la población de la Región de Arica y Parinacota autodefinida como Etnia Mapuche en el Año 2017"/>
    <m/>
    <s v="Gráfico  "/>
    <s v="Región de Arica y Parinacota,CASEN,ingresos,promedio,etnia,comuna"/>
    <s v="PENDIENTE"/>
    <m/>
    <s v="#1774B9"/>
    <x v="83"/>
    <n v="99200015"/>
    <s v="T-995"/>
    <s v="C-991"/>
    <s v="FI-991"/>
    <s v="M-993"/>
  </r>
  <r>
    <s v="0086"/>
    <n v="990"/>
    <x v="0"/>
    <s v="Socioeconómico"/>
    <n v="16"/>
    <x v="4"/>
    <x v="0"/>
    <x v="1"/>
    <s v="Región de Ñuble"/>
    <s v="Comuna"/>
    <s v="Ingresos Promedio Mensual (CLP/mes)"/>
    <s v="Año 2017"/>
    <s v="CLP/mes"/>
    <s v="CASEN 2017"/>
    <s v="Mapa Regional de Ingresos Promedio Mensuales (CLP/mes) para la población de la Región de Ñuble autodefinida como Etnia Mapuche en el Año 2017"/>
    <m/>
    <s v="Gráfico  "/>
    <s v="Región de Ñuble,CASEN,ingresos,promedio,etnia,comuna"/>
    <s v="PENDIENTE"/>
    <m/>
    <s v="#1774B9"/>
    <x v="84"/>
    <n v="99200016"/>
    <s v="T-995"/>
    <s v="C-991"/>
    <s v="FI-991"/>
    <s v="M-993"/>
  </r>
  <r>
    <s v="0087"/>
    <n v="990"/>
    <x v="0"/>
    <s v="Gobiernos locales"/>
    <n v="0"/>
    <x v="1"/>
    <x v="3"/>
    <x v="0"/>
    <s v="Chile"/>
    <s v="Región"/>
    <s v="Número de alumnos por docente en aula"/>
    <s v="Periodo 2019-2020"/>
    <s v="Porcentaje (%)"/>
    <s v="Sistema Nacional de Información Municipal"/>
    <s v="Ranking Comunal 2020: Número de Alumnos por Docente en Aula, variación Periodo 2019-2020"/>
    <s v="Ranking de Comunas: Número de Alumnos por Docente en Aula del año 2019 y 2020 y su variación porcentual para los Colegios Municipales"/>
    <s v="Ranking"/>
    <s v="Chile,Educación,Municipal,Alumnos,Calidad Educación,Colegios Municipales,Docentes"/>
    <s v="https://analytics.zoho.com/open-view/2395394000007756457"/>
    <m/>
    <s v="#1774B9"/>
    <x v="85"/>
    <n v="99100000"/>
    <s v="T-992"/>
    <s v="C-994"/>
    <s v="FI-992"/>
    <e v="#N/A"/>
  </r>
  <r>
    <s v="0088"/>
    <n v="990"/>
    <x v="0"/>
    <s v="Gobiernos locales"/>
    <n v="1"/>
    <x v="1"/>
    <x v="3"/>
    <x v="1"/>
    <s v="Región de Tarapacá"/>
    <s v="Ninguno"/>
    <s v="Número de alumnos por docente en aula"/>
    <s v="Periodo 2019-2020"/>
    <s v="Porcentaje (%)"/>
    <s v="Sistema Nacional de Información Municipal"/>
    <s v="Ranking Comunal Región de Tarapacá 2020: Número de Alumnos por Docente en Aula, variación Periodo 2019-2020"/>
    <m/>
    <s v="Ranking"/>
    <s v="Región de Tarapacá,Educación,Municipal,Alumnos,Calidad Educación,Colegios Municipales,Docentes"/>
    <s v="PENDIENTE"/>
    <m/>
    <s v="#1774B9"/>
    <x v="86"/>
    <n v="99200001"/>
    <s v="T-992"/>
    <s v="C-994"/>
    <s v="FI-993"/>
    <e v="#N/A"/>
  </r>
  <r>
    <s v="0089"/>
    <n v="990"/>
    <x v="0"/>
    <s v="Gobiernos locales"/>
    <n v="2"/>
    <x v="1"/>
    <x v="3"/>
    <x v="1"/>
    <s v="Región de Antofagasta"/>
    <s v="Ninguno"/>
    <s v="Número de alumnos por docente en aula"/>
    <s v="Periodo 2019-2020"/>
    <s v="Porcentaje (%)"/>
    <s v="Sistema Nacional de Información Municipal"/>
    <s v="Ranking Comunal Región de Antofagasta 2020: Número de Alumnos por Docente en Aula, variación Periodo 2019-2020"/>
    <m/>
    <s v="Ranking"/>
    <s v="Región de Antofagasta,Educación,Municipal,Alumnos,Calidad Educación,Colegios Municipales,Docentes"/>
    <s v="PENDIENTE"/>
    <m/>
    <s v="#1774B9"/>
    <x v="87"/>
    <n v="99200002"/>
    <s v="T-992"/>
    <s v="C-994"/>
    <s v="FI-993"/>
    <e v="#N/A"/>
  </r>
  <r>
    <s v="0090"/>
    <n v="990"/>
    <x v="0"/>
    <s v="Gobiernos locales"/>
    <n v="3"/>
    <x v="1"/>
    <x v="3"/>
    <x v="1"/>
    <s v="Región de Atacama"/>
    <s v="Ninguno"/>
    <s v="Número de alumnos por docente en aula"/>
    <s v="Periodo 2019-2020"/>
    <s v="Porcentaje (%)"/>
    <s v="Sistema Nacional de Información Municipal"/>
    <s v="Ranking Comunal Región de Atacama 2020: Número de Alumnos por Docente en Aula, variación Periodo 2019-2020"/>
    <m/>
    <s v="Ranking"/>
    <s v="Región de Atacama,Educación,Municipal,Alumnos,Calidad Educación,Colegios Municipales,Docentes"/>
    <s v="PENDIENTE"/>
    <m/>
    <s v="#1774B9"/>
    <x v="88"/>
    <n v="99200003"/>
    <s v="T-992"/>
    <s v="C-994"/>
    <s v="FI-993"/>
    <e v="#N/A"/>
  </r>
  <r>
    <s v="0091"/>
    <n v="990"/>
    <x v="0"/>
    <s v="Gobiernos locales"/>
    <n v="4"/>
    <x v="1"/>
    <x v="3"/>
    <x v="1"/>
    <s v="Región de Coquimbo"/>
    <s v="Ninguno"/>
    <s v="Número de alumnos por docente en aula"/>
    <s v="Periodo 2019-2020"/>
    <s v="Porcentaje (%)"/>
    <s v="Sistema Nacional de Información Municipal"/>
    <s v="Ranking Comunal Región de Coquimbo 2020: Número de Alumnos por Docente en Aula, variación Periodo 2019-2020"/>
    <m/>
    <s v="Ranking"/>
    <s v="Región de Coquimbo,Educación,Municipal,Alumnos,Calidad Educación,Colegios Municipales,Docentes"/>
    <s v="PENDIENTE"/>
    <m/>
    <s v="#1774B9"/>
    <x v="89"/>
    <n v="99200004"/>
    <s v="T-992"/>
    <s v="C-994"/>
    <s v="FI-993"/>
    <e v="#N/A"/>
  </r>
  <r>
    <s v="0092"/>
    <n v="990"/>
    <x v="0"/>
    <s v="Gobiernos locales"/>
    <n v="5"/>
    <x v="1"/>
    <x v="3"/>
    <x v="1"/>
    <s v="Región de Valparaíso"/>
    <s v="Ninguno"/>
    <s v="Número de alumnos por docente en aula"/>
    <s v="Periodo 2019-2020"/>
    <s v="Porcentaje (%)"/>
    <s v="Sistema Nacional de Información Municipal"/>
    <s v="Ranking Comunal Región de Valparaíso 2020: Número de Alumnos por Docente en Aula, variación Periodo 2019-2020"/>
    <m/>
    <s v="Ranking"/>
    <s v="Región de Valparaíso,Educación,Municipal,Alumnos,Calidad Educación,Colegios Municipales,Docentes"/>
    <s v="PENDIENTE"/>
    <m/>
    <s v="#1774B9"/>
    <x v="90"/>
    <n v="99200005"/>
    <s v="T-992"/>
    <s v="C-994"/>
    <s v="FI-993"/>
    <e v="#N/A"/>
  </r>
  <r>
    <s v="0093"/>
    <n v="990"/>
    <x v="0"/>
    <s v="Gobiernos locales"/>
    <n v="6"/>
    <x v="1"/>
    <x v="3"/>
    <x v="1"/>
    <s v="Región de O'Higgins"/>
    <s v="Ninguno"/>
    <s v="Número de alumnos por docente en aula"/>
    <s v="Periodo 2019-2020"/>
    <s v="Porcentaje (%)"/>
    <s v="Sistema Nacional de Información Municipal"/>
    <s v="Ranking Comunal Región de O'Higgins 2020: Número de Alumnos por Docente en Aula, variación Periodo 2019-2020"/>
    <m/>
    <s v="Ranking"/>
    <s v="Región de O'Higgins,Educación,Municipal,Alumnos,Calidad Educación,Colegios Municipales,Docentes"/>
    <s v="PENDIENTE"/>
    <m/>
    <s v="#1774B9"/>
    <x v="91"/>
    <n v="99200006"/>
    <s v="T-992"/>
    <s v="C-994"/>
    <s v="FI-993"/>
    <e v="#N/A"/>
  </r>
  <r>
    <s v="0094"/>
    <n v="990"/>
    <x v="0"/>
    <s v="Gobiernos locales"/>
    <n v="7"/>
    <x v="1"/>
    <x v="3"/>
    <x v="1"/>
    <s v="Región de Maule"/>
    <s v="Ninguno"/>
    <s v="Número de alumnos por docente en aula"/>
    <s v="Periodo 2019-2020"/>
    <s v="Porcentaje (%)"/>
    <s v="Sistema Nacional de Información Municipal"/>
    <s v="Ranking Comunal Región de Maule 2020: Número de Alumnos por Docente en Aula, variación Periodo 2019-2020"/>
    <m/>
    <s v="Ranking"/>
    <s v="Región de Maule,Educación,Municipal,Alumnos,Calidad Educación,Colegios Municipales,Docentes"/>
    <s v="PENDIENTE"/>
    <m/>
    <s v="#1774B9"/>
    <x v="92"/>
    <n v="99200007"/>
    <s v="T-992"/>
    <s v="C-994"/>
    <s v="FI-993"/>
    <e v="#N/A"/>
  </r>
  <r>
    <s v="0095"/>
    <n v="990"/>
    <x v="0"/>
    <s v="Gobiernos locales"/>
    <n v="8"/>
    <x v="1"/>
    <x v="3"/>
    <x v="1"/>
    <s v="Región del Biobío"/>
    <s v="Ninguno"/>
    <s v="Número de alumnos por docente en aula"/>
    <s v="Periodo 2019-2020"/>
    <s v="Porcentaje (%)"/>
    <s v="Sistema Nacional de Información Municipal"/>
    <s v="Ranking Comunal Región del Biobío 2020: Número de Alumnos por Docente en Aula, variación Periodo 2019-2020"/>
    <m/>
    <s v="Ranking"/>
    <s v="Región del Biobío,Educación,Municipal,Alumnos,Calidad Educación,Colegios Municipales,Docentes"/>
    <s v="PENDIENTE"/>
    <m/>
    <s v="#1774B9"/>
    <x v="93"/>
    <n v="99200008"/>
    <s v="T-992"/>
    <s v="C-994"/>
    <s v="FI-993"/>
    <e v="#N/A"/>
  </r>
  <r>
    <s v="0096"/>
    <n v="990"/>
    <x v="0"/>
    <s v="Gobiernos locales"/>
    <n v="9"/>
    <x v="1"/>
    <x v="3"/>
    <x v="1"/>
    <s v="Región de La Araucanía"/>
    <s v="Ninguno"/>
    <s v="Número de alumnos por docente en aula"/>
    <s v="Periodo 2019-2020"/>
    <s v="Porcentaje (%)"/>
    <s v="Sistema Nacional de Información Municipal"/>
    <s v="Ranking Comunal Región de La Araucanía 2020: Número de Alumnos por Docente en Aula, variación Periodo 2019-2020"/>
    <m/>
    <s v="Ranking"/>
    <s v="Región de La Araucanía,Educación,Municipal,Alumnos,Calidad Educación,Colegios Municipales,Docentes"/>
    <s v="PENDIENTE"/>
    <m/>
    <s v="#1774B9"/>
    <x v="94"/>
    <n v="99200009"/>
    <s v="T-992"/>
    <s v="C-994"/>
    <s v="FI-993"/>
    <e v="#N/A"/>
  </r>
  <r>
    <s v="0097"/>
    <n v="990"/>
    <x v="0"/>
    <s v="Gobiernos locales"/>
    <n v="10"/>
    <x v="1"/>
    <x v="3"/>
    <x v="1"/>
    <s v="Región de Los Lagos"/>
    <s v="Ninguno"/>
    <s v="Número de alumnos por docente en aula"/>
    <s v="Periodo 2019-2020"/>
    <s v="Porcentaje (%)"/>
    <s v="Sistema Nacional de Información Municipal"/>
    <s v="Ranking Comunal Región de Los Lagos 2020: Número de Alumnos por Docente en Aula, variación Periodo 2019-2020"/>
    <m/>
    <s v="Ranking"/>
    <s v="Región de Los Lagos,Educación,Municipal,Alumnos,Calidad Educación,Colegios Municipales,Docentes"/>
    <s v="PENDIENTE"/>
    <m/>
    <s v="#1774B9"/>
    <x v="95"/>
    <n v="99200010"/>
    <s v="T-992"/>
    <s v="C-994"/>
    <s v="FI-993"/>
    <e v="#N/A"/>
  </r>
  <r>
    <s v="0098"/>
    <n v="990"/>
    <x v="0"/>
    <s v="Gobiernos locales"/>
    <n v="11"/>
    <x v="1"/>
    <x v="3"/>
    <x v="1"/>
    <s v="Región de Aysén"/>
    <s v="Ninguno"/>
    <s v="Número de alumnos por docente en aula"/>
    <s v="Periodo 2019-2020"/>
    <s v="Porcentaje (%)"/>
    <s v="Sistema Nacional de Información Municipal"/>
    <s v="Ranking Comunal Región de Aysén 2020: Número de Alumnos por Docente en Aula, variación Periodo 2019-2020"/>
    <m/>
    <s v="Ranking"/>
    <s v="Región de Aysén,Educación,Municipal,Alumnos,Calidad Educación,Colegios Municipales,Docentes"/>
    <s v="PENDIENTE"/>
    <m/>
    <s v="#1774B9"/>
    <x v="96"/>
    <n v="99200011"/>
    <s v="T-992"/>
    <s v="C-994"/>
    <s v="FI-993"/>
    <e v="#N/A"/>
  </r>
  <r>
    <s v="0099"/>
    <n v="990"/>
    <x v="0"/>
    <s v="Gobiernos locales"/>
    <n v="12"/>
    <x v="1"/>
    <x v="3"/>
    <x v="1"/>
    <s v="Región de Magallanes"/>
    <s v="Ninguno"/>
    <s v="Número de alumnos por docente en aula"/>
    <s v="Periodo 2019-2020"/>
    <s v="Porcentaje (%)"/>
    <s v="Sistema Nacional de Información Municipal"/>
    <s v="Ranking Comunal Región de Magallanes 2020: Número de Alumnos por Docente en Aula, variación Periodo 2019-2020"/>
    <m/>
    <s v="Ranking"/>
    <s v="Región de Magallanes,Educación,Municipal,Alumnos,Calidad Educación,Colegios Municipales,Docentes"/>
    <s v="PENDIENTE"/>
    <m/>
    <s v="#1774B9"/>
    <x v="97"/>
    <n v="99200012"/>
    <s v="T-992"/>
    <s v="C-994"/>
    <s v="FI-993"/>
    <e v="#N/A"/>
  </r>
  <r>
    <s v="0100"/>
    <n v="990"/>
    <x v="0"/>
    <s v="Gobiernos locales"/>
    <n v="13"/>
    <x v="1"/>
    <x v="3"/>
    <x v="1"/>
    <s v="Región Metropolitana"/>
    <s v="Ninguno"/>
    <s v="Número de alumnos por docente en aula"/>
    <s v="Periodo 2019-2020"/>
    <s v="Porcentaje (%)"/>
    <s v="Sistema Nacional de Información Municipal"/>
    <s v="Ranking Comunal Región Metropolitana 2020: Número de Alumnos por Docente en Aula, variación Periodo 2019-2020"/>
    <m/>
    <s v="Ranking"/>
    <s v="Región Metropolitana,Educación,Municipal,Alumnos,Calidad Educación,Colegios Municipales,Docentes"/>
    <s v="PENDIENTE"/>
    <m/>
    <s v="#1774B9"/>
    <x v="98"/>
    <n v="99200013"/>
    <s v="T-992"/>
    <s v="C-994"/>
    <s v="FI-993"/>
    <e v="#N/A"/>
  </r>
  <r>
    <s v="0101"/>
    <n v="990"/>
    <x v="0"/>
    <s v="Gobiernos locales"/>
    <n v="14"/>
    <x v="1"/>
    <x v="3"/>
    <x v="1"/>
    <s v="Región de Los Ríos"/>
    <s v="Ninguno"/>
    <s v="Número de alumnos por docente en aula"/>
    <s v="Periodo 2019-2020"/>
    <s v="Porcentaje (%)"/>
    <s v="Sistema Nacional de Información Municipal"/>
    <s v="Ranking Comunal Región de Los Ríos 2020: Número de Alumnos por Docente en Aula, variación Periodo 2019-2020"/>
    <m/>
    <s v="Ranking"/>
    <s v="Región de Los Ríos,Educación,Municipal,Alumnos,Calidad Educación,Colegios Municipales,Docentes"/>
    <s v="PENDIENTE"/>
    <m/>
    <s v="#1774B9"/>
    <x v="99"/>
    <n v="99200014"/>
    <s v="T-992"/>
    <s v="C-994"/>
    <s v="FI-993"/>
    <e v="#N/A"/>
  </r>
  <r>
    <s v="0102"/>
    <n v="990"/>
    <x v="0"/>
    <s v="Gobiernos locales"/>
    <n v="15"/>
    <x v="1"/>
    <x v="3"/>
    <x v="1"/>
    <s v="Región de Arica y Parinacota"/>
    <s v="Ninguno"/>
    <s v="Número de alumnos por docente en aula"/>
    <s v="Periodo 2019-2020"/>
    <s v="Porcentaje (%)"/>
    <s v="Sistema Nacional de Información Municipal"/>
    <s v="Ranking Comunal Región de Arica y Parinacota 2020: Número de Alumnos por Docente en Aula, variación Periodo 2019-2020"/>
    <m/>
    <s v="Ranking"/>
    <s v="Región de Arica y Parinacota,Educación,Municipal,Alumnos,Calidad Educación,Colegios Municipales,Docentes"/>
    <s v="PENDIENTE"/>
    <m/>
    <s v="#1774B9"/>
    <x v="100"/>
    <n v="99200015"/>
    <s v="T-992"/>
    <s v="C-994"/>
    <s v="FI-993"/>
    <e v="#N/A"/>
  </r>
  <r>
    <s v="0103"/>
    <n v="990"/>
    <x v="0"/>
    <s v="Gobiernos locales"/>
    <n v="16"/>
    <x v="1"/>
    <x v="3"/>
    <x v="1"/>
    <s v="Región de Ñuble"/>
    <s v="Ninguno"/>
    <s v="Número de alumnos por docente en aula"/>
    <s v="Periodo 2019-2020"/>
    <s v="Porcentaje (%)"/>
    <s v="Sistema Nacional de Información Municipal"/>
    <s v="Ranking Comunal Región de Ñuble 2020: Número de Alumnos por Docente en Aula, variación Periodo 2019-2020"/>
    <m/>
    <s v="Ranking"/>
    <s v="Región de Ñuble,Educación,Municipal,Alumnos,Calidad Educación,Colegios Municipales,Docentes"/>
    <s v="PENDIENTE"/>
    <m/>
    <s v="#1774B9"/>
    <x v="101"/>
    <n v="99200016"/>
    <s v="T-992"/>
    <s v="C-994"/>
    <s v="FI-993"/>
    <e v="#N/A"/>
  </r>
  <r>
    <s v="0104"/>
    <n v="990"/>
    <x v="0"/>
    <s v="Salud"/>
    <n v="0"/>
    <x v="5"/>
    <x v="4"/>
    <x v="0"/>
    <s v="Chile"/>
    <s v="Comuna"/>
    <s v="Casos Activos por 1 millón de habitantes"/>
    <s v="Periodo 2020-2021"/>
    <s v="Número de Casos"/>
    <s v="Ministerio de Ciencia y Tecnología"/>
    <s v="Evolución de Casos Activos de COVID-19 por 1 millón de habitantes en las comunas de Chile durante el Periodo 2020-2021"/>
    <m/>
    <s v="Ranking"/>
    <s v="Chile,COVID-19,región,comuna,casos activos,fallecidos,recuperados"/>
    <s v="PENDIENTE"/>
    <m/>
    <s v="#1774B9"/>
    <x v="102"/>
    <n v="99100000"/>
    <s v="T-996"/>
    <s v="C-995"/>
    <s v="FI-991"/>
    <e v="#N/A"/>
  </r>
  <r>
    <s v="0105"/>
    <n v="990"/>
    <x v="0"/>
    <s v="Salud"/>
    <n v="1"/>
    <x v="5"/>
    <x v="4"/>
    <x v="1"/>
    <s v="Región de Tarapacá"/>
    <s v="Comuna"/>
    <s v="Casos Activos por 1 millón de habitantes"/>
    <s v="Periodo 2020-2021"/>
    <s v="Número de Casos"/>
    <s v="Ministerio de Ciencia y Tecnología"/>
    <s v="Evolución de Casos Activos de COVID-19 por 1 millón de habitantes en las comunas de la Región de Tarapacá durante el Periodo 2020-2021"/>
    <s v="La comuna de Iquique presenta un mayor cantidad de casos activos por COVID-19 en los meses de enero y abril del año 2021, superando los 4.000 casos por millón de habitantes. En el mes de julio del mismo año, esta cifra disminuyó a menos de 1500 casos por millón de habitantes."/>
    <s v="Ranking"/>
    <s v="Región de Tarapacá,COVID-19,región,comuna,casos activos,fallecidos,recuperados"/>
    <s v="https://analytics.zoho.com/open-view/2395394000007211567?ZOHO_CRITERIA=%22Localiza_CL_Poblacion%22.%22Codcom%22%3D1101"/>
    <m/>
    <s v="#1774B9"/>
    <x v="103"/>
    <n v="99200001"/>
    <s v="T-996"/>
    <s v="C-995"/>
    <s v="FI-991"/>
    <e v="#N/A"/>
  </r>
  <r>
    <s v="0106"/>
    <n v="990"/>
    <x v="0"/>
    <s v="Salud"/>
    <n v="2"/>
    <x v="5"/>
    <x v="4"/>
    <x v="1"/>
    <s v="Región de Antofagasta"/>
    <s v="Comuna"/>
    <s v="Casos Activos por 1 millón de habitantes"/>
    <s v="Periodo 2020-2021"/>
    <s v="Número de Casos"/>
    <s v="Ministerio de Ciencia y Tecnología"/>
    <s v="Evolución de Casos Activos de COVID-19 por 1 millón de habitantes en las comunas de la Región de Antofagasta durante el Periodo 2020-2021"/>
    <m/>
    <s v="Ranking"/>
    <s v="Región de Antofagasta,COVID-19,región,comuna,casos activos,fallecidos,recuperados"/>
    <s v="PENDIENTE"/>
    <m/>
    <s v="#1774B9"/>
    <x v="104"/>
    <n v="99200002"/>
    <s v="T-996"/>
    <s v="C-995"/>
    <s v="FI-991"/>
    <e v="#N/A"/>
  </r>
  <r>
    <s v="0107"/>
    <n v="990"/>
    <x v="0"/>
    <s v="Salud"/>
    <n v="3"/>
    <x v="5"/>
    <x v="4"/>
    <x v="1"/>
    <s v="Región de Atacama"/>
    <s v="Comuna"/>
    <s v="Casos Activos por 1 millón de habitantes"/>
    <s v="Periodo 2020-2021"/>
    <s v="Número de Casos"/>
    <s v="Ministerio de Ciencia y Tecnología"/>
    <s v="Evolución de Casos Activos de COVID-19 por 1 millón de habitantes en las comunas de la Región de Atacama durante el Periodo 2020-2021"/>
    <m/>
    <s v="Ranking"/>
    <s v="Región de Atacama,COVID-19,región,comuna,casos activos,fallecidos,recuperados"/>
    <s v="PENDIENTE"/>
    <m/>
    <s v="#1774B9"/>
    <x v="105"/>
    <n v="99200003"/>
    <s v="T-996"/>
    <s v="C-995"/>
    <s v="FI-991"/>
    <e v="#N/A"/>
  </r>
  <r>
    <s v="0108"/>
    <n v="990"/>
    <x v="0"/>
    <s v="Salud"/>
    <n v="4"/>
    <x v="5"/>
    <x v="4"/>
    <x v="1"/>
    <s v="Región de Coquimbo"/>
    <s v="Comuna"/>
    <s v="Casos Activos por 1 millón de habitantes"/>
    <s v="Periodo 2020-2021"/>
    <s v="Número de Casos"/>
    <s v="Ministerio de Ciencia y Tecnología"/>
    <s v="Evolución de Casos Activos de COVID-19 por 1 millón de habitantes en las comunas de la Región de Coquimbo durante el Periodo 2020-2021"/>
    <m/>
    <s v="Ranking"/>
    <s v="Región de Coquimbo,COVID-19,región,comuna,casos activos,fallecidos,recuperados"/>
    <s v="PENDIENTE"/>
    <m/>
    <s v="#1774B9"/>
    <x v="106"/>
    <n v="99200004"/>
    <s v="T-996"/>
    <s v="C-995"/>
    <s v="FI-991"/>
    <e v="#N/A"/>
  </r>
  <r>
    <s v="0109"/>
    <n v="990"/>
    <x v="0"/>
    <s v="Salud"/>
    <n v="5"/>
    <x v="5"/>
    <x v="4"/>
    <x v="1"/>
    <s v="Región de Valparaíso"/>
    <s v="Comuna"/>
    <s v="Casos Activos por 1 millón de habitantes"/>
    <s v="Periodo 2020-2021"/>
    <s v="Número de Casos"/>
    <s v="Ministerio de Ciencia y Tecnología"/>
    <s v="Evolución de Casos Activos de COVID-19 por 1 millón de habitantes en las comunas de la Región de Valparaíso durante el Periodo 2020-2021"/>
    <m/>
    <s v="Ranking"/>
    <s v="Región de Valparaíso,COVID-19,región,comuna,casos activos,fallecidos,recuperados"/>
    <s v="PENDIENTE"/>
    <m/>
    <s v="#1774B9"/>
    <x v="107"/>
    <n v="99200005"/>
    <s v="T-996"/>
    <s v="C-995"/>
    <s v="FI-991"/>
    <e v="#N/A"/>
  </r>
  <r>
    <s v="0110"/>
    <n v="990"/>
    <x v="0"/>
    <s v="Salud"/>
    <n v="6"/>
    <x v="5"/>
    <x v="4"/>
    <x v="1"/>
    <s v="Región de O'Higgins"/>
    <s v="Comuna"/>
    <s v="Casos Activos por 1 millón de habitantes"/>
    <s v="Periodo 2020-2021"/>
    <s v="Número de Casos"/>
    <s v="Ministerio de Ciencia y Tecnología"/>
    <s v="Evolución de Casos Activos de COVID-19 por 1 millón de habitantes en las comunas de la Región de O'Higgins durante el Periodo 2020-2021"/>
    <m/>
    <s v="Ranking"/>
    <s v="Región de O'Higgins,COVID-19,región,comuna,casos activos,fallecidos,recuperados"/>
    <s v="PENDIENTE"/>
    <m/>
    <s v="#1774B9"/>
    <x v="108"/>
    <n v="99200006"/>
    <s v="T-996"/>
    <s v="C-995"/>
    <s v="FI-991"/>
    <e v="#N/A"/>
  </r>
  <r>
    <s v="0111"/>
    <n v="990"/>
    <x v="0"/>
    <s v="Salud"/>
    <n v="7"/>
    <x v="5"/>
    <x v="4"/>
    <x v="1"/>
    <s v="Región de Maule"/>
    <s v="Comuna"/>
    <s v="Casos Activos por 1 millón de habitantes"/>
    <s v="Periodo 2020-2021"/>
    <s v="Número de Casos"/>
    <s v="Ministerio de Ciencia y Tecnología"/>
    <s v="Evolución de Casos Activos de COVID-19 por 1 millón de habitantes en las comunas de la Región de Maule durante el Periodo 2020-2021"/>
    <m/>
    <s v="Ranking"/>
    <s v="Región de Maule,COVID-19,región,comuna,casos activos,fallecidos,recuperados"/>
    <s v="PENDIENTE"/>
    <m/>
    <s v="#1774B9"/>
    <x v="109"/>
    <n v="99200007"/>
    <s v="T-996"/>
    <s v="C-995"/>
    <s v="FI-991"/>
    <e v="#N/A"/>
  </r>
  <r>
    <s v="0112"/>
    <n v="990"/>
    <x v="0"/>
    <s v="Salud"/>
    <n v="8"/>
    <x v="5"/>
    <x v="4"/>
    <x v="1"/>
    <s v="Región del Biobío"/>
    <s v="Comuna"/>
    <s v="Casos Activos por 1 millón de habitantes"/>
    <s v="Periodo 2020-2021"/>
    <s v="Número de Casos"/>
    <s v="Ministerio de Ciencia y Tecnología"/>
    <s v="Evolución de Casos Activos de COVID-19 por 1 millón de habitantes en las comunas de la Región del Biobío durante el Periodo 2020-2021"/>
    <m/>
    <s v="Ranking"/>
    <s v="Región del Biobío,COVID-19,región,comuna,casos activos,fallecidos,recuperados"/>
    <s v="PENDIENTE"/>
    <m/>
    <s v="#1774B9"/>
    <x v="110"/>
    <n v="99200008"/>
    <s v="T-996"/>
    <s v="C-995"/>
    <s v="FI-991"/>
    <e v="#N/A"/>
  </r>
  <r>
    <s v="0113"/>
    <n v="990"/>
    <x v="0"/>
    <s v="Salud"/>
    <n v="9"/>
    <x v="5"/>
    <x v="4"/>
    <x v="1"/>
    <s v="Región de La Araucanía"/>
    <s v="Comuna"/>
    <s v="Casos Activos por 1 millón de habitantes"/>
    <s v="Periodo 2020-2021"/>
    <s v="Número de Casos"/>
    <s v="Ministerio de Ciencia y Tecnología"/>
    <s v="Evolución de Casos Activos de COVID-19 por 1 millón de habitantes en las comunas de la Región de La Araucanía durante el Periodo 2020-2021"/>
    <m/>
    <s v="Ranking"/>
    <s v="Región de La Araucanía,COVID-19,región,comuna,casos activos,fallecidos,recuperados"/>
    <s v="PENDIENTE"/>
    <m/>
    <s v="#1774B9"/>
    <x v="111"/>
    <n v="99200009"/>
    <s v="T-996"/>
    <s v="C-995"/>
    <s v="FI-991"/>
    <e v="#N/A"/>
  </r>
  <r>
    <s v="0114"/>
    <n v="990"/>
    <x v="0"/>
    <s v="Salud"/>
    <n v="10"/>
    <x v="5"/>
    <x v="4"/>
    <x v="1"/>
    <s v="Región de Los Lagos"/>
    <s v="Comuna"/>
    <s v="Casos Activos por 1 millón de habitantes"/>
    <s v="Periodo 2020-2021"/>
    <s v="Número de Casos"/>
    <s v="Ministerio de Ciencia y Tecnología"/>
    <s v="Evolución de Casos Activos de COVID-19 por 1 millón de habitantes en las comunas de la Región de Los Lagos durante el Periodo 2020-2021"/>
    <m/>
    <s v="Ranking"/>
    <s v="Región de Los Lagos,COVID-19,región,comuna,casos activos,fallecidos,recuperados"/>
    <s v="PENDIENTE"/>
    <m/>
    <s v="#1774B9"/>
    <x v="112"/>
    <n v="99200010"/>
    <s v="T-996"/>
    <s v="C-995"/>
    <s v="FI-991"/>
    <e v="#N/A"/>
  </r>
  <r>
    <s v="0115"/>
    <n v="990"/>
    <x v="0"/>
    <s v="Salud"/>
    <n v="11"/>
    <x v="5"/>
    <x v="4"/>
    <x v="1"/>
    <s v="Región de Aysén"/>
    <s v="Comuna"/>
    <s v="Casos Activos por 1 millón de habitantes"/>
    <s v="Periodo 2020-2021"/>
    <s v="Número de Casos"/>
    <s v="Ministerio de Ciencia y Tecnología"/>
    <s v="Evolución de Casos Activos de COVID-19 por 1 millón de habitantes en las comunas de la Región de Aysén durante el Periodo 2020-2021"/>
    <m/>
    <s v="Ranking"/>
    <s v="Región de Aysén,COVID-19,región,comuna,casos activos,fallecidos,recuperados"/>
    <s v="PENDIENTE"/>
    <m/>
    <s v="#1774B9"/>
    <x v="113"/>
    <n v="99200011"/>
    <s v="T-996"/>
    <s v="C-995"/>
    <s v="FI-991"/>
    <e v="#N/A"/>
  </r>
  <r>
    <s v="0116"/>
    <n v="990"/>
    <x v="0"/>
    <s v="Salud"/>
    <n v="12"/>
    <x v="5"/>
    <x v="4"/>
    <x v="1"/>
    <s v="Región de Magallanes"/>
    <s v="Comuna"/>
    <s v="Casos Activos por 1 millón de habitantes"/>
    <s v="Periodo 2020-2021"/>
    <s v="Número de Casos"/>
    <s v="Ministerio de Ciencia y Tecnología"/>
    <s v="Evolución de Casos Activos de COVID-19 por 1 millón de habitantes en las comunas de la Región de Magallanes durante el Periodo 2020-2021"/>
    <m/>
    <s v="Ranking"/>
    <s v="Región de Magallanes,COVID-19,región,comuna,casos activos,fallecidos,recuperados"/>
    <s v="PENDIENTE"/>
    <m/>
    <s v="#1774B9"/>
    <x v="114"/>
    <n v="99200012"/>
    <s v="T-996"/>
    <s v="C-995"/>
    <s v="FI-991"/>
    <e v="#N/A"/>
  </r>
  <r>
    <s v="0117"/>
    <n v="990"/>
    <x v="0"/>
    <s v="Salud"/>
    <n v="13"/>
    <x v="5"/>
    <x v="4"/>
    <x v="1"/>
    <s v="Región Metropolitana"/>
    <s v="Comuna"/>
    <s v="Casos Activos por 1 millón de habitantes"/>
    <s v="Periodo 2020-2021"/>
    <s v="Número de Casos"/>
    <s v="Ministerio de Ciencia y Tecnología"/>
    <s v="Evolución de Casos Activos de COVID-19 por 1 millón de habitantes en las comunas de la Región Metropolitana durante el Periodo 2020-2021"/>
    <m/>
    <s v="Ranking"/>
    <s v="Región Metropolitana,COVID-19,región,comuna,casos activos,fallecidos,recuperados"/>
    <s v="PENDIENTE"/>
    <m/>
    <s v="#1774B9"/>
    <x v="115"/>
    <n v="99200013"/>
    <s v="T-996"/>
    <s v="C-995"/>
    <s v="FI-991"/>
    <e v="#N/A"/>
  </r>
  <r>
    <s v="0118"/>
    <n v="990"/>
    <x v="0"/>
    <s v="Salud"/>
    <n v="14"/>
    <x v="5"/>
    <x v="4"/>
    <x v="1"/>
    <s v="Región de Los Ríos"/>
    <s v="Comuna"/>
    <s v="Casos Activos por 1 millón de habitantes"/>
    <s v="Periodo 2020-2021"/>
    <s v="Número de Casos"/>
    <s v="Ministerio de Ciencia y Tecnología"/>
    <s v="Evolución de Casos Activos de COVID-19 por 1 millón de habitantes en las comunas de la Región de Los Ríos durante el Periodo 2020-2021"/>
    <m/>
    <s v="Ranking"/>
    <s v="Región de Los Ríos,COVID-19,región,comuna,casos activos,fallecidos,recuperados"/>
    <s v="PENDIENTE"/>
    <m/>
    <s v="#1774B9"/>
    <x v="116"/>
    <n v="99200014"/>
    <s v="T-996"/>
    <s v="C-995"/>
    <s v="FI-991"/>
    <e v="#N/A"/>
  </r>
  <r>
    <s v="0119"/>
    <n v="990"/>
    <x v="0"/>
    <s v="Salud"/>
    <n v="15"/>
    <x v="5"/>
    <x v="4"/>
    <x v="1"/>
    <s v="Región de Arica y Parinacota"/>
    <s v="Comuna"/>
    <s v="Casos Activos por 1 millón de habitantes"/>
    <s v="Periodo 2020-2021"/>
    <s v="Número de Casos"/>
    <s v="Ministerio de Ciencia y Tecnología"/>
    <s v="Evolución de Casos Activos de COVID-19 por 1 millón de habitantes en las comunas de la Región de Arica y Parinacota durante el Periodo 2020-2021"/>
    <m/>
    <s v="Ranking"/>
    <s v="Región de Arica y Parinacota,COVID-19,región,comuna,casos activos,fallecidos,recuperados"/>
    <s v="PENDIENTE"/>
    <m/>
    <s v="#1774B9"/>
    <x v="117"/>
    <n v="99200015"/>
    <s v="T-996"/>
    <s v="C-995"/>
    <s v="FI-991"/>
    <e v="#N/A"/>
  </r>
  <r>
    <s v="0120"/>
    <n v="990"/>
    <x v="0"/>
    <s v="Salud"/>
    <n v="16"/>
    <x v="5"/>
    <x v="4"/>
    <x v="1"/>
    <s v="Región de Ñuble"/>
    <s v="Comuna"/>
    <s v="Casos Activos por 1 millón de habitantes"/>
    <s v="Periodo 2020-2021"/>
    <s v="Número de Casos"/>
    <s v="Ministerio de Ciencia y Tecnología"/>
    <s v="Evolución de Casos Activos de COVID-19 por 1 millón de habitantes en las comunas de la Región de Ñuble durante el Periodo 2020-2021"/>
    <m/>
    <s v="Ranking"/>
    <s v="Región de Ñuble,COVID-19,región,comuna,casos activos,fallecidos,recuperados"/>
    <s v="PENDIENTE"/>
    <m/>
    <s v="#1774B9"/>
    <x v="118"/>
    <n v="99200016"/>
    <s v="T-996"/>
    <s v="C-995"/>
    <s v="FI-991"/>
    <e v="#N/A"/>
  </r>
  <r>
    <s v="0121"/>
    <n v="990"/>
    <x v="0"/>
    <s v="Agropecuario y Forestal"/>
    <n v="0"/>
    <x v="6"/>
    <x v="5"/>
    <x v="0"/>
    <s v="Chile"/>
    <s v="Región"/>
    <s v="Volumen fruta exportada"/>
    <s v="Periodo 2012-2020"/>
    <s v="Toneladas"/>
    <s v="Servicio Nacional de Aduanas"/>
    <s v="Volumen de Exportaciones Frutícolas en Chile, Periodo 2012-2020"/>
    <s v="La manzana es la fruta que más exporta Chile, con un volumen de 7.943.153 ton durante el periodo 2012 – 2020. En segundo lugar está la uva con un volumen de 7.410.265 ton."/>
    <s v="Gráfico"/>
    <s v="Chile,fruta,toneladas,manzanas,uva,exportaciones "/>
    <s v="https://analytics.zoho.com/open-view/2395394000005925456?ZOHO_CRITERIA=%22Trasposicion_4.1%22.%22Valor%22%20%3E%200.99"/>
    <m/>
    <s v="#1774B9"/>
    <x v="119"/>
    <n v="99100000"/>
    <s v="T-997"/>
    <s v="C-996"/>
    <s v="FI-992"/>
    <e v="#N/A"/>
  </r>
  <r>
    <s v="0122"/>
    <n v="990"/>
    <x v="0"/>
    <s v="Agropecuario y Forestal"/>
    <n v="1"/>
    <x v="6"/>
    <x v="5"/>
    <x v="1"/>
    <s v="Región de Tarapacá"/>
    <s v="Ninguno"/>
    <s v="Volumen fruta exportada"/>
    <s v="Periodo 2012-2020"/>
    <s v="Toneladas"/>
    <s v="Servicio Nacional de Aduanas"/>
    <s v="Volumen de Exportaciones Frutícolas en la Región de Tarapacá, Periodo 2012-2020"/>
    <m/>
    <s v="Gráfico"/>
    <s v="Región de Tarapacá,fruta,toneladas,manzanas,uva,exportaciones "/>
    <s v="PENDIENTE"/>
    <m/>
    <s v="#1774B9"/>
    <x v="120"/>
    <n v="99200001"/>
    <s v="T-997"/>
    <s v="C-996"/>
    <s v="FI-993"/>
    <e v="#N/A"/>
  </r>
  <r>
    <s v="0123"/>
    <n v="990"/>
    <x v="0"/>
    <s v="Agropecuario y Forestal"/>
    <n v="2"/>
    <x v="6"/>
    <x v="5"/>
    <x v="1"/>
    <s v="Región de Antofagasta"/>
    <s v="Ninguno"/>
    <s v="Volumen fruta exportada"/>
    <s v="Periodo 2012-2020"/>
    <s v="Toneladas"/>
    <s v="Servicio Nacional de Aduanas"/>
    <s v="Volumen de Exportaciones Frutícolas en la Región de Antofagasta, Periodo 2012-2020"/>
    <m/>
    <s v="Gráfico"/>
    <s v="Región de Antofagasta,fruta,toneladas,manzanas,uva,exportaciones "/>
    <s v="PENDIENTE"/>
    <m/>
    <s v="#1774B9"/>
    <x v="121"/>
    <n v="99200002"/>
    <s v="T-997"/>
    <s v="C-996"/>
    <s v="FI-993"/>
    <e v="#N/A"/>
  </r>
  <r>
    <s v="0124"/>
    <n v="990"/>
    <x v="0"/>
    <s v="Agropecuario y Forestal"/>
    <n v="3"/>
    <x v="6"/>
    <x v="5"/>
    <x v="1"/>
    <s v="Región de Atacama"/>
    <s v="Ninguno"/>
    <s v="Volumen fruta exportada"/>
    <s v="Periodo 2012-2020"/>
    <s v="Toneladas"/>
    <s v="Servicio Nacional de Aduanas"/>
    <s v="Volumen de Exportaciones Frutícolas en la Región de Atacama, Periodo 2012-2020"/>
    <m/>
    <s v="Gráfico"/>
    <s v="Región de Atacama,fruta,toneladas,manzanas,uva,exportaciones "/>
    <s v="PENDIENTE"/>
    <m/>
    <s v="#1774B9"/>
    <x v="122"/>
    <n v="99200003"/>
    <s v="T-997"/>
    <s v="C-996"/>
    <s v="FI-993"/>
    <e v="#N/A"/>
  </r>
  <r>
    <s v="0125"/>
    <n v="990"/>
    <x v="0"/>
    <s v="Agropecuario y Forestal"/>
    <n v="4"/>
    <x v="6"/>
    <x v="5"/>
    <x v="1"/>
    <s v="Región de Coquimbo"/>
    <s v="Ninguno"/>
    <s v="Volumen fruta exportada"/>
    <s v="Periodo 2012-2020"/>
    <s v="Toneladas"/>
    <s v="Servicio Nacional de Aduanas"/>
    <s v="Volumen de Exportaciones Frutícolas en la Región de Coquimbo, Periodo 2012-2020"/>
    <m/>
    <s v="Gráfico"/>
    <s v="Región de Coquimbo,fruta,toneladas,manzanas,uva,exportaciones "/>
    <s v="PENDIENTE"/>
    <m/>
    <s v="#1774B9"/>
    <x v="123"/>
    <n v="99200004"/>
    <s v="T-997"/>
    <s v="C-996"/>
    <s v="FI-993"/>
    <e v="#N/A"/>
  </r>
  <r>
    <s v="0126"/>
    <n v="990"/>
    <x v="0"/>
    <s v="Agropecuario y Forestal"/>
    <n v="5"/>
    <x v="6"/>
    <x v="5"/>
    <x v="1"/>
    <s v="Región de Valparaíso"/>
    <s v="Ninguno"/>
    <s v="Volumen fruta exportada"/>
    <s v="Periodo 2012-2020"/>
    <s v="Toneladas"/>
    <s v="Servicio Nacional de Aduanas"/>
    <s v="Volumen de Exportaciones Frutícolas en la Región de Valparaíso, Periodo 2012-2020"/>
    <m/>
    <s v="Gráfico"/>
    <s v="Región de Valparaíso,fruta,toneladas,manzanas,uva,exportaciones "/>
    <s v="PENDIENTE"/>
    <m/>
    <s v="#1774B9"/>
    <x v="124"/>
    <n v="99200005"/>
    <s v="T-997"/>
    <s v="C-996"/>
    <s v="FI-993"/>
    <e v="#N/A"/>
  </r>
  <r>
    <s v="0127"/>
    <n v="990"/>
    <x v="0"/>
    <s v="Agropecuario y Forestal"/>
    <n v="6"/>
    <x v="6"/>
    <x v="5"/>
    <x v="1"/>
    <s v="Región de O'Higgins"/>
    <s v="Ninguno"/>
    <s v="Volumen fruta exportada"/>
    <s v="Periodo 2012-2020"/>
    <s v="Toneladas"/>
    <s v="Servicio Nacional de Aduanas"/>
    <s v="Volumen de Exportaciones Frutícolas en la Región de O'Higgins, Periodo 2012-2020"/>
    <m/>
    <s v="Gráfico"/>
    <s v="Región de O'Higgins,fruta,toneladas,manzanas,uva,exportaciones "/>
    <s v="PENDIENTE"/>
    <m/>
    <s v="#1774B9"/>
    <x v="125"/>
    <n v="99200006"/>
    <s v="T-997"/>
    <s v="C-996"/>
    <s v="FI-993"/>
    <e v="#N/A"/>
  </r>
  <r>
    <s v="0128"/>
    <n v="990"/>
    <x v="0"/>
    <s v="Agropecuario y Forestal"/>
    <n v="7"/>
    <x v="6"/>
    <x v="5"/>
    <x v="1"/>
    <s v="Región de Maule"/>
    <s v="Ninguno"/>
    <s v="Volumen fruta exportada"/>
    <s v="Periodo 2012-2020"/>
    <s v="Toneladas"/>
    <s v="Servicio Nacional de Aduanas"/>
    <s v="Volumen de Exportaciones Frutícolas en la Región de Maule, Periodo 2012-2020"/>
    <m/>
    <s v="Gráfico"/>
    <s v="Región de Maule,fruta,toneladas,manzanas,uva,exportaciones "/>
    <s v="PENDIENTE"/>
    <m/>
    <s v="#1774B9"/>
    <x v="126"/>
    <n v="99200007"/>
    <s v="T-997"/>
    <s v="C-996"/>
    <s v="FI-993"/>
    <e v="#N/A"/>
  </r>
  <r>
    <s v="0129"/>
    <n v="990"/>
    <x v="0"/>
    <s v="Agropecuario y Forestal"/>
    <n v="8"/>
    <x v="6"/>
    <x v="5"/>
    <x v="1"/>
    <s v="Región del Biobío"/>
    <s v="Ninguno"/>
    <s v="Volumen fruta exportada"/>
    <s v="Periodo 2012-2020"/>
    <s v="Toneladas"/>
    <s v="Servicio Nacional de Aduanas"/>
    <s v="Volumen de Exportaciones Frutícolas en la Región del Biobío, Periodo 2012-2020"/>
    <m/>
    <s v="Gráfico"/>
    <s v="Región del Biobío,fruta,toneladas,manzanas,uva,exportaciones "/>
    <s v="PENDIENTE"/>
    <m/>
    <s v="#1774B9"/>
    <x v="127"/>
    <n v="99200008"/>
    <s v="T-997"/>
    <s v="C-996"/>
    <s v="FI-993"/>
    <e v="#N/A"/>
  </r>
  <r>
    <s v="0130"/>
    <n v="990"/>
    <x v="0"/>
    <s v="Agropecuario y Forestal"/>
    <n v="9"/>
    <x v="6"/>
    <x v="5"/>
    <x v="1"/>
    <s v="Región de La Araucanía"/>
    <s v="Ninguno"/>
    <s v="Volumen fruta exportada"/>
    <s v="Periodo 2012-2020"/>
    <s v="Toneladas"/>
    <s v="Servicio Nacional de Aduanas"/>
    <s v="Volumen de Exportaciones Frutícolas en la Región de La Araucanía, Periodo 2012-2020"/>
    <m/>
    <s v="Gráfico"/>
    <s v="Región de La Araucanía,fruta,toneladas,manzanas,uva,exportaciones "/>
    <s v="PENDIENTE"/>
    <m/>
    <s v="#1774B9"/>
    <x v="128"/>
    <n v="99200009"/>
    <s v="T-997"/>
    <s v="C-996"/>
    <s v="FI-993"/>
    <e v="#N/A"/>
  </r>
  <r>
    <s v="0131"/>
    <n v="990"/>
    <x v="0"/>
    <s v="Agropecuario y Forestal"/>
    <n v="10"/>
    <x v="6"/>
    <x v="5"/>
    <x v="1"/>
    <s v="Región de Los Lagos"/>
    <s v="Ninguno"/>
    <s v="Volumen fruta exportada"/>
    <s v="Periodo 2012-2020"/>
    <s v="Toneladas"/>
    <s v="Servicio Nacional de Aduanas"/>
    <s v="Volumen de Exportaciones Frutícolas en la Región de Los Lagos, Periodo 2012-2020"/>
    <m/>
    <s v="Gráfico"/>
    <s v="Región de Los Lagos,fruta,toneladas,manzanas,uva,exportaciones "/>
    <s v="PENDIENTE"/>
    <m/>
    <s v="#1774B9"/>
    <x v="129"/>
    <n v="99200010"/>
    <s v="T-997"/>
    <s v="C-996"/>
    <s v="FI-993"/>
    <e v="#N/A"/>
  </r>
  <r>
    <s v="0132"/>
    <n v="990"/>
    <x v="0"/>
    <s v="Agropecuario y Forestal"/>
    <n v="11"/>
    <x v="6"/>
    <x v="5"/>
    <x v="1"/>
    <s v="Región de Aysén"/>
    <s v="Ninguno"/>
    <s v="Volumen fruta exportada"/>
    <s v="Periodo 2012-2020"/>
    <s v="Toneladas"/>
    <s v="Servicio Nacional de Aduanas"/>
    <s v="Volumen de Exportaciones Frutícolas en la Región de Aysén, Periodo 2012-2020"/>
    <m/>
    <s v="Gráfico"/>
    <s v="Región de Aysén,fruta,toneladas,manzanas,uva,exportaciones "/>
    <s v="PENDIENTE"/>
    <m/>
    <s v="#1774B9"/>
    <x v="130"/>
    <n v="99200011"/>
    <s v="T-997"/>
    <s v="C-996"/>
    <s v="FI-993"/>
    <e v="#N/A"/>
  </r>
  <r>
    <s v="0133"/>
    <n v="990"/>
    <x v="0"/>
    <s v="Agropecuario y Forestal"/>
    <n v="12"/>
    <x v="6"/>
    <x v="5"/>
    <x v="1"/>
    <s v="Región de Magallanes"/>
    <s v="Ninguno"/>
    <s v="Volumen fruta exportada"/>
    <s v="Periodo 2012-2020"/>
    <s v="Toneladas"/>
    <s v="Servicio Nacional de Aduanas"/>
    <s v="Volumen de Exportaciones Frutícolas en la Región de Magallanes, Periodo 2012-2020"/>
    <m/>
    <s v="Gráfico"/>
    <s v="Región de Magallanes,fruta,toneladas,manzanas,uva,exportaciones "/>
    <s v="PENDIENTE"/>
    <m/>
    <s v="#1774B9"/>
    <x v="131"/>
    <n v="99200012"/>
    <s v="T-997"/>
    <s v="C-996"/>
    <s v="FI-993"/>
    <e v="#N/A"/>
  </r>
  <r>
    <s v="0134"/>
    <n v="990"/>
    <x v="0"/>
    <s v="Agropecuario y Forestal"/>
    <n v="13"/>
    <x v="6"/>
    <x v="5"/>
    <x v="1"/>
    <s v="Región Metropolitana"/>
    <s v="Ninguno"/>
    <s v="Volumen fruta exportada"/>
    <s v="Periodo 2012-2020"/>
    <s v="Toneladas"/>
    <s v="Servicio Nacional de Aduanas"/>
    <s v="Volumen de Exportaciones Frutícolas en la Región Metropolitana, Periodo 2012-2020"/>
    <m/>
    <s v="Gráfico"/>
    <s v="Región Metropolitana,fruta,toneladas,manzanas,uva,exportaciones "/>
    <s v="PENDIENTE"/>
    <m/>
    <s v="#1774B9"/>
    <x v="132"/>
    <n v="99200013"/>
    <s v="T-997"/>
    <s v="C-996"/>
    <s v="FI-993"/>
    <e v="#N/A"/>
  </r>
  <r>
    <s v="0135"/>
    <n v="990"/>
    <x v="0"/>
    <s v="Agropecuario y Forestal"/>
    <n v="14"/>
    <x v="6"/>
    <x v="5"/>
    <x v="1"/>
    <s v="Región de Los Ríos"/>
    <s v="Ninguno"/>
    <s v="Volumen fruta exportada"/>
    <s v="Periodo 2012-2020"/>
    <s v="Toneladas"/>
    <s v="Servicio Nacional de Aduanas"/>
    <s v="Volumen de Exportaciones Frutícolas en la Región de Los Ríos, Periodo 2012-2020"/>
    <m/>
    <s v="Gráfico"/>
    <s v="Región de Los Ríos,fruta,toneladas,manzanas,uva,exportaciones "/>
    <s v="PENDIENTE"/>
    <m/>
    <s v="#1774B9"/>
    <x v="133"/>
    <n v="99200014"/>
    <s v="T-997"/>
    <s v="C-996"/>
    <s v="FI-993"/>
    <e v="#N/A"/>
  </r>
  <r>
    <s v="0136"/>
    <n v="990"/>
    <x v="0"/>
    <s v="Agropecuario y Forestal"/>
    <n v="15"/>
    <x v="6"/>
    <x v="5"/>
    <x v="1"/>
    <s v="Región de Arica y Parinacota"/>
    <s v="Ninguno"/>
    <s v="Volumen fruta exportada"/>
    <s v="Periodo 2012-2020"/>
    <s v="Toneladas"/>
    <s v="Servicio Nacional de Aduanas"/>
    <s v="Volumen de Exportaciones Frutícolas en la Región de Arica y Parinacota, Periodo 2012-2020"/>
    <m/>
    <s v="Gráfico"/>
    <s v="Región de Arica y Parinacota,fruta,toneladas,manzanas,uva,exportaciones "/>
    <s v="PENDIENTE"/>
    <m/>
    <s v="#1774B9"/>
    <x v="134"/>
    <n v="99200015"/>
    <s v="T-997"/>
    <s v="C-996"/>
    <s v="FI-993"/>
    <e v="#N/A"/>
  </r>
  <r>
    <s v="0137"/>
    <n v="990"/>
    <x v="0"/>
    <s v="Agropecuario y Forestal"/>
    <n v="16"/>
    <x v="6"/>
    <x v="5"/>
    <x v="1"/>
    <s v="Región de Ñuble"/>
    <s v="Ninguno"/>
    <s v="Volumen fruta exportada"/>
    <s v="Periodo 2012-2020"/>
    <s v="Toneladas"/>
    <s v="Servicio Nacional de Aduanas"/>
    <s v="Volumen de Exportaciones Frutícolas en la Región de Ñuble, Periodo 2012-2020"/>
    <m/>
    <s v="Gráfico"/>
    <s v="Región de Ñuble,fruta,toneladas,manzanas,uva,exportaciones "/>
    <s v="PENDIENTE"/>
    <m/>
    <s v="#1774B9"/>
    <x v="135"/>
    <n v="99200016"/>
    <s v="T-997"/>
    <s v="C-996"/>
    <s v="FI-993"/>
    <e v="#N/A"/>
  </r>
  <r>
    <s v="0138"/>
    <n v="990"/>
    <x v="0"/>
    <s v="Agropecuario y Forestal"/>
    <n v="0"/>
    <x v="6"/>
    <x v="5"/>
    <x v="0"/>
    <s v="Chile"/>
    <s v="Ninguno"/>
    <s v="Chile"/>
    <s v="Periodo 2012-2020"/>
    <s v="Toneladas"/>
    <s v="Servicio Nacional de Aduanas"/>
    <s v="Volumen de Exportaciones Frutícolas por país, Periodo 2012-2020"/>
    <s v="Chile exporta fruta a más de 80 países de todo el mundo. EEUU es el país que recibe más toneladas de fruta desde Chile, en segundo lugar está China. De Sudamérica Colombia es el país que más toneladas de fruta recibe."/>
    <s v="Mapa"/>
    <s v="Chile,fruta,toneladas,exportaciones "/>
    <s v="https://analytics.zoho.com/open-view/2395394000005925456?ZOHO_CRITERIA=%22Trasposicion_4.1%22.%22Valor%22%20%3E%200.99"/>
    <m/>
    <s v="#1774B9"/>
    <x v="136"/>
    <n v="99100000"/>
    <s v="T-997"/>
    <s v="C-996"/>
    <s v="FI-993"/>
    <s v="M-994"/>
  </r>
  <r>
    <s v="0139"/>
    <n v="990"/>
    <x v="0"/>
    <s v="Mujeres"/>
    <n v="0"/>
    <x v="7"/>
    <x v="6"/>
    <x v="0"/>
    <s v="Chile"/>
    <s v="Región"/>
    <s v="Región"/>
    <s v="Periodo 2013-2019"/>
    <s v="Número de Sentencias"/>
    <s v="Poder Judicial"/>
    <s v="Sentencias Dictadas por delitos de Abuso Sexual en Chile para el Periodo 2013-2019"/>
    <m/>
    <s v="Gráfico"/>
    <s v="Chile,violencia,mujer,abuso, sexual, sentencia,menor,juzgado"/>
    <s v="PENDIENTE"/>
    <m/>
    <s v="#1774B9"/>
    <x v="137"/>
    <n v="99100000"/>
    <s v="T-998"/>
    <s v="C-997"/>
    <s v="FI-992"/>
    <s v="M-992"/>
  </r>
  <r>
    <s v="0140"/>
    <n v="990"/>
    <x v="0"/>
    <s v="Mujeres"/>
    <n v="1"/>
    <x v="7"/>
    <x v="6"/>
    <x v="1"/>
    <s v="Región de Tarapacá"/>
    <s v="Ninguno"/>
    <s v="Región"/>
    <s v="Periodo 2013-2019"/>
    <s v="Número de Sentencias"/>
    <s v="Poder Judicial"/>
    <s v="Sentencias Dictadas por delitos de Abuso Sexual en la Región de Tarapacá para el Periodo 2013-2019"/>
    <m/>
    <s v="Gráfico"/>
    <s v="Región de Tarapacá,violencia,mujer,abuso, sexual, sentencia,menor,juzgado"/>
    <s v="PENDIENTE"/>
    <m/>
    <s v="#1774B9"/>
    <x v="138"/>
    <n v="99200001"/>
    <s v="T-998"/>
    <s v="C-997"/>
    <s v="FI-993"/>
    <s v="M-992"/>
  </r>
  <r>
    <s v="0141"/>
    <n v="990"/>
    <x v="0"/>
    <s v="Mujeres"/>
    <n v="2"/>
    <x v="7"/>
    <x v="6"/>
    <x v="1"/>
    <s v="Región de Antofagasta"/>
    <s v="Ninguno"/>
    <s v="Región"/>
    <s v="Periodo 2013-2019"/>
    <s v="Número de Sentencias"/>
    <s v="Poder Judicial"/>
    <s v="Sentencias Dictadas por delitos de Abuso Sexual en la Región de Antofagasta para el Periodo 2013-2019"/>
    <m/>
    <s v="Gráfico"/>
    <s v="Región de Antofagasta,violencia,mujer,abuso, sexual, sentencia,menor,juzgado"/>
    <s v="PENDIENTE"/>
    <m/>
    <s v="#1774B9"/>
    <x v="139"/>
    <n v="99200002"/>
    <s v="T-998"/>
    <s v="C-997"/>
    <s v="FI-993"/>
    <s v="M-992"/>
  </r>
  <r>
    <s v="0142"/>
    <n v="990"/>
    <x v="0"/>
    <s v="Mujeres"/>
    <n v="3"/>
    <x v="7"/>
    <x v="6"/>
    <x v="1"/>
    <s v="Región de Atacama"/>
    <s v="Ninguno"/>
    <s v="Región"/>
    <s v="Periodo 2013-2019"/>
    <s v="Número de Sentencias"/>
    <s v="Poder Judicial"/>
    <s v="Sentencias Dictadas por delitos de Abuso Sexual en la Región de Atacama para el Periodo 2013-2019"/>
    <m/>
    <s v="Gráfico"/>
    <s v="Región de Atacama,violencia,mujer,abuso, sexual, sentencia,menor,juzgado"/>
    <s v="PENDIENTE"/>
    <m/>
    <s v="#1774B9"/>
    <x v="140"/>
    <n v="99200003"/>
    <s v="T-998"/>
    <s v="C-997"/>
    <s v="FI-993"/>
    <s v="M-992"/>
  </r>
  <r>
    <s v="0143"/>
    <n v="990"/>
    <x v="0"/>
    <s v="Mujeres"/>
    <n v="4"/>
    <x v="7"/>
    <x v="6"/>
    <x v="1"/>
    <s v="Región de Coquimbo"/>
    <s v="Ninguno"/>
    <s v="Región"/>
    <s v="Periodo 2013-2019"/>
    <s v="Número de Sentencias"/>
    <s v="Poder Judicial"/>
    <s v="Sentencias Dictadas por delitos de Abuso Sexual en la Región de Coquimbo para el Periodo 2013-2019"/>
    <m/>
    <s v="Gráfico"/>
    <s v="Región de Coquimbo,violencia,mujer,abuso, sexual, sentencia,menor,juzgado"/>
    <s v="PENDIENTE"/>
    <m/>
    <s v="#1774B9"/>
    <x v="141"/>
    <n v="99200004"/>
    <s v="T-998"/>
    <s v="C-997"/>
    <s v="FI-993"/>
    <s v="M-992"/>
  </r>
  <r>
    <s v="0144"/>
    <n v="990"/>
    <x v="0"/>
    <s v="Mujeres"/>
    <n v="5"/>
    <x v="7"/>
    <x v="6"/>
    <x v="1"/>
    <s v="Región de Valparaíso"/>
    <s v="Ninguno"/>
    <s v="Región"/>
    <s v="Periodo 2013-2019"/>
    <s v="Número de Sentencias"/>
    <s v="Poder Judicial"/>
    <s v="Sentencias Dictadas por delitos de Abuso Sexual en la Región de Valparaíso para el Periodo 2013-2019"/>
    <m/>
    <s v="Gráfico"/>
    <s v="Región de Valparaíso,violencia,mujer,abuso, sexual, sentencia,menor,juzgado"/>
    <s v="PENDIENTE"/>
    <m/>
    <s v="#1774B9"/>
    <x v="142"/>
    <n v="99200005"/>
    <s v="T-998"/>
    <s v="C-997"/>
    <s v="FI-993"/>
    <s v="M-992"/>
  </r>
  <r>
    <s v="0145"/>
    <n v="990"/>
    <x v="0"/>
    <s v="Mujeres"/>
    <n v="6"/>
    <x v="7"/>
    <x v="6"/>
    <x v="1"/>
    <s v="Región de O'Higgins"/>
    <s v="Ninguno"/>
    <s v="Región"/>
    <s v="Periodo 2013-2019"/>
    <s v="Número de Sentencias"/>
    <s v="Poder Judicial"/>
    <s v="Sentencias Dictadas por delitos de Abuso Sexual en la Región de O'Higgins para el Periodo 2013-2019"/>
    <m/>
    <s v="Gráfico"/>
    <s v="Región de O'Higgins,violencia,mujer,abuso, sexual, sentencia,menor,juzgado"/>
    <s v="PENDIENTE"/>
    <m/>
    <s v="#1774B9"/>
    <x v="143"/>
    <n v="99200006"/>
    <s v="T-998"/>
    <s v="C-997"/>
    <s v="FI-993"/>
    <s v="M-992"/>
  </r>
  <r>
    <s v="0146"/>
    <n v="990"/>
    <x v="0"/>
    <s v="Mujeres"/>
    <n v="7"/>
    <x v="7"/>
    <x v="6"/>
    <x v="1"/>
    <s v="Región de Maule"/>
    <s v="Ninguno"/>
    <s v="Región"/>
    <s v="Periodo 2013-2019"/>
    <s v="Número de Sentencias"/>
    <s v="Poder Judicial"/>
    <s v="Sentencias Dictadas por delitos de Abuso Sexual en la Región de Maule para el Periodo 2013-2019"/>
    <m/>
    <s v="Gráfico"/>
    <s v="Región de Maule,violencia,mujer,abuso, sexual, sentencia,menor,juzgado"/>
    <s v="PENDIENTE"/>
    <m/>
    <s v="#1774B9"/>
    <x v="144"/>
    <n v="99200007"/>
    <s v="T-998"/>
    <s v="C-997"/>
    <s v="FI-993"/>
    <s v="M-992"/>
  </r>
  <r>
    <s v="0147"/>
    <n v="990"/>
    <x v="0"/>
    <s v="Mujeres"/>
    <n v="8"/>
    <x v="7"/>
    <x v="6"/>
    <x v="1"/>
    <s v="Región del Biobío"/>
    <s v="Ninguno"/>
    <s v="Región"/>
    <s v="Periodo 2013-2019"/>
    <s v="Número de Sentencias"/>
    <s v="Poder Judicial"/>
    <s v="Sentencias Dictadas por delitos de Abuso Sexual en la Región del Biobío para el Periodo 2013-2019"/>
    <m/>
    <s v="Gráfico"/>
    <s v="Región del Biobío,violencia,mujer,abuso, sexual, sentencia,menor,juzgado"/>
    <s v="PENDIENTE"/>
    <m/>
    <s v="#1774B9"/>
    <x v="145"/>
    <n v="99200008"/>
    <s v="T-998"/>
    <s v="C-997"/>
    <s v="FI-993"/>
    <s v="M-992"/>
  </r>
  <r>
    <s v="0148"/>
    <n v="990"/>
    <x v="0"/>
    <s v="Mujeres"/>
    <n v="9"/>
    <x v="7"/>
    <x v="6"/>
    <x v="1"/>
    <s v="Región de La Araucanía"/>
    <s v="Ninguno"/>
    <s v="Región"/>
    <s v="Periodo 2013-2019"/>
    <s v="Número de Sentencias"/>
    <s v="Poder Judicial"/>
    <s v="Sentencias Dictadas por delitos de Abuso Sexual en la Región de La Araucanía para el Periodo 2013-2019"/>
    <m/>
    <s v="Gráfico"/>
    <s v="Región de La Araucanía,violencia,mujer,abuso, sexual, sentencia,menor,juzgado"/>
    <s v="PENDIENTE"/>
    <m/>
    <s v="#1774B9"/>
    <x v="146"/>
    <n v="99200009"/>
    <s v="T-998"/>
    <s v="C-997"/>
    <s v="FI-993"/>
    <s v="M-992"/>
  </r>
  <r>
    <s v="0149"/>
    <n v="990"/>
    <x v="0"/>
    <s v="Mujeres"/>
    <n v="10"/>
    <x v="7"/>
    <x v="6"/>
    <x v="1"/>
    <s v="Región de Los Lagos"/>
    <s v="Ninguno"/>
    <s v="Región"/>
    <s v="Periodo 2013-2019"/>
    <s v="Número de Sentencias"/>
    <s v="Poder Judicial"/>
    <s v="Sentencias Dictadas por delitos de Abuso Sexual en la Región de Los Lagos para el Periodo 2013-2019"/>
    <m/>
    <s v="Gráfico"/>
    <s v="Región de Los Lagos,violencia,mujer,abuso, sexual, sentencia,menor,juzgado"/>
    <s v="PENDIENTE"/>
    <m/>
    <s v="#1774B9"/>
    <x v="147"/>
    <n v="99200010"/>
    <s v="T-998"/>
    <s v="C-997"/>
    <s v="FI-993"/>
    <s v="M-992"/>
  </r>
  <r>
    <s v="0150"/>
    <n v="990"/>
    <x v="0"/>
    <s v="Mujeres"/>
    <n v="11"/>
    <x v="7"/>
    <x v="6"/>
    <x v="1"/>
    <s v="Región de Aysén"/>
    <s v="Ninguno"/>
    <s v="Región"/>
    <s v="Periodo 2013-2019"/>
    <s v="Número de Sentencias"/>
    <s v="Poder Judicial"/>
    <s v="Sentencias Dictadas por delitos de Abuso Sexual en la Región de Aysén para el Periodo 2013-2019"/>
    <m/>
    <s v="Gráfico"/>
    <s v="Región de Aysén,violencia,mujer,abuso, sexual, sentencia,menor,juzgado"/>
    <s v="PENDIENTE"/>
    <m/>
    <s v="#1774B9"/>
    <x v="148"/>
    <n v="99200011"/>
    <s v="T-998"/>
    <s v="C-997"/>
    <s v="FI-993"/>
    <s v="M-992"/>
  </r>
  <r>
    <s v="0151"/>
    <n v="990"/>
    <x v="0"/>
    <s v="Mujeres"/>
    <n v="12"/>
    <x v="7"/>
    <x v="6"/>
    <x v="1"/>
    <s v="Región de Magallanes"/>
    <s v="Ninguno"/>
    <s v="Región"/>
    <s v="Periodo 2013-2019"/>
    <s v="Número de Sentencias"/>
    <s v="Poder Judicial"/>
    <s v="Sentencias Dictadas por delitos de Abuso Sexual en la Región de Magallanes para el Periodo 2013-2019"/>
    <m/>
    <s v="Gráfico"/>
    <s v="Región de Magallanes,violencia,mujer,abuso, sexual, sentencia,menor,juzgado"/>
    <s v="PENDIENTE"/>
    <m/>
    <s v="#1774B9"/>
    <x v="149"/>
    <n v="99200012"/>
    <s v="T-998"/>
    <s v="C-997"/>
    <s v="FI-993"/>
    <s v="M-992"/>
  </r>
  <r>
    <s v="0152"/>
    <n v="990"/>
    <x v="0"/>
    <s v="Mujeres"/>
    <n v="13"/>
    <x v="7"/>
    <x v="6"/>
    <x v="1"/>
    <s v="Región Metropolitana"/>
    <s v="Ninguno"/>
    <s v="Región"/>
    <s v="Periodo 2013-2019"/>
    <s v="Número de Sentencias"/>
    <s v="Poder Judicial"/>
    <s v="Sentencias Dictadas por delitos de Abuso Sexual en la Región Metropolitana para el Periodo 2013-2019"/>
    <s v="El delito de Abuso Sexual que más sentencias acumula para el periodo comprendido entre los años 2013 – 2019, en la región Metropolitana, es el calificado como Abuso sexual con contacto de menor de 14 de años, el que supera las 34.000 sentencia cada año."/>
    <s v="Gráfico"/>
    <s v="Región Metropolitana,violencia,mujer,abuso, sexual, sentencia,menor,juzgado"/>
    <s v="https://analytics.zoho.com/open-view/2395394000007173975?ZOHO_CRITERIA=%22Localiza%20CL%22.%22Codreg%22%3D13"/>
    <m/>
    <s v="#1774B9"/>
    <x v="150"/>
    <n v="99200013"/>
    <s v="T-998"/>
    <s v="C-997"/>
    <s v="FI-993"/>
    <s v="M-992"/>
  </r>
  <r>
    <s v="0153"/>
    <n v="990"/>
    <x v="0"/>
    <s v="Mujeres"/>
    <n v="14"/>
    <x v="7"/>
    <x v="6"/>
    <x v="1"/>
    <s v="Región de Los Ríos"/>
    <s v="Ninguno"/>
    <s v="Región"/>
    <s v="Periodo 2013-2019"/>
    <s v="Número de Sentencias"/>
    <s v="Poder Judicial"/>
    <s v="Sentencias Dictadas por delitos de Abuso Sexual en la Región de Los Ríos para el Periodo 2013-2019"/>
    <m/>
    <s v="Gráfico"/>
    <s v="Región de Los Ríos,violencia,mujer,abuso, sexual, sentencia,menor,juzgado"/>
    <s v="PENDIENTE"/>
    <m/>
    <s v="#1774B9"/>
    <x v="151"/>
    <n v="99200014"/>
    <s v="T-998"/>
    <s v="C-997"/>
    <s v="FI-993"/>
    <s v="M-992"/>
  </r>
  <r>
    <s v="0154"/>
    <n v="990"/>
    <x v="0"/>
    <s v="Mujeres"/>
    <n v="15"/>
    <x v="7"/>
    <x v="6"/>
    <x v="1"/>
    <s v="Región de Arica y Parinacota"/>
    <s v="Ninguno"/>
    <s v="Región"/>
    <s v="Periodo 2013-2019"/>
    <s v="Número de Sentencias"/>
    <s v="Poder Judicial"/>
    <s v="Sentencias Dictadas por delitos de Abuso Sexual en la Región de Arica y Parinacota para el Periodo 2013-2019"/>
    <m/>
    <s v="Gráfico"/>
    <s v="Región de Arica y Parinacota,violencia,mujer,abuso, sexual, sentencia,menor,juzgado"/>
    <s v="PENDIENTE"/>
    <m/>
    <s v="#1774B9"/>
    <x v="152"/>
    <n v="99200015"/>
    <s v="T-998"/>
    <s v="C-997"/>
    <s v="FI-993"/>
    <s v="M-992"/>
  </r>
  <r>
    <s v="0155"/>
    <n v="990"/>
    <x v="0"/>
    <s v="Mujeres"/>
    <n v="16"/>
    <x v="7"/>
    <x v="6"/>
    <x v="1"/>
    <s v="Región de Ñuble"/>
    <s v="Ninguno"/>
    <s v="Región"/>
    <s v="Periodo 2013-2019"/>
    <s v="Número de Sentencias"/>
    <s v="Poder Judicial"/>
    <s v="Sentencias Dictadas por delitos de Abuso Sexual en la Región de Ñuble para el Periodo 2013-2019"/>
    <m/>
    <s v="Gráfico"/>
    <s v="Región de Ñuble,violencia,mujer,abuso, sexual, sentencia,menor,juzgado"/>
    <s v="PENDIENTE"/>
    <m/>
    <s v="#1774B9"/>
    <x v="153"/>
    <n v="99200016"/>
    <s v="T-998"/>
    <s v="C-997"/>
    <s v="FI-993"/>
    <s v="M-992"/>
  </r>
  <r>
    <s v="0156"/>
    <n v="990"/>
    <x v="0"/>
    <s v="Mujeres"/>
    <n v="0"/>
    <x v="7"/>
    <x v="6"/>
    <x v="0"/>
    <s v="Chile"/>
    <s v="Comuna"/>
    <s v="Comuna"/>
    <s v="Periodo 2013-2019"/>
    <s v="Número de Sentencias"/>
    <s v="Poder Judicial"/>
    <s v="Sentencias Dictadas por delitos de Abuso Sexual en la Chile para el Periodo 2013-2019"/>
    <m/>
    <s v="Gráfico"/>
    <s v="Chile,violencia,mujer,abuso, sexual, sentencia,menor,juzgado"/>
    <s v="PENDIENTE"/>
    <m/>
    <s v="#1774B9"/>
    <x v="154"/>
    <n v="99100000"/>
    <s v="T-998"/>
    <s v="C-997"/>
    <s v="FI-991"/>
    <s v="M-991"/>
  </r>
  <r>
    <s v="0157"/>
    <n v="990"/>
    <x v="0"/>
    <s v="Mujeres"/>
    <n v="1"/>
    <x v="7"/>
    <x v="6"/>
    <x v="1"/>
    <s v="Región de Tarapacá"/>
    <s v="Comuna"/>
    <s v="Comuna"/>
    <s v="Periodo 2013-2019"/>
    <s v="Número de Sentencias"/>
    <s v="Poder Judicial"/>
    <s v="Sentencias Dictadas por delitos de Abuso Sexual en la Región de Tarapacá para el Periodo 2013-2019"/>
    <m/>
    <s v="Gráfico"/>
    <s v="Región de Tarapacá,violencia,mujer,abuso, sexual, sentencia,menor,juzgado"/>
    <s v="PENDIENTE"/>
    <m/>
    <s v="#1774B9"/>
    <x v="155"/>
    <n v="99200001"/>
    <s v="T-998"/>
    <s v="C-997"/>
    <s v="FI-991"/>
    <s v="M-991"/>
  </r>
  <r>
    <s v="0158"/>
    <n v="990"/>
    <x v="0"/>
    <s v="Mujeres"/>
    <n v="2"/>
    <x v="7"/>
    <x v="6"/>
    <x v="1"/>
    <s v="Región de Antofagasta"/>
    <s v="Comuna"/>
    <s v="Comuna"/>
    <s v="Periodo 2013-2019"/>
    <s v="Número de Sentencias"/>
    <s v="Poder Judicial"/>
    <s v="Sentencias Dictadas por delitos de Abuso Sexual en la Región de Antofagasta para el Periodo 2013-2019"/>
    <m/>
    <s v="Gráfico"/>
    <s v="Región de Antofagasta,violencia,mujer,abuso, sexual, sentencia,menor,juzgado"/>
    <s v="PENDIENTE"/>
    <m/>
    <s v="#1774B9"/>
    <x v="156"/>
    <n v="99200002"/>
    <s v="T-998"/>
    <s v="C-997"/>
    <s v="FI-991"/>
    <s v="M-991"/>
  </r>
  <r>
    <s v="0159"/>
    <n v="990"/>
    <x v="0"/>
    <s v="Mujeres"/>
    <n v="3"/>
    <x v="7"/>
    <x v="6"/>
    <x v="1"/>
    <s v="Región de Atacama"/>
    <s v="Comuna"/>
    <s v="Comuna"/>
    <s v="Periodo 2013-2019"/>
    <s v="Número de Sentencias"/>
    <s v="Poder Judicial"/>
    <s v="Sentencias Dictadas por delitos de Abuso Sexual en la Región de Atacama para el Periodo 2013-2019"/>
    <m/>
    <s v="Gráfico"/>
    <s v="Región de Atacama,violencia,mujer,abuso, sexual, sentencia,menor,juzgado"/>
    <s v="PENDIENTE"/>
    <m/>
    <s v="#1774B9"/>
    <x v="157"/>
    <n v="99200003"/>
    <s v="T-998"/>
    <s v="C-997"/>
    <s v="FI-991"/>
    <s v="M-991"/>
  </r>
  <r>
    <s v="0160"/>
    <n v="990"/>
    <x v="0"/>
    <s v="Mujeres"/>
    <n v="4"/>
    <x v="7"/>
    <x v="6"/>
    <x v="1"/>
    <s v="Región de Coquimbo"/>
    <s v="Comuna"/>
    <s v="Comuna"/>
    <s v="Periodo 2013-2019"/>
    <s v="Número de Sentencias"/>
    <s v="Poder Judicial"/>
    <s v="Sentencias Dictadas por delitos de Abuso Sexual en la Región de Coquimbo para el Periodo 2013-2019"/>
    <m/>
    <s v="Gráfico"/>
    <s v="Región de Coquimbo,violencia,mujer,abuso, sexual, sentencia,menor,juzgado"/>
    <s v="PENDIENTE"/>
    <m/>
    <s v="#1774B9"/>
    <x v="158"/>
    <n v="99200004"/>
    <s v="T-998"/>
    <s v="C-997"/>
    <s v="FI-991"/>
    <s v="M-991"/>
  </r>
  <r>
    <s v="0161"/>
    <n v="990"/>
    <x v="0"/>
    <s v="Mujeres"/>
    <n v="5"/>
    <x v="7"/>
    <x v="6"/>
    <x v="1"/>
    <s v="Región de Valparaíso"/>
    <s v="Comuna"/>
    <s v="Comuna"/>
    <s v="Periodo 2013-2019"/>
    <s v="Número de Sentencias"/>
    <s v="Poder Judicial"/>
    <s v="Sentencias Dictadas por delitos de Abuso Sexual en la Región de Valparaíso para el Periodo 2013-2019"/>
    <m/>
    <s v="Gráfico"/>
    <s v="Región de Valparaíso,violencia,mujer,abuso, sexual, sentencia,menor,juzgado"/>
    <s v="PENDIENTE"/>
    <m/>
    <s v="#1774B9"/>
    <x v="159"/>
    <n v="99200005"/>
    <s v="T-998"/>
    <s v="C-997"/>
    <s v="FI-991"/>
    <s v="M-991"/>
  </r>
  <r>
    <s v="0162"/>
    <n v="990"/>
    <x v="0"/>
    <s v="Mujeres"/>
    <n v="6"/>
    <x v="7"/>
    <x v="6"/>
    <x v="1"/>
    <s v="Región de O'Higgins"/>
    <s v="Comuna"/>
    <s v="Comuna"/>
    <s v="Periodo 2013-2019"/>
    <s v="Número de Sentencias"/>
    <s v="Poder Judicial"/>
    <s v="Sentencias Dictadas por delitos de Abuso Sexual en la Región de O'Higgins para el Periodo 2013-2019"/>
    <m/>
    <s v="Gráfico"/>
    <s v="Región de O'Higgins,violencia,mujer,abuso, sexual, sentencia,menor,juzgado"/>
    <s v="PENDIENTE"/>
    <m/>
    <s v="#1774B9"/>
    <x v="160"/>
    <n v="99200006"/>
    <s v="T-998"/>
    <s v="C-997"/>
    <s v="FI-991"/>
    <s v="M-991"/>
  </r>
  <r>
    <s v="0163"/>
    <n v="990"/>
    <x v="0"/>
    <s v="Mujeres"/>
    <n v="7"/>
    <x v="7"/>
    <x v="6"/>
    <x v="1"/>
    <s v="Región de Maule"/>
    <s v="Comuna"/>
    <s v="Comuna"/>
    <s v="Periodo 2013-2019"/>
    <s v="Número de Sentencias"/>
    <s v="Poder Judicial"/>
    <s v="Sentencias Dictadas por delitos de Abuso Sexual en la Región de Maule para el Periodo 2013-2019"/>
    <m/>
    <s v="Gráfico"/>
    <s v="Región de Maule,violencia,mujer,abuso, sexual, sentencia,menor,juzgado"/>
    <s v="PENDIENTE"/>
    <m/>
    <s v="#1774B9"/>
    <x v="161"/>
    <n v="99200007"/>
    <s v="T-998"/>
    <s v="C-997"/>
    <s v="FI-991"/>
    <s v="M-991"/>
  </r>
  <r>
    <s v="0164"/>
    <n v="990"/>
    <x v="0"/>
    <s v="Mujeres"/>
    <n v="8"/>
    <x v="7"/>
    <x v="6"/>
    <x v="1"/>
    <s v="Región del Biobío"/>
    <s v="Comuna"/>
    <s v="Comuna"/>
    <s v="Periodo 2013-2019"/>
    <s v="Número de Sentencias"/>
    <s v="Poder Judicial"/>
    <s v="Sentencias Dictadas por delitos de Abuso Sexual en la Región del Biobío para el Periodo 2013-2019"/>
    <m/>
    <s v="Gráfico"/>
    <s v="Región del Biobío,violencia,mujer,abuso, sexual, sentencia,menor,juzgado"/>
    <s v="PENDIENTE"/>
    <m/>
    <s v="#1774B9"/>
    <x v="162"/>
    <n v="99200008"/>
    <s v="T-998"/>
    <s v="C-997"/>
    <s v="FI-991"/>
    <s v="M-991"/>
  </r>
  <r>
    <s v="0165"/>
    <n v="990"/>
    <x v="0"/>
    <s v="Mujeres"/>
    <n v="9"/>
    <x v="7"/>
    <x v="6"/>
    <x v="1"/>
    <s v="Región de La Araucanía"/>
    <s v="Comuna"/>
    <s v="Comuna"/>
    <s v="Periodo 2013-2019"/>
    <s v="Número de Sentencias"/>
    <s v="Poder Judicial"/>
    <s v="Sentencias Dictadas por delitos de Abuso Sexual en la Región de La Araucanía para el Periodo 2013-2019"/>
    <m/>
    <s v="Gráfico"/>
    <s v="Región de La Araucanía,violencia,mujer,abuso, sexual, sentencia,menor,juzgado"/>
    <s v="PENDIENTE"/>
    <m/>
    <s v="#1774B9"/>
    <x v="163"/>
    <n v="99200009"/>
    <s v="T-998"/>
    <s v="C-997"/>
    <s v="FI-991"/>
    <s v="M-991"/>
  </r>
  <r>
    <s v="0166"/>
    <n v="990"/>
    <x v="0"/>
    <s v="Mujeres"/>
    <n v="10"/>
    <x v="7"/>
    <x v="6"/>
    <x v="1"/>
    <s v="Región de Los Lagos"/>
    <s v="Comuna"/>
    <s v="Comuna"/>
    <s v="Periodo 2013-2019"/>
    <s v="Número de Sentencias"/>
    <s v="Poder Judicial"/>
    <s v="Sentencias Dictadas por delitos de Abuso Sexual en la Región de Los Lagos para el Periodo 2013-2019"/>
    <m/>
    <s v="Gráfico"/>
    <s v="Región de Los Lagos,violencia,mujer,abuso, sexual, sentencia,menor,juzgado"/>
    <s v="PENDIENTE"/>
    <m/>
    <s v="#1774B9"/>
    <x v="164"/>
    <n v="99200010"/>
    <s v="T-998"/>
    <s v="C-997"/>
    <s v="FI-991"/>
    <s v="M-991"/>
  </r>
  <r>
    <s v="0167"/>
    <n v="990"/>
    <x v="0"/>
    <s v="Mujeres"/>
    <n v="11"/>
    <x v="7"/>
    <x v="6"/>
    <x v="1"/>
    <s v="Región de Aysén"/>
    <s v="Comuna"/>
    <s v="Comuna"/>
    <s v="Periodo 2013-2019"/>
    <s v="Número de Sentencias"/>
    <s v="Poder Judicial"/>
    <s v="Sentencias Dictadas por delitos de Abuso Sexual en la Región de Aysén para el Periodo 2013-2019"/>
    <m/>
    <s v="Gráfico"/>
    <s v="Región de Aysén,violencia,mujer,abuso, sexual, sentencia,menor,juzgado"/>
    <s v="PENDIENTE"/>
    <m/>
    <s v="#1774B9"/>
    <x v="165"/>
    <n v="99200011"/>
    <s v="T-998"/>
    <s v="C-997"/>
    <s v="FI-991"/>
    <s v="M-991"/>
  </r>
  <r>
    <s v="0168"/>
    <n v="990"/>
    <x v="0"/>
    <s v="Mujeres"/>
    <n v="12"/>
    <x v="7"/>
    <x v="6"/>
    <x v="1"/>
    <s v="Región de Magallanes"/>
    <s v="Comuna"/>
    <s v="Comuna"/>
    <s v="Periodo 2013-2019"/>
    <s v="Número de Sentencias"/>
    <s v="Poder Judicial"/>
    <s v="Sentencias Dictadas por delitos de Abuso Sexual en la Región de Magallanes para el Periodo 2013-2019"/>
    <m/>
    <s v="Gráfico"/>
    <s v="Región de Magallanes,violencia,mujer,abuso, sexual, sentencia,menor,juzgado"/>
    <s v="PENDIENTE"/>
    <m/>
    <s v="#1774B9"/>
    <x v="166"/>
    <n v="99200012"/>
    <s v="T-998"/>
    <s v="C-997"/>
    <s v="FI-991"/>
    <s v="M-991"/>
  </r>
  <r>
    <s v="0169"/>
    <n v="990"/>
    <x v="0"/>
    <s v="Mujeres"/>
    <n v="13"/>
    <x v="7"/>
    <x v="6"/>
    <x v="1"/>
    <s v="Región Metropolitana"/>
    <s v="Comuna"/>
    <s v="Comuna"/>
    <s v="Periodo 2013-2019"/>
    <s v="Número de Sentencias"/>
    <s v="Poder Judicial"/>
    <s v="Sentencias Dictadas por delitos de Abuso Sexual en la Región Metropolitana para el Periodo 2013-2019"/>
    <m/>
    <s v="Gráfico"/>
    <s v="Región Metropolitana,violencia,mujer,abuso, sexual, sentencia,menor,juzgado"/>
    <s v="PENDIENTE"/>
    <m/>
    <s v="#1774B9"/>
    <x v="167"/>
    <n v="99200013"/>
    <s v="T-998"/>
    <s v="C-997"/>
    <s v="FI-991"/>
    <s v="M-991"/>
  </r>
  <r>
    <s v="0170"/>
    <n v="990"/>
    <x v="0"/>
    <s v="Mujeres"/>
    <n v="14"/>
    <x v="7"/>
    <x v="6"/>
    <x v="1"/>
    <s v="Región de Los Ríos"/>
    <s v="Comuna"/>
    <s v="Comuna"/>
    <s v="Periodo 2013-2019"/>
    <s v="Número de Sentencias"/>
    <s v="Poder Judicial"/>
    <s v="Sentencias Dictadas por delitos de Abuso Sexual en la Región de Los Ríos para el Periodo 2013-2019"/>
    <m/>
    <s v="Gráfico"/>
    <s v="Región de Los Ríos,violencia,mujer,abuso, sexual, sentencia,menor,juzgado"/>
    <s v="PENDIENTE"/>
    <m/>
    <s v="#1774B9"/>
    <x v="168"/>
    <n v="99200014"/>
    <s v="T-998"/>
    <s v="C-997"/>
    <s v="FI-991"/>
    <s v="M-991"/>
  </r>
  <r>
    <s v="0171"/>
    <n v="990"/>
    <x v="0"/>
    <s v="Mujeres"/>
    <n v="15"/>
    <x v="7"/>
    <x v="6"/>
    <x v="1"/>
    <s v="Región de Arica y Parinacota"/>
    <s v="Comuna"/>
    <s v="Comuna"/>
    <s v="Periodo 2013-2019"/>
    <s v="Número de Sentencias"/>
    <s v="Poder Judicial"/>
    <s v="Sentencias Dictadas por delitos de Abuso Sexual en la Región de Arica y Parinacota para el Periodo 2013-2019"/>
    <m/>
    <s v="Gráfico"/>
    <s v="Región de Arica y Parinacota,violencia,mujer,abuso, sexual, sentencia,menor,juzgado"/>
    <s v="PENDIENTE"/>
    <m/>
    <s v="#1774B9"/>
    <x v="169"/>
    <n v="99200015"/>
    <s v="T-998"/>
    <s v="C-997"/>
    <s v="FI-991"/>
    <s v="M-991"/>
  </r>
  <r>
    <s v="0172"/>
    <n v="990"/>
    <x v="0"/>
    <s v="Mujeres"/>
    <n v="16"/>
    <x v="7"/>
    <x v="6"/>
    <x v="1"/>
    <s v="Región de Ñuble"/>
    <s v="Comuna"/>
    <s v="Comuna"/>
    <s v="Periodo 2013-2019"/>
    <s v="Número de Sentencias"/>
    <s v="Poder Judicial"/>
    <s v="Sentencias Dictadas por delitos de Abuso Sexual en la Región de Ñuble para el Periodo 2013-2019"/>
    <m/>
    <s v="Gráfico"/>
    <s v="Región de Ñuble,violencia,mujer,abuso, sexual, sentencia,menor,juzgado"/>
    <s v="PENDIENTE"/>
    <m/>
    <s v="#1774B9"/>
    <x v="170"/>
    <n v="99200016"/>
    <s v="T-998"/>
    <s v="C-997"/>
    <s v="FI-991"/>
    <s v="M-991"/>
  </r>
  <r>
    <s v="0173"/>
    <n v="990"/>
    <x v="0"/>
    <s v="Mujeres"/>
    <m/>
    <x v="7"/>
    <x v="6"/>
    <x v="2"/>
    <m/>
    <s v="Comuna"/>
    <s v="Comuna"/>
    <s v="Periodo 2013-2019"/>
    <s v="Número de Sentencias"/>
    <s v="Poder Judicial"/>
    <s v="Sentencias Dictadas por delitos de Abuso Sexual en la  para el Periodo 2013-2019"/>
    <m/>
    <s v="Gráfico"/>
    <s v=",violencia,mujer,abuso, sexual, sentencia,menor,juzgado"/>
    <s v="PENDIENTE"/>
    <m/>
    <s v="#1774B9"/>
    <x v="171"/>
    <n v="99100000"/>
    <s v="T-998"/>
    <s v="C-997"/>
    <s v="FI-991"/>
    <s v="M-991"/>
  </r>
  <r>
    <s v="0174"/>
    <n v="990"/>
    <x v="0"/>
    <s v="Mujeres"/>
    <m/>
    <x v="7"/>
    <x v="6"/>
    <x v="2"/>
    <m/>
    <s v="Comuna"/>
    <s v="Comuna"/>
    <s v="Periodo 2013-2019"/>
    <s v="Número de Sentencias"/>
    <s v="Poder Judicial"/>
    <s v="Sentencias Dictadas por delitos de Abuso Sexual en la  para el Periodo 2013-2019"/>
    <m/>
    <s v="Gráfico"/>
    <s v=",violencia,mujer,abuso, sexual, sentencia,menor,juzgado"/>
    <s v="PENDIENTE"/>
    <m/>
    <s v="#1774B9"/>
    <x v="172"/>
    <n v="99100000"/>
    <s v="T-998"/>
    <s v="C-997"/>
    <s v="FI-991"/>
    <s v="M-991"/>
  </r>
  <r>
    <s v="0175"/>
    <n v="990"/>
    <x v="0"/>
    <s v="Mujeres"/>
    <m/>
    <x v="7"/>
    <x v="6"/>
    <x v="2"/>
    <m/>
    <s v="Comuna"/>
    <s v="Comuna"/>
    <s v="Periodo 2013-2019"/>
    <s v="Número de Sentencias"/>
    <s v="Poder Judicial"/>
    <s v="Sentencias Dictadas por delitos de Abuso Sexual en la  para el Periodo 2013-2019"/>
    <m/>
    <s v="Gráfico"/>
    <s v=",violencia,mujer,abuso, sexual, sentencia,menor,juzgado"/>
    <s v="PENDIENTE"/>
    <m/>
    <s v="#1774B9"/>
    <x v="173"/>
    <n v="99100000"/>
    <s v="T-998"/>
    <s v="C-997"/>
    <s v="FI-991"/>
    <s v="M-991"/>
  </r>
  <r>
    <s v="0176"/>
    <n v="990"/>
    <x v="0"/>
    <s v="Mujeres"/>
    <m/>
    <x v="7"/>
    <x v="6"/>
    <x v="2"/>
    <m/>
    <s v="Comuna"/>
    <s v="Comuna"/>
    <s v="Periodo 2013-2019"/>
    <s v="Número de Sentencias"/>
    <s v="Poder Judicial"/>
    <s v="Sentencias Dictadas por delitos de Abuso Sexual en la  para el Periodo 2013-2019"/>
    <m/>
    <s v="Gráfico"/>
    <s v=",violencia,mujer,abuso, sexual, sentencia,menor,juzgado"/>
    <s v="PENDIENTE"/>
    <m/>
    <s v="#1774B9"/>
    <x v="174"/>
    <n v="99100000"/>
    <s v="T-998"/>
    <s v="C-997"/>
    <s v="FI-991"/>
    <s v="M-991"/>
  </r>
  <r>
    <s v="0177"/>
    <n v="990"/>
    <x v="0"/>
    <s v="Mujeres"/>
    <m/>
    <x v="7"/>
    <x v="6"/>
    <x v="2"/>
    <m/>
    <s v="Comuna"/>
    <s v="Comuna"/>
    <s v="Periodo 2013-2019"/>
    <s v="Número de Sentencias"/>
    <s v="Poder Judicial"/>
    <s v="Sentencias Dictadas por delitos de Abuso Sexual en la  para el Periodo 2013-2019"/>
    <m/>
    <s v="Gráfico"/>
    <s v=",violencia,mujer,abuso, sexual, sentencia,menor,juzgado"/>
    <s v="PENDIENTE"/>
    <m/>
    <s v="#1774B9"/>
    <x v="175"/>
    <n v="99100000"/>
    <s v="T-998"/>
    <s v="C-997"/>
    <s v="FI-991"/>
    <s v="M-991"/>
  </r>
  <r>
    <s v="0178"/>
    <n v="990"/>
    <x v="0"/>
    <s v="Mujeres"/>
    <m/>
    <x v="7"/>
    <x v="6"/>
    <x v="2"/>
    <m/>
    <s v="Comuna"/>
    <s v="Comuna"/>
    <s v="Periodo 2013-2019"/>
    <s v="Número de Sentencias"/>
    <s v="Poder Judicial"/>
    <s v="Sentencias Dictadas por delitos de Abuso Sexual en la  para el Periodo 2013-2019"/>
    <m/>
    <s v="Gráfico"/>
    <s v=",violencia,mujer,abuso, sexual, sentencia,menor,juzgado"/>
    <s v="PENDIENTE"/>
    <m/>
    <s v="#1774B9"/>
    <x v="176"/>
    <n v="99100000"/>
    <s v="T-998"/>
    <s v="C-997"/>
    <s v="FI-991"/>
    <s v="M-991"/>
  </r>
  <r>
    <s v="0179"/>
    <n v="990"/>
    <x v="0"/>
    <s v="Mujeres"/>
    <m/>
    <x v="7"/>
    <x v="6"/>
    <x v="2"/>
    <m/>
    <s v="Comuna"/>
    <s v="Comuna"/>
    <s v="Periodo 2013-2019"/>
    <s v="Número de Sentencias"/>
    <s v="Poder Judicial"/>
    <s v="Sentencias Dictadas por delitos de Abuso Sexual en la  para el Periodo 2013-2019"/>
    <m/>
    <s v="Gráfico"/>
    <s v=",violencia,mujer,abuso, sexual, sentencia,menor,juzgado"/>
    <s v="PENDIENTE"/>
    <m/>
    <s v="#1774B9"/>
    <x v="177"/>
    <n v="99100000"/>
    <s v="T-998"/>
    <s v="C-997"/>
    <s v="FI-991"/>
    <s v="M-991"/>
  </r>
  <r>
    <s v="0180"/>
    <n v="990"/>
    <x v="0"/>
    <s v="Mujeres"/>
    <m/>
    <x v="7"/>
    <x v="6"/>
    <x v="2"/>
    <m/>
    <s v="Comuna"/>
    <s v="Comuna"/>
    <s v="Periodo 2013-2019"/>
    <s v="Número de Sentencias"/>
    <s v="Poder Judicial"/>
    <s v="Sentencias Dictadas por delitos de Abuso Sexual en la  para el Periodo 2013-2019"/>
    <m/>
    <s v="Gráfico"/>
    <s v=",violencia,mujer,abuso, sexual, sentencia,menor,juzgado"/>
    <s v="PENDIENTE"/>
    <m/>
    <s v="#1774B9"/>
    <x v="178"/>
    <n v="99100000"/>
    <s v="T-998"/>
    <s v="C-997"/>
    <s v="FI-991"/>
    <s v="M-99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9">
  <r>
    <s v="0001"/>
    <n v="990"/>
    <s v="Agencia Información"/>
    <s v="Socioeconómico"/>
    <n v="0"/>
    <x v="0"/>
    <x v="0"/>
    <x v="0"/>
    <x v="0"/>
    <x v="0"/>
    <x v="0"/>
    <s v="Periodo 2006-2017"/>
    <s v="CLP/mes"/>
    <s v="Encuestas CASEN"/>
    <s v="Evolución de Ingreso Promedio Mensual en Chile para el Periodo 2006-2017"/>
    <m/>
    <s v="Gráfico Evolución"/>
    <s v="Chile, ingresos, CASEN, mensual, promedio"/>
    <s v="PENDIENTE"/>
    <x v="0"/>
    <s v="#1774B9"/>
  </r>
  <r>
    <s v="0002"/>
    <n v="990"/>
    <s v="Agencia Información"/>
    <s v="Socioeconómico"/>
    <n v="1"/>
    <x v="0"/>
    <x v="0"/>
    <x v="1"/>
    <x v="1"/>
    <x v="1"/>
    <x v="0"/>
    <s v="Periodo 2006-2017"/>
    <s v="CLP/mes"/>
    <s v="Encuestas CASEN"/>
    <s v="Evolución de Ingreso Promedio Mensual en la Región de Tarapacá para el Periodo 2006-2017"/>
    <m/>
    <s v="Gráfico Evolución"/>
    <s v="Región de Tarapacá, ingresos, CASEN, mensual, promedio"/>
    <s v="PENDIENTE"/>
    <x v="1"/>
    <s v="#1774B9"/>
  </r>
  <r>
    <s v="0003"/>
    <n v="990"/>
    <s v="Agencia Información"/>
    <s v="Socioeconómico"/>
    <n v="2"/>
    <x v="0"/>
    <x v="0"/>
    <x v="1"/>
    <x v="2"/>
    <x v="1"/>
    <x v="0"/>
    <s v="Periodo 2006-2017"/>
    <s v="CLP/mes"/>
    <s v="Encuestas CASEN"/>
    <s v="Evolución de Ingreso Promedio Mensual en la Región de Antofagasta para el Periodo 2006-2017"/>
    <s v="La región de Antofagasta es la que posee el ingreso medios mensual en el año 2017 entre las 16 regiones del país, con una cifra de algo más de 380 mil CLP/mes. En relación a la estimación anterior, del año 2015, el ingreso aumenta en un 7,3%."/>
    <s v="Gráfico Evolución"/>
    <s v="Región de Antofagasta, ingresos, CASEN, mensual, promedio"/>
    <s v="https://analytics.zoho.com/open-view/2395394000000579068"/>
    <x v="1"/>
    <s v="#1774B9"/>
  </r>
  <r>
    <s v="0004"/>
    <n v="990"/>
    <s v="Agencia Información"/>
    <s v="Socioeconómico"/>
    <n v="3"/>
    <x v="0"/>
    <x v="0"/>
    <x v="1"/>
    <x v="3"/>
    <x v="1"/>
    <x v="0"/>
    <s v="Periodo 2006-2017"/>
    <s v="CLP/mes"/>
    <s v="Encuestas CASEN"/>
    <s v="Evolución de Ingreso Promedio Mensual en la Región de Atacama para el Periodo 2006-2017"/>
    <m/>
    <s v="Gráfico Evolución"/>
    <s v="Región de Atacama, ingresos, CASEN, mensual, promedio"/>
    <s v="PENDIENTE"/>
    <x v="1"/>
    <s v="#1774B9"/>
  </r>
  <r>
    <s v="0005"/>
    <n v="990"/>
    <s v="Agencia Información"/>
    <s v="Socioeconómico"/>
    <n v="4"/>
    <x v="0"/>
    <x v="0"/>
    <x v="1"/>
    <x v="4"/>
    <x v="1"/>
    <x v="0"/>
    <s v="Periodo 2006-2017"/>
    <s v="CLP/mes"/>
    <s v="Encuestas CASEN"/>
    <s v="Evolución de Ingreso Promedio Mensual en la Región de Coquimbo para el Periodo 2006-2017"/>
    <m/>
    <s v="Gráfico Evolución"/>
    <s v="Región de Coquimbo, ingresos, CASEN, mensual, promedio"/>
    <s v="PENDIENTE"/>
    <x v="1"/>
    <s v="#1774B9"/>
  </r>
  <r>
    <s v="0006"/>
    <n v="990"/>
    <s v="Agencia Información"/>
    <s v="Socioeconómico"/>
    <n v="5"/>
    <x v="0"/>
    <x v="0"/>
    <x v="1"/>
    <x v="5"/>
    <x v="1"/>
    <x v="0"/>
    <s v="Periodo 2006-2017"/>
    <s v="CLP/mes"/>
    <s v="Encuestas CASEN"/>
    <s v="Evolución de Ingreso Promedio Mensual en la Región de Valparaíso para el Periodo 2006-2017"/>
    <m/>
    <s v="Gráfico Evolución"/>
    <s v="Región de Valparaíso, ingresos, CASEN, mensual, promedio"/>
    <s v="PENDIENTE"/>
    <x v="1"/>
    <s v="#1774B9"/>
  </r>
  <r>
    <s v="0007"/>
    <n v="990"/>
    <s v="Agencia Información"/>
    <s v="Socioeconómico"/>
    <n v="6"/>
    <x v="0"/>
    <x v="0"/>
    <x v="1"/>
    <x v="6"/>
    <x v="1"/>
    <x v="0"/>
    <s v="Periodo 2006-2017"/>
    <s v="CLP/mes"/>
    <s v="Encuestas CASEN"/>
    <s v="Evolución de Ingreso Promedio Mensual en la Región de O'Higgins para el Periodo 2006-2017"/>
    <m/>
    <s v="Gráfico Evolución"/>
    <s v="Región de O'Higgins, ingresos, CASEN, mensual, promedio"/>
    <s v="PENDIENTE"/>
    <x v="1"/>
    <s v="#1774B9"/>
  </r>
  <r>
    <s v="0008"/>
    <n v="990"/>
    <s v="Agencia Información"/>
    <s v="Socioeconómico"/>
    <n v="7"/>
    <x v="0"/>
    <x v="0"/>
    <x v="1"/>
    <x v="7"/>
    <x v="1"/>
    <x v="0"/>
    <s v="Periodo 2006-2017"/>
    <s v="CLP/mes"/>
    <s v="Encuestas CASEN"/>
    <s v="Evolución de Ingreso Promedio Mensual en la Región de Maule para el Periodo 2006-2017"/>
    <m/>
    <s v="Gráfico Evolución"/>
    <s v="Región de Maule, ingresos, CASEN, mensual, promedio"/>
    <s v="PENDIENTE"/>
    <x v="1"/>
    <s v="#1774B9"/>
  </r>
  <r>
    <s v="0009"/>
    <n v="990"/>
    <s v="Agencia Información"/>
    <s v="Socioeconómico"/>
    <n v="8"/>
    <x v="0"/>
    <x v="0"/>
    <x v="1"/>
    <x v="8"/>
    <x v="1"/>
    <x v="0"/>
    <s v="Periodo 2006-2017"/>
    <s v="CLP/mes"/>
    <s v="Encuestas CASEN"/>
    <s v="Evolución de Ingreso Promedio Mensual en la Región del Biobío para el Periodo 2006-2017"/>
    <m/>
    <s v="Gráfico Evolución"/>
    <s v="Región del Biobío, ingresos, CASEN, mensual, promedio"/>
    <s v="PENDIENTE"/>
    <x v="1"/>
    <s v="#1774B9"/>
  </r>
  <r>
    <s v="0010"/>
    <n v="990"/>
    <s v="Agencia Información"/>
    <s v="Socioeconómico"/>
    <n v="9"/>
    <x v="0"/>
    <x v="0"/>
    <x v="1"/>
    <x v="9"/>
    <x v="1"/>
    <x v="0"/>
    <s v="Periodo 2006-2017"/>
    <s v="CLP/mes"/>
    <s v="Encuestas CASEN"/>
    <s v="Evolución de Ingreso Promedio Mensual en la Región de La Araucanía para el Periodo 2006-2017"/>
    <m/>
    <s v="Gráfico Evolución"/>
    <s v="Región de La Araucanía, ingresos, CASEN, mensual, promedio"/>
    <s v="PENDIENTE"/>
    <x v="1"/>
    <s v="#1774B9"/>
  </r>
  <r>
    <s v="0011"/>
    <n v="990"/>
    <s v="Agencia Información"/>
    <s v="Socioeconómico"/>
    <n v="10"/>
    <x v="0"/>
    <x v="0"/>
    <x v="1"/>
    <x v="10"/>
    <x v="1"/>
    <x v="0"/>
    <s v="Periodo 2006-2017"/>
    <s v="CLP/mes"/>
    <s v="Encuestas CASEN"/>
    <s v="Evolución de Ingreso Promedio Mensual en la Región de Los Lagos para el Periodo 2006-2017"/>
    <m/>
    <s v="Gráfico Evolución"/>
    <s v="Región de Los Lagos, ingresos, CASEN, mensual, promedio"/>
    <s v="PENDIENTE"/>
    <x v="1"/>
    <s v="#1774B9"/>
  </r>
  <r>
    <s v="0012"/>
    <n v="990"/>
    <s v="Agencia Información"/>
    <s v="Socioeconómico"/>
    <n v="11"/>
    <x v="0"/>
    <x v="0"/>
    <x v="1"/>
    <x v="11"/>
    <x v="1"/>
    <x v="0"/>
    <s v="Periodo 2006-2017"/>
    <s v="CLP/mes"/>
    <s v="Encuestas CASEN"/>
    <s v="Evolución de Ingreso Promedio Mensual en la Región de Aysén para el Periodo 2006-2017"/>
    <m/>
    <s v="Gráfico Evolución"/>
    <s v="Región de Aysén, ingresos, CASEN, mensual, promedio"/>
    <s v="PENDIENTE"/>
    <x v="1"/>
    <s v="#1774B9"/>
  </r>
  <r>
    <s v="0013"/>
    <n v="990"/>
    <s v="Agencia Información"/>
    <s v="Socioeconómico"/>
    <n v="12"/>
    <x v="0"/>
    <x v="0"/>
    <x v="1"/>
    <x v="12"/>
    <x v="1"/>
    <x v="0"/>
    <s v="Periodo 2006-2017"/>
    <s v="CLP/mes"/>
    <s v="Encuestas CASEN"/>
    <s v="Evolución de Ingreso Promedio Mensual en la Región de Magallanes para el Periodo 2006-2017"/>
    <m/>
    <s v="Gráfico Evolución"/>
    <s v="Región de Magallanes, ingresos, CASEN, mensual, promedio"/>
    <s v="PENDIENTE"/>
    <x v="1"/>
    <s v="#1774B9"/>
  </r>
  <r>
    <s v="0014"/>
    <n v="990"/>
    <s v="Agencia Información"/>
    <s v="Socioeconómico"/>
    <n v="13"/>
    <x v="0"/>
    <x v="0"/>
    <x v="1"/>
    <x v="13"/>
    <x v="1"/>
    <x v="0"/>
    <s v="Periodo 2006-2017"/>
    <s v="CLP/mes"/>
    <s v="Encuestas CASEN"/>
    <s v="Evolución de Ingreso Promedio Mensual en la Región Metropolitana para el Periodo 2006-2017"/>
    <m/>
    <s v="Gráfico Evolución"/>
    <s v="Región Metropolitana, ingresos, CASEN, mensual, promedio"/>
    <s v="PENDIENTE"/>
    <x v="1"/>
    <s v="#1774B9"/>
  </r>
  <r>
    <s v="0015"/>
    <n v="990"/>
    <s v="Agencia Información"/>
    <s v="Socioeconómico"/>
    <n v="14"/>
    <x v="0"/>
    <x v="0"/>
    <x v="1"/>
    <x v="14"/>
    <x v="1"/>
    <x v="0"/>
    <s v="Periodo 2006-2017"/>
    <s v="CLP/mes"/>
    <s v="Encuestas CASEN"/>
    <s v="Evolución de Ingreso Promedio Mensual en la Región de Los Ríos para el Periodo 2006-2017"/>
    <m/>
    <s v="Gráfico Evolución"/>
    <s v="Región de Los Ríos, ingresos, CASEN, mensual, promedio"/>
    <s v="PENDIENTE"/>
    <x v="1"/>
    <s v="#1774B9"/>
  </r>
  <r>
    <s v="0016"/>
    <n v="990"/>
    <s v="Agencia Información"/>
    <s v="Socioeconómico"/>
    <n v="15"/>
    <x v="0"/>
    <x v="0"/>
    <x v="1"/>
    <x v="15"/>
    <x v="1"/>
    <x v="0"/>
    <s v="Periodo 2006-2017"/>
    <s v="CLP/mes"/>
    <s v="Encuestas CASEN"/>
    <s v="Evolución de Ingreso Promedio Mensual en la Región de Arica y Parinacota para el Periodo 2006-2017"/>
    <m/>
    <s v="Gráfico Evolución"/>
    <s v="Región de Arica y Parinacota, ingresos, CASEN, mensual, promedio"/>
    <s v="PENDIENTE"/>
    <x v="1"/>
    <s v="#1774B9"/>
  </r>
  <r>
    <s v="0017"/>
    <n v="990"/>
    <s v="Agencia Información"/>
    <s v="Socioeconómico"/>
    <n v="16"/>
    <x v="0"/>
    <x v="0"/>
    <x v="1"/>
    <x v="16"/>
    <x v="1"/>
    <x v="0"/>
    <s v="Periodo 2006-2017"/>
    <s v="CLP/mes"/>
    <s v="Encuestas CASEN"/>
    <s v="Evolución de Ingreso Promedio Mensual en la Región de Ñuble para el Periodo 2006-2017"/>
    <m/>
    <s v="Gráfico Evolución"/>
    <s v="Región de Ñuble, ingresos, CASEN, mensual, promedio"/>
    <s v="PENDIENTE"/>
    <x v="1"/>
    <s v="#1774B9"/>
  </r>
  <r>
    <s v="0019"/>
    <n v="990"/>
    <s v="Agencia Información"/>
    <s v="Educación"/>
    <n v="0"/>
    <x v="1"/>
    <x v="1"/>
    <x v="0"/>
    <x v="0"/>
    <x v="0"/>
    <x v="1"/>
    <s v="Periodo 2001-2020"/>
    <s v="Porcentaje (%)"/>
    <s v="Sistema Nacional de Información Municipal"/>
    <s v="Proporción de Alumnos de 4to Medio con más de 450 puntos en la PSU según dependencia de colegios"/>
    <s v="Más allá de la gestión alcaldicia, durante los últimos 20 años la proporción de alumnos con más de 450 puntos en la PSU se mantiene estable para colegios municipales en relación a los Subvencionados y Particulares Pagados."/>
    <s v="Gráfico Evolución"/>
    <s v="Chile,Educacion,Municipal,PSU,Alumnos,Calidad Educacion,Colegios Municipales"/>
    <s v="PENDIENTE"/>
    <x v="0"/>
    <s v="#1774B9"/>
  </r>
  <r>
    <s v="0020"/>
    <n v="990"/>
    <s v="Agencia Información"/>
    <s v="Educación"/>
    <n v="1"/>
    <x v="1"/>
    <x v="1"/>
    <x v="1"/>
    <x v="1"/>
    <x v="2"/>
    <x v="1"/>
    <s v="Periodo 2001-2020"/>
    <s v="Porcentaje (%)"/>
    <s v="Sistema Nacional de Información Municipal"/>
    <s v="Proporción de Alumnos de 4to Medio con más de 450 puntos en la PSU según dependencia de colegios"/>
    <m/>
    <s v="Gráfico Evolución"/>
    <s v="Región de Tarapacá,Educacion,Municipal,PSU,Alumnos,Calidad Educacion,Colegios Municipales"/>
    <s v="PENDIENTE"/>
    <x v="1"/>
    <s v="#1774B9"/>
  </r>
  <r>
    <s v="0021"/>
    <n v="990"/>
    <s v="Agencia Información"/>
    <s v="Educación"/>
    <n v="2"/>
    <x v="1"/>
    <x v="1"/>
    <x v="1"/>
    <x v="2"/>
    <x v="2"/>
    <x v="1"/>
    <s v="Periodo 2001-2020"/>
    <s v="Porcentaje (%)"/>
    <s v="Sistema Nacional de Información Municipal"/>
    <s v="Proporción de Alumnos de 4to Medio con más de 450 puntos en la PSU según dependencia de colegios"/>
    <m/>
    <s v="Gráfico Evolución"/>
    <s v="Región de Antofagasta,Educacion,Municipal,PSU,Alumnos,Calidad Educacion,Colegios Municipales"/>
    <s v="PENDIENTE"/>
    <x v="1"/>
    <s v="#1774B9"/>
  </r>
  <r>
    <s v="0022"/>
    <n v="990"/>
    <s v="Agencia Información"/>
    <s v="Educación"/>
    <n v="3"/>
    <x v="1"/>
    <x v="1"/>
    <x v="1"/>
    <x v="3"/>
    <x v="2"/>
    <x v="1"/>
    <s v="Periodo 2001-2020"/>
    <s v="Porcentaje (%)"/>
    <s v="Sistema Nacional de Información Municipal"/>
    <s v="Proporción de Alumnos de 4to Medio con más de 450 puntos en la PSU según dependencia de colegios"/>
    <m/>
    <s v="Gráfico Evolución"/>
    <s v="Región de Atacama,Educacion,Municipal,PSU,Alumnos,Calidad Educacion,Colegios Municipales"/>
    <s v="PENDIENTE"/>
    <x v="1"/>
    <s v="#1774B9"/>
  </r>
  <r>
    <s v="0023"/>
    <n v="990"/>
    <s v="Agencia Información"/>
    <s v="Educación"/>
    <n v="4"/>
    <x v="1"/>
    <x v="1"/>
    <x v="1"/>
    <x v="4"/>
    <x v="2"/>
    <x v="1"/>
    <s v="Periodo 2001-2020"/>
    <s v="Porcentaje (%)"/>
    <s v="Sistema Nacional de Información Municipal"/>
    <s v="Proporción de Alumnos de 4to Medio con más de 450 puntos en la PSU según dependencia de colegios"/>
    <m/>
    <s v="Gráfico Evolución"/>
    <s v="Región de Coquimbo,Educacion,Municipal,PSU,Alumnos,Calidad Educacion,Colegios Municipales"/>
    <s v="PENDIENTE"/>
    <x v="1"/>
    <s v="#1774B9"/>
  </r>
  <r>
    <s v="0024"/>
    <n v="990"/>
    <s v="Agencia Información"/>
    <s v="Educación"/>
    <n v="5"/>
    <x v="1"/>
    <x v="1"/>
    <x v="1"/>
    <x v="5"/>
    <x v="2"/>
    <x v="1"/>
    <s v="Periodo 2001-2020"/>
    <s v="Porcentaje (%)"/>
    <s v="Sistema Nacional de Información Municipal"/>
    <s v="Proporción de Alumnos de 4to Medio con más de 450 puntos en la PSU según dependencia de colegios"/>
    <m/>
    <s v="Gráfico Evolución"/>
    <s v="Región de Valparaíso,Educacion,Municipal,PSU,Alumnos,Calidad Educacion,Colegios Municipales"/>
    <s v="PENDIENTE"/>
    <x v="1"/>
    <s v="#1774B9"/>
  </r>
  <r>
    <s v="0025"/>
    <n v="990"/>
    <s v="Agencia Información"/>
    <s v="Educación"/>
    <n v="6"/>
    <x v="1"/>
    <x v="1"/>
    <x v="1"/>
    <x v="6"/>
    <x v="2"/>
    <x v="1"/>
    <s v="Periodo 2001-2020"/>
    <s v="Porcentaje (%)"/>
    <s v="Sistema Nacional de Información Municipal"/>
    <s v="Proporción de Alumnos de 4to Medio con más de 450 puntos en la PSU según dependencia de colegios"/>
    <m/>
    <s v="Gráfico Evolución"/>
    <s v="Región de O'Higgins,Educacion,Municipal,PSU,Alumnos,Calidad Educacion,Colegios Municipales"/>
    <s v="PENDIENTE"/>
    <x v="1"/>
    <s v="#1774B9"/>
  </r>
  <r>
    <s v="0026"/>
    <n v="990"/>
    <s v="Agencia Información"/>
    <s v="Educación"/>
    <n v="7"/>
    <x v="1"/>
    <x v="1"/>
    <x v="1"/>
    <x v="7"/>
    <x v="2"/>
    <x v="1"/>
    <s v="Periodo 2001-2020"/>
    <s v="Porcentaje (%)"/>
    <s v="Sistema Nacional de Información Municipal"/>
    <s v="Proporción de Alumnos de 4to Medio con más de 450 puntos en la PSU según dependencia de colegios"/>
    <m/>
    <s v="Gráfico Evolución"/>
    <s v="Región de Maule,Educacion,Municipal,PSU,Alumnos,Calidad Educacion,Colegios Municipales"/>
    <s v="PENDIENTE"/>
    <x v="1"/>
    <s v="#1774B9"/>
  </r>
  <r>
    <s v="0027"/>
    <n v="990"/>
    <s v="Agencia Información"/>
    <s v="Educación"/>
    <n v="8"/>
    <x v="1"/>
    <x v="1"/>
    <x v="1"/>
    <x v="8"/>
    <x v="2"/>
    <x v="1"/>
    <s v="Periodo 2001-2020"/>
    <s v="Porcentaje (%)"/>
    <s v="Sistema Nacional de Información Municipal"/>
    <s v="Proporción de Alumnos de 4to Medio con más de 450 puntos en la PSU según dependencia de colegios"/>
    <m/>
    <s v="Gráfico Evolución"/>
    <s v="Región del Biobío,Educacion,Municipal,PSU,Alumnos,Calidad Educacion,Colegios Municipales"/>
    <s v="PENDIENTE"/>
    <x v="1"/>
    <s v="#1774B9"/>
  </r>
  <r>
    <s v="0028"/>
    <n v="990"/>
    <s v="Agencia Información"/>
    <s v="Educación"/>
    <n v="9"/>
    <x v="1"/>
    <x v="1"/>
    <x v="1"/>
    <x v="9"/>
    <x v="2"/>
    <x v="1"/>
    <s v="Periodo 2001-2020"/>
    <s v="Porcentaje (%)"/>
    <s v="Sistema Nacional de Información Municipal"/>
    <s v="Proporción de Alumnos de 4to Medio con más de 450 puntos en la PSU según dependencia de colegios"/>
    <m/>
    <s v="Gráfico Evolución"/>
    <s v="Región de La Araucanía,Educacion,Municipal,PSU,Alumnos,Calidad Educacion,Colegios Municipales"/>
    <s v="PENDIENTE"/>
    <x v="1"/>
    <s v="#1774B9"/>
  </r>
  <r>
    <s v="0029"/>
    <n v="990"/>
    <s v="Agencia Información"/>
    <s v="Educación"/>
    <n v="10"/>
    <x v="1"/>
    <x v="1"/>
    <x v="1"/>
    <x v="10"/>
    <x v="2"/>
    <x v="1"/>
    <s v="Periodo 2001-2020"/>
    <s v="Porcentaje (%)"/>
    <s v="Sistema Nacional de Información Municipal"/>
    <s v="Proporción de Alumnos de 4to Medio con más de 450 puntos en la PSU según dependencia de colegios"/>
    <m/>
    <s v="Gráfico Evolución"/>
    <s v="Región de Los Lagos,Educacion,Municipal,PSU,Alumnos,Calidad Educacion,Colegios Municipales"/>
    <s v="PENDIENTE"/>
    <x v="1"/>
    <s v="#1774B9"/>
  </r>
  <r>
    <s v="0030"/>
    <n v="990"/>
    <s v="Agencia Información"/>
    <s v="Educación"/>
    <n v="11"/>
    <x v="1"/>
    <x v="1"/>
    <x v="1"/>
    <x v="11"/>
    <x v="2"/>
    <x v="1"/>
    <s v="Periodo 2001-2020"/>
    <s v="Porcentaje (%)"/>
    <s v="Sistema Nacional de Información Municipal"/>
    <s v="Proporción de Alumnos de 4to Medio con más de 450 puntos en la PSU según dependencia de colegios"/>
    <m/>
    <s v="Gráfico Evolución"/>
    <s v="Región de Aysén,Educacion,Municipal,PSU,Alumnos,Calidad Educacion,Colegios Municipales"/>
    <s v="PENDIENTE"/>
    <x v="1"/>
    <s v="#1774B9"/>
  </r>
  <r>
    <s v="0031"/>
    <n v="990"/>
    <s v="Agencia Información"/>
    <s v="Educación"/>
    <n v="12"/>
    <x v="1"/>
    <x v="1"/>
    <x v="1"/>
    <x v="12"/>
    <x v="2"/>
    <x v="1"/>
    <s v="Periodo 2001-2020"/>
    <s v="Porcentaje (%)"/>
    <s v="Sistema Nacional de Información Municipal"/>
    <s v="Proporción de Alumnos de 4to Medio con más de 450 puntos en la PSU según dependencia de colegios"/>
    <m/>
    <s v="Gráfico Evolución"/>
    <s v="Región de Magallanes,Educacion,Municipal,PSU,Alumnos,Calidad Educacion,Colegios Municipales"/>
    <s v="PENDIENTE"/>
    <x v="1"/>
    <s v="#1774B9"/>
  </r>
  <r>
    <s v="0032"/>
    <n v="990"/>
    <s v="Agencia Información"/>
    <s v="Educación"/>
    <n v="13"/>
    <x v="1"/>
    <x v="1"/>
    <x v="1"/>
    <x v="13"/>
    <x v="2"/>
    <x v="1"/>
    <s v="Periodo 2001-2020"/>
    <s v="Porcentaje (%)"/>
    <s v="Sistema Nacional de Información Municipal"/>
    <s v="Proporción de Alumnos de 4to Medio con más de 450 puntos en la PSU según dependencia de colegios"/>
    <m/>
    <s v="Gráfico Evolución"/>
    <s v="Región Metropolitana,Educacion,Municipal,PSU,Alumnos,Calidad Educacion,Colegios Municipales"/>
    <s v="PENDIENTE"/>
    <x v="1"/>
    <s v="#1774B9"/>
  </r>
  <r>
    <s v="0033"/>
    <n v="990"/>
    <s v="Agencia Información"/>
    <s v="Educación"/>
    <n v="14"/>
    <x v="1"/>
    <x v="1"/>
    <x v="1"/>
    <x v="14"/>
    <x v="2"/>
    <x v="1"/>
    <s v="Periodo 2001-2020"/>
    <s v="Porcentaje (%)"/>
    <s v="Sistema Nacional de Información Municipal"/>
    <s v="Proporción de Alumnos de 4to Medio con más de 450 puntos en la PSU según dependencia de colegios"/>
    <m/>
    <s v="Gráfico Evolución"/>
    <s v="Región de Los Ríos,Educacion,Municipal,PSU,Alumnos,Calidad Educacion,Colegios Municipales"/>
    <s v="PENDIENTE"/>
    <x v="1"/>
    <s v="#1774B9"/>
  </r>
  <r>
    <s v="0034"/>
    <n v="990"/>
    <s v="Agencia Información"/>
    <s v="Educación"/>
    <n v="15"/>
    <x v="1"/>
    <x v="1"/>
    <x v="1"/>
    <x v="15"/>
    <x v="2"/>
    <x v="1"/>
    <s v="Periodo 2001-2020"/>
    <s v="Porcentaje (%)"/>
    <s v="Sistema Nacional de Información Municipal"/>
    <s v="Proporción de Alumnos de 4to Medio con más de 450 puntos en la PSU según dependencia de colegios"/>
    <m/>
    <s v="Gráfico Evolución"/>
    <s v="Región de Arica y Parinacota,Educacion,Municipal,PSU,Alumnos,Calidad Educacion,Colegios Municipales"/>
    <s v="PENDIENTE"/>
    <x v="1"/>
    <s v="#1774B9"/>
  </r>
  <r>
    <s v="0035"/>
    <n v="990"/>
    <s v="Agencia Información"/>
    <s v="Educación"/>
    <n v="16"/>
    <x v="1"/>
    <x v="1"/>
    <x v="1"/>
    <x v="16"/>
    <x v="2"/>
    <x v="1"/>
    <s v="Periodo 2001-2020"/>
    <s v="Porcentaje (%)"/>
    <s v="Sistema Nacional de Información Municipal"/>
    <s v="Proporción de Alumnos de 4to Medio con más de 450 puntos en la PSU según dependencia de colegios"/>
    <m/>
    <s v="Gráfico Evolución"/>
    <s v="Región de Ñuble,Educacion,Municipal,PSU,Alumnos,Calidad Educacion,Colegios Municipales"/>
    <s v="PENDIENTE"/>
    <x v="1"/>
    <s v="#1774B9"/>
  </r>
  <r>
    <s v="0036"/>
    <n v="990"/>
    <s v="Agencia Información"/>
    <s v="Mujeres"/>
    <n v="0"/>
    <x v="2"/>
    <x v="2"/>
    <x v="0"/>
    <x v="0"/>
    <x v="2"/>
    <x v="2"/>
    <s v="Año 2020"/>
    <s v="Número de Denuncias"/>
    <s v="Centro de Estudios y Análisis del Delito (CEAD) de la Subsecretaría de Prevención del Delito"/>
    <s v="Distribución comunal de denuncias por violación en Chile en el Año 2020"/>
    <m/>
    <s v="Gráfico  "/>
    <s v="Chile,comunas,violencia,mujer,violacion,denuncias"/>
    <s v="PENDIENTE"/>
    <x v="1"/>
    <s v="#1774B9"/>
  </r>
  <r>
    <s v="0037"/>
    <n v="990"/>
    <s v="Agencia Información"/>
    <s v="Mujeres"/>
    <n v="1"/>
    <x v="2"/>
    <x v="2"/>
    <x v="1"/>
    <x v="1"/>
    <x v="2"/>
    <x v="2"/>
    <s v="Año 2020"/>
    <s v="Número de Denuncias"/>
    <s v="Centro de Estudios y Análisis del Delito (CEAD) de la Subsecretaría de Prevención del Delito"/>
    <s v="Distribución comunal de denuncias por violación en la Región de Tarapacá en el Año 2020"/>
    <m/>
    <s v="Gráfico  "/>
    <s v="Región de Tarapacá,comunas,violencia,mujer,violacion,denuncias"/>
    <s v="PENDIENTE"/>
    <x v="1"/>
    <s v="#1774B9"/>
  </r>
  <r>
    <s v="0038"/>
    <n v="990"/>
    <s v="Agencia Información"/>
    <s v="Mujeres"/>
    <n v="2"/>
    <x v="2"/>
    <x v="2"/>
    <x v="1"/>
    <x v="2"/>
    <x v="2"/>
    <x v="2"/>
    <s v="Año 2020"/>
    <s v="Número de Denuncias"/>
    <s v="Centro de Estudios y Análisis del Delito (CEAD) de la Subsecretaría de Prevención del Delito"/>
    <s v="Distribución comunal de denuncias por violación en la Región de Antofagasta en el Año 2020"/>
    <m/>
    <s v="Gráfico  "/>
    <s v="Región de Antofagasta,comunas,violencia,mujer,violacion,denuncias"/>
    <s v="PENDIENTE"/>
    <x v="1"/>
    <s v="#1774B9"/>
  </r>
  <r>
    <s v="0039"/>
    <n v="990"/>
    <s v="Agencia Información"/>
    <s v="Mujeres"/>
    <n v="3"/>
    <x v="2"/>
    <x v="2"/>
    <x v="1"/>
    <x v="3"/>
    <x v="2"/>
    <x v="2"/>
    <s v="Año 2020"/>
    <s v="Número de Denuncias"/>
    <s v="Centro de Estudios y Análisis del Delito (CEAD) de la Subsecretaría de Prevención del Delito"/>
    <s v="Distribución comunal de denuncias por violación en la Región de Atacama en el Año 2020"/>
    <m/>
    <s v="Gráfico  "/>
    <s v="Región de Atacama,comunas,violencia,mujer,violacion,denuncias"/>
    <s v="PENDIENTE"/>
    <x v="1"/>
    <s v="#1774B9"/>
  </r>
  <r>
    <s v="0040"/>
    <n v="990"/>
    <s v="Agencia Información"/>
    <s v="Mujeres"/>
    <n v="4"/>
    <x v="2"/>
    <x v="2"/>
    <x v="1"/>
    <x v="4"/>
    <x v="2"/>
    <x v="2"/>
    <s v="Año 2020"/>
    <s v="Número de Denuncias"/>
    <s v="Centro de Estudios y Análisis del Delito (CEAD) de la Subsecretaría de Prevención del Delito"/>
    <s v="Distribución comunal de denuncias por violación en la Región de Coquimbo en el Año 2020"/>
    <m/>
    <s v="Gráfico  "/>
    <s v="Región de Coquimbo,comunas,violencia,mujer,violacion,denuncias"/>
    <s v="PENDIENTE"/>
    <x v="1"/>
    <s v="#1774B9"/>
  </r>
  <r>
    <s v="0041"/>
    <n v="990"/>
    <s v="Agencia Información"/>
    <s v="Mujeres"/>
    <n v="5"/>
    <x v="2"/>
    <x v="2"/>
    <x v="1"/>
    <x v="5"/>
    <x v="2"/>
    <x v="2"/>
    <s v="Año 2020"/>
    <s v="Número de Denuncias"/>
    <s v="Centro de Estudios y Análisis del Delito (CEAD) de la Subsecretaría de Prevención del Delito"/>
    <s v="Distribución comunal de denuncias por violación en la Región de Valparaíso en el Año 2020"/>
    <m/>
    <s v="Gráfico  "/>
    <s v="Región de Valparaíso,comunas,violencia,mujer,violacion,denuncias"/>
    <s v="PENDIENTE"/>
    <x v="1"/>
    <s v="#1774B9"/>
  </r>
  <r>
    <s v="0042"/>
    <n v="990"/>
    <s v="Agencia Información"/>
    <s v="Mujeres"/>
    <n v="6"/>
    <x v="2"/>
    <x v="2"/>
    <x v="1"/>
    <x v="6"/>
    <x v="2"/>
    <x v="2"/>
    <s v="Año 2020"/>
    <s v="Número de Denuncias"/>
    <s v="Centro de Estudios y Análisis del Delito (CEAD) de la Subsecretaría de Prevención del Delito"/>
    <s v="Distribución comunal de denuncias por violación en la Región de O'Higgins en el Año 2020"/>
    <m/>
    <s v="Gráfico  "/>
    <s v="Región de O'Higgins,comunas,violencia,mujer,violacion,denuncias"/>
    <s v="PENDIENTE"/>
    <x v="1"/>
    <s v="#1774B9"/>
  </r>
  <r>
    <s v="0043"/>
    <n v="990"/>
    <s v="Agencia Información"/>
    <s v="Mujeres"/>
    <n v="7"/>
    <x v="2"/>
    <x v="2"/>
    <x v="1"/>
    <x v="7"/>
    <x v="2"/>
    <x v="2"/>
    <s v="Año 2020"/>
    <s v="Número de Denuncias"/>
    <s v="Centro de Estudios y Análisis del Delito (CEAD) de la Subsecretaría de Prevención del Delito"/>
    <s v="Distribución comunal de denuncias por violación en la Región de Maule en el Año 2020"/>
    <m/>
    <s v="Gráfico  "/>
    <s v="Región de Maule,comunas,violencia,mujer,violacion,denuncias"/>
    <s v="PENDIENTE"/>
    <x v="1"/>
    <s v="#1774B9"/>
  </r>
  <r>
    <s v="0044"/>
    <n v="990"/>
    <s v="Agencia Información"/>
    <s v="Mujeres"/>
    <n v="8"/>
    <x v="2"/>
    <x v="2"/>
    <x v="1"/>
    <x v="8"/>
    <x v="2"/>
    <x v="2"/>
    <s v="Año 2020"/>
    <s v="Número de Denuncias"/>
    <s v="Centro de Estudios y Análisis del Delito (CEAD) de la Subsecretaría de Prevención del Delito"/>
    <s v="Distribución comunal de denuncias por violación en la Región del Biobío en el Año 2020"/>
    <m/>
    <s v="Gráfico  "/>
    <s v="Región del Biobío,comunas,violencia,mujer,violacion,denuncias"/>
    <s v="PENDIENTE"/>
    <x v="1"/>
    <s v="#1774B9"/>
  </r>
  <r>
    <s v="0045"/>
    <n v="990"/>
    <s v="Agencia Información"/>
    <s v="Mujeres"/>
    <n v="9"/>
    <x v="2"/>
    <x v="2"/>
    <x v="1"/>
    <x v="9"/>
    <x v="2"/>
    <x v="2"/>
    <s v="Año 2020"/>
    <s v="Número de Denuncias"/>
    <s v="Centro de Estudios y Análisis del Delito (CEAD) de la Subsecretaría de Prevención del Delito"/>
    <s v="Distribución comunal de denuncias por violación en la Región de La Araucanía en el Año 2020"/>
    <m/>
    <s v="Gráfico  "/>
    <s v="Región de La Araucanía,comunas,violencia,mujer,violacion,denuncias"/>
    <s v="PENDIENTE"/>
    <x v="1"/>
    <s v="#1774B9"/>
  </r>
  <r>
    <s v="0046"/>
    <n v="990"/>
    <s v="Agencia Información"/>
    <s v="Mujeres"/>
    <n v="10"/>
    <x v="2"/>
    <x v="2"/>
    <x v="1"/>
    <x v="10"/>
    <x v="2"/>
    <x v="2"/>
    <s v="Año 2020"/>
    <s v="Número de Denuncias"/>
    <s v="Centro de Estudios y Análisis del Delito (CEAD) de la Subsecretaría de Prevención del Delito"/>
    <s v="Distribución comunal de denuncias por violación en la Región de Los Lagos en el Año 2020"/>
    <m/>
    <s v="Gráfico  "/>
    <s v="Región de Los Lagos,comunas,violencia,mujer,violacion,denuncias"/>
    <s v="PENDIENTE"/>
    <x v="1"/>
    <s v="#1774B9"/>
  </r>
  <r>
    <s v="0047"/>
    <n v="990"/>
    <s v="Agencia Información"/>
    <s v="Mujeres"/>
    <n v="11"/>
    <x v="2"/>
    <x v="2"/>
    <x v="1"/>
    <x v="11"/>
    <x v="2"/>
    <x v="2"/>
    <s v="Año 2020"/>
    <s v="Número de Denuncias"/>
    <s v="Centro de Estudios y Análisis del Delito (CEAD) de la Subsecretaría de Prevención del Delito"/>
    <s v="Distribución comunal de denuncias por violación en la Región de Aysén en el Año 2020"/>
    <m/>
    <s v="Gráfico  "/>
    <s v="Región de Aysén,comunas,violencia,mujer,violacion,denuncias"/>
    <s v="PENDIENTE"/>
    <x v="1"/>
    <s v="#1774B9"/>
  </r>
  <r>
    <s v="0048"/>
    <n v="990"/>
    <s v="Agencia Información"/>
    <s v="Mujeres"/>
    <n v="12"/>
    <x v="2"/>
    <x v="2"/>
    <x v="1"/>
    <x v="12"/>
    <x v="2"/>
    <x v="2"/>
    <s v="Año 2020"/>
    <s v="Número de Denuncias"/>
    <s v="Centro de Estudios y Análisis del Delito (CEAD) de la Subsecretaría de Prevención del Delito"/>
    <s v="Distribución comunal de denuncias por violación en la Región de Magallanes en el Año 2020"/>
    <m/>
    <s v="Gráfico  "/>
    <s v="Región de Magallanes,comunas,violencia,mujer,violacion,denuncias"/>
    <s v="PENDIENTE"/>
    <x v="1"/>
    <s v="#1774B9"/>
  </r>
  <r>
    <s v="0049"/>
    <n v="990"/>
    <s v="Agencia Información"/>
    <s v="Mujeres"/>
    <n v="13"/>
    <x v="2"/>
    <x v="2"/>
    <x v="1"/>
    <x v="13"/>
    <x v="2"/>
    <x v="2"/>
    <s v="Año 2020"/>
    <s v="Número de Denuncias"/>
    <s v="Centro de Estudios y Análisis del Delito (CEAD) de la Subsecretaría de Prevención del Delito"/>
    <s v="Distribución comunal de denuncias por violación en la Región Metropolitana en el Año 2020"/>
    <s v="Las comunas más pobladas de la región Metropolitana son las que presentan mayores frecuencias de denuncias por violación el año 2020. Puente Alto, La Florida, San Bernardo, Maipú y Santiago muestran las mayores cifras de denuncias."/>
    <s v="Gráfico  "/>
    <s v="Región Metropolitana,comunas,violencia,mujer,violacion,denuncias"/>
    <s v="https://analytics.zoho.com/open-view/2395394000006789748?ZOHO_CRITERIA=%22Localiza%20CL%22.%22Codreg%22%3D13"/>
    <x v="1"/>
    <s v="#1774B9"/>
  </r>
  <r>
    <s v="0050"/>
    <n v="990"/>
    <s v="Agencia Información"/>
    <s v="Mujeres"/>
    <n v="14"/>
    <x v="2"/>
    <x v="2"/>
    <x v="1"/>
    <x v="14"/>
    <x v="2"/>
    <x v="2"/>
    <s v="Año 2020"/>
    <s v="Número de Denuncias"/>
    <s v="Centro de Estudios y Análisis del Delito (CEAD) de la Subsecretaría de Prevención del Delito"/>
    <s v="Distribución comunal de denuncias por violación en la Región de Los Ríos en el Año 2020"/>
    <m/>
    <s v="Gráfico  "/>
    <s v="Región de Los Ríos,comunas,violencia,mujer,violacion,denuncias"/>
    <s v="PENDIENTE"/>
    <x v="1"/>
    <s v="#1774B9"/>
  </r>
  <r>
    <s v="0051"/>
    <n v="990"/>
    <s v="Agencia Información"/>
    <s v="Mujeres"/>
    <n v="15"/>
    <x v="2"/>
    <x v="2"/>
    <x v="1"/>
    <x v="15"/>
    <x v="2"/>
    <x v="2"/>
    <s v="Año 2020"/>
    <s v="Número de Denuncias"/>
    <s v="Centro de Estudios y Análisis del Delito (CEAD) de la Subsecretaría de Prevención del Delito"/>
    <s v="Distribución comunal de denuncias por violación en la Región de Arica y Parinacota en el Año 2020"/>
    <m/>
    <s v="Gráfico  "/>
    <s v="Región de Arica y Parinacota,comunas,violencia,mujer,violacion,denuncias"/>
    <s v="PENDIENTE"/>
    <x v="1"/>
    <s v="#1774B9"/>
  </r>
  <r>
    <s v="0052"/>
    <n v="990"/>
    <s v="Agencia Información"/>
    <s v="Mujeres"/>
    <n v="16"/>
    <x v="2"/>
    <x v="2"/>
    <x v="1"/>
    <x v="16"/>
    <x v="2"/>
    <x v="2"/>
    <s v="Año 2020"/>
    <s v="Número de Denuncias"/>
    <s v="Centro de Estudios y Análisis del Delito (CEAD) de la Subsecretaría de Prevención del Delito"/>
    <s v="Distribución comunal de denuncias por violación en la Región de Ñuble en el Año 2020"/>
    <m/>
    <s v="Gráfico  "/>
    <s v="Región de Ñuble,comunas,violencia,mujer,violacion,denuncias"/>
    <s v="PENDIENTE"/>
    <x v="1"/>
    <s v="#1774B9"/>
  </r>
  <r>
    <s v="0053"/>
    <n v="990"/>
    <s v="Agencia Información"/>
    <s v="Socioeconómico"/>
    <n v="0"/>
    <x v="3"/>
    <x v="0"/>
    <x v="0"/>
    <x v="0"/>
    <x v="2"/>
    <x v="3"/>
    <s v="POR DEFINIR"/>
    <s v="CLP/mes"/>
    <s v="CASEN 2017"/>
    <s v="Ingresos promedios mensuales en Chile en el POR DEFINIR"/>
    <s v="La población de la etnia Mapuche se distribuye en las 16 regiones del país en distintas proporciones. Las regiones donde las personas de este grupo étnico logran mayores ingresos mensuales, en promedio, son la de Arica y Parinacota y Magallanes."/>
    <s v="Gráfico  "/>
    <s v="Chile,CASEN,ingresos,promedio,etnia,comuna"/>
    <s v="https://analytics.zoho.com/open-view/2395394000007718948"/>
    <x v="1"/>
    <s v="#1774B9"/>
  </r>
  <r>
    <s v="0054"/>
    <n v="990"/>
    <s v="Agencia Información"/>
    <s v="Socioeconómico"/>
    <n v="1"/>
    <x v="3"/>
    <x v="0"/>
    <x v="1"/>
    <x v="1"/>
    <x v="2"/>
    <x v="3"/>
    <s v="POR DEFINIR"/>
    <s v="CLP/mes"/>
    <s v="CASEN 2017"/>
    <s v="Ingresos promedios mensuales en Región de Tarapacá en el POR DEFINIR"/>
    <m/>
    <s v="Gráfico  "/>
    <s v="Región de Tarapacá,CASEN,ingresos,promedio,etnia,comuna"/>
    <s v="PENDIENTE"/>
    <x v="1"/>
    <s v="#1774B9"/>
  </r>
  <r>
    <s v="0055"/>
    <n v="990"/>
    <s v="Agencia Información"/>
    <s v="Socioeconómico"/>
    <n v="2"/>
    <x v="3"/>
    <x v="0"/>
    <x v="1"/>
    <x v="2"/>
    <x v="2"/>
    <x v="3"/>
    <s v="POR DEFINIR"/>
    <s v="CLP/mes"/>
    <s v="CASEN 2017"/>
    <s v="Ingresos promedios mensuales en Región de Antofagasta en el POR DEFINIR"/>
    <m/>
    <s v="Gráfico  "/>
    <s v="Región de Antofagasta,CASEN,ingresos,promedio,etnia,comuna"/>
    <s v="PENDIENTE"/>
    <x v="1"/>
    <s v="#1774B9"/>
  </r>
  <r>
    <s v="0056"/>
    <n v="990"/>
    <s v="Agencia Información"/>
    <s v="Socioeconómico"/>
    <n v="3"/>
    <x v="3"/>
    <x v="0"/>
    <x v="1"/>
    <x v="3"/>
    <x v="2"/>
    <x v="3"/>
    <s v="POR DEFINIR"/>
    <s v="CLP/mes"/>
    <s v="CASEN 2017"/>
    <s v="Ingresos promedios mensuales en Región de Atacama en el POR DEFINIR"/>
    <m/>
    <s v="Gráfico  "/>
    <s v="Región de Atacama,CASEN,ingresos,promedio,etnia,comuna"/>
    <s v="PENDIENTE"/>
    <x v="1"/>
    <s v="#1774B9"/>
  </r>
  <r>
    <s v="0057"/>
    <n v="990"/>
    <s v="Agencia Información"/>
    <s v="Socioeconómico"/>
    <n v="4"/>
    <x v="3"/>
    <x v="0"/>
    <x v="1"/>
    <x v="4"/>
    <x v="2"/>
    <x v="3"/>
    <s v="POR DEFINIR"/>
    <s v="CLP/mes"/>
    <s v="CASEN 2017"/>
    <s v="Ingresos promedios mensuales en Región de Coquimbo en el POR DEFINIR"/>
    <m/>
    <s v="Gráfico  "/>
    <s v="Región de Coquimbo,CASEN,ingresos,promedio,etnia,comuna"/>
    <s v="PENDIENTE"/>
    <x v="1"/>
    <s v="#1774B9"/>
  </r>
  <r>
    <s v="0058"/>
    <n v="990"/>
    <s v="Agencia Información"/>
    <s v="Socioeconómico"/>
    <n v="5"/>
    <x v="3"/>
    <x v="0"/>
    <x v="1"/>
    <x v="5"/>
    <x v="2"/>
    <x v="3"/>
    <s v="POR DEFINIR"/>
    <s v="CLP/mes"/>
    <s v="CASEN 2017"/>
    <s v="Ingresos promedios mensuales en Región de Valparaíso en el POR DEFINIR"/>
    <m/>
    <s v="Gráfico  "/>
    <s v="Región de Valparaíso,CASEN,ingresos,promedio,etnia,comuna"/>
    <s v="PENDIENTE"/>
    <x v="1"/>
    <s v="#1774B9"/>
  </r>
  <r>
    <s v="0059"/>
    <n v="990"/>
    <s v="Agencia Información"/>
    <s v="Socioeconómico"/>
    <n v="6"/>
    <x v="3"/>
    <x v="0"/>
    <x v="1"/>
    <x v="6"/>
    <x v="2"/>
    <x v="3"/>
    <s v="POR DEFINIR"/>
    <s v="CLP/mes"/>
    <s v="CASEN 2017"/>
    <s v="Ingresos promedios mensuales en Región de O'Higgins en el POR DEFINIR"/>
    <m/>
    <s v="Gráfico  "/>
    <s v="Región de O'Higgins,CASEN,ingresos,promedio,etnia,comuna"/>
    <s v="PENDIENTE"/>
    <x v="1"/>
    <s v="#1774B9"/>
  </r>
  <r>
    <s v="0060"/>
    <n v="990"/>
    <s v="Agencia Información"/>
    <s v="Socioeconómico"/>
    <n v="7"/>
    <x v="3"/>
    <x v="0"/>
    <x v="1"/>
    <x v="7"/>
    <x v="2"/>
    <x v="3"/>
    <s v="POR DEFINIR"/>
    <s v="CLP/mes"/>
    <s v="CASEN 2017"/>
    <s v="Ingresos promedios mensuales en Región de Maule en el POR DEFINIR"/>
    <m/>
    <s v="Gráfico  "/>
    <s v="Región de Maule,CASEN,ingresos,promedio,etnia,comuna"/>
    <s v="PENDIENTE"/>
    <x v="1"/>
    <s v="#1774B9"/>
  </r>
  <r>
    <s v="0061"/>
    <n v="990"/>
    <s v="Agencia Información"/>
    <s v="Socioeconómico"/>
    <n v="8"/>
    <x v="3"/>
    <x v="0"/>
    <x v="1"/>
    <x v="8"/>
    <x v="2"/>
    <x v="3"/>
    <s v="POR DEFINIR"/>
    <s v="CLP/mes"/>
    <s v="CASEN 2017"/>
    <s v="Ingresos promedios mensuales en Región del Biobío en el POR DEFINIR"/>
    <m/>
    <s v="Gráfico  "/>
    <s v="Región del Biobío,CASEN,ingresos,promedio,etnia,comuna"/>
    <s v="PENDIENTE"/>
    <x v="1"/>
    <s v="#1774B9"/>
  </r>
  <r>
    <s v="0062"/>
    <n v="990"/>
    <s v="Agencia Información"/>
    <s v="Socioeconómico"/>
    <n v="9"/>
    <x v="3"/>
    <x v="0"/>
    <x v="1"/>
    <x v="9"/>
    <x v="2"/>
    <x v="3"/>
    <s v="POR DEFINIR"/>
    <s v="CLP/mes"/>
    <s v="CASEN 2017"/>
    <s v="Ingresos promedios mensuales en Región de La Araucanía en el POR DEFINIR"/>
    <m/>
    <s v="Gráfico  "/>
    <s v="Región de La Araucanía,CASEN,ingresos,promedio,etnia,comuna"/>
    <s v="PENDIENTE"/>
    <x v="1"/>
    <s v="#1774B9"/>
  </r>
  <r>
    <s v="0063"/>
    <n v="990"/>
    <s v="Agencia Información"/>
    <s v="Socioeconómico"/>
    <n v="10"/>
    <x v="3"/>
    <x v="0"/>
    <x v="1"/>
    <x v="10"/>
    <x v="2"/>
    <x v="3"/>
    <s v="POR DEFINIR"/>
    <s v="CLP/mes"/>
    <s v="CASEN 2017"/>
    <s v="Ingresos promedios mensuales en Región de Los Lagos en el POR DEFINIR"/>
    <m/>
    <s v="Gráfico  "/>
    <s v="Región de Los Lagos,CASEN,ingresos,promedio,etnia,comuna"/>
    <s v="PENDIENTE"/>
    <x v="1"/>
    <s v="#1774B9"/>
  </r>
  <r>
    <s v="0064"/>
    <n v="990"/>
    <s v="Agencia Información"/>
    <s v="Socioeconómico"/>
    <n v="11"/>
    <x v="3"/>
    <x v="0"/>
    <x v="1"/>
    <x v="11"/>
    <x v="2"/>
    <x v="3"/>
    <s v="POR DEFINIR"/>
    <s v="CLP/mes"/>
    <s v="CASEN 2017"/>
    <s v="Ingresos promedios mensuales en Región de Aysén en el POR DEFINIR"/>
    <m/>
    <s v="Gráfico  "/>
    <s v="Región de Aysén,CASEN,ingresos,promedio,etnia,comuna"/>
    <s v="PENDIENTE"/>
    <x v="1"/>
    <s v="#1774B9"/>
  </r>
  <r>
    <s v="0065"/>
    <n v="990"/>
    <s v="Agencia Información"/>
    <s v="Socioeconómico"/>
    <n v="12"/>
    <x v="3"/>
    <x v="0"/>
    <x v="1"/>
    <x v="12"/>
    <x v="2"/>
    <x v="3"/>
    <s v="POR DEFINIR"/>
    <s v="CLP/mes"/>
    <s v="CASEN 2017"/>
    <s v="Ingresos promedios mensuales en Región de Magallanes en el POR DEFINIR"/>
    <m/>
    <s v="Gráfico  "/>
    <s v="Región de Magallanes,CASEN,ingresos,promedio,etnia,comuna"/>
    <s v="PENDIENTE"/>
    <x v="1"/>
    <s v="#1774B9"/>
  </r>
  <r>
    <s v="0066"/>
    <n v="990"/>
    <s v="Agencia Información"/>
    <s v="Socioeconómico"/>
    <n v="13"/>
    <x v="3"/>
    <x v="0"/>
    <x v="1"/>
    <x v="13"/>
    <x v="2"/>
    <x v="3"/>
    <s v="POR DEFINIR"/>
    <s v="CLP/mes"/>
    <s v="CASEN 2017"/>
    <s v="Ingresos promedios mensuales en Región Metropolitana en el POR DEFINIR"/>
    <m/>
    <s v="Gráfico  "/>
    <s v="Región Metropolitana,CASEN,ingresos,promedio,etnia,comuna"/>
    <s v="PENDIENTE"/>
    <x v="1"/>
    <s v="#1774B9"/>
  </r>
  <r>
    <s v="0067"/>
    <n v="990"/>
    <s v="Agencia Información"/>
    <s v="Socioeconómico"/>
    <n v="14"/>
    <x v="3"/>
    <x v="0"/>
    <x v="1"/>
    <x v="14"/>
    <x v="2"/>
    <x v="3"/>
    <s v="POR DEFINIR"/>
    <s v="CLP/mes"/>
    <s v="CASEN 2017"/>
    <s v="Ingresos promedios mensuales en Región de Los Ríos en el POR DEFINIR"/>
    <m/>
    <s v="Gráfico  "/>
    <s v="Región de Los Ríos,CASEN,ingresos,promedio,etnia,comuna"/>
    <s v="PENDIENTE"/>
    <x v="1"/>
    <s v="#1774B9"/>
  </r>
  <r>
    <s v="0068"/>
    <n v="990"/>
    <s v="Agencia Información"/>
    <s v="Socioeconómico"/>
    <n v="15"/>
    <x v="3"/>
    <x v="0"/>
    <x v="1"/>
    <x v="15"/>
    <x v="2"/>
    <x v="3"/>
    <s v="POR DEFINIR"/>
    <s v="CLP/mes"/>
    <s v="CASEN 2017"/>
    <s v="Ingresos promedios mensuales en Región de Arica y Parinacota en el POR DEFINIR"/>
    <m/>
    <s v="Gráfico  "/>
    <s v="Región de Arica y Parinacota,CASEN,ingresos,promedio,etnia,comuna"/>
    <s v="PENDIENTE"/>
    <x v="1"/>
    <s v="#1774B9"/>
  </r>
  <r>
    <s v="0069"/>
    <n v="990"/>
    <s v="Agencia Información"/>
    <s v="Socioeconómico"/>
    <n v="16"/>
    <x v="3"/>
    <x v="0"/>
    <x v="1"/>
    <x v="16"/>
    <x v="2"/>
    <x v="3"/>
    <s v="POR DEFINIR"/>
    <s v="CLP/mes"/>
    <s v="CASEN 2017"/>
    <s v="Ingresos promedios mensuales en Región de Ñuble en el POR DEFINIR"/>
    <m/>
    <s v="Gráfico  "/>
    <s v="Región de Ñuble,CASEN,ingresos,promedio,etnia,comuna"/>
    <s v="PENDIENTE"/>
    <x v="1"/>
    <s v="#1774B9"/>
  </r>
  <r>
    <s v="0070"/>
    <n v="990"/>
    <s v="Agencia Información"/>
    <s v="Socioeconómico"/>
    <n v="0"/>
    <x v="4"/>
    <x v="0"/>
    <x v="0"/>
    <x v="0"/>
    <x v="2"/>
    <x v="3"/>
    <s v="Año 2017"/>
    <s v="CLP/mes"/>
    <s v="CASEN 2017"/>
    <s v="Mapa Regional de Ingresos Promedio Mensuales (CLP/mes) para la población de Chile autodefinida de Etnia Mapuche en el Año 2017"/>
    <s v="La población de la etnia Mapuche se distribuye en las 16 regiones del país en distintas proporciones. Las regiones donde las personas de este grupo étnico logran mayores ingresos mensuales, en promedio, son la de Arica y Parinacota y Magallanes."/>
    <s v="Gráfico  "/>
    <s v="Chile,CASEN,ingresos,promedio,etnia,comuna"/>
    <s v="PENDIENTE"/>
    <x v="1"/>
    <s v="#1774B9"/>
  </r>
  <r>
    <s v="0071"/>
    <n v="990"/>
    <s v="Agencia Información"/>
    <s v="Socioeconómico"/>
    <n v="1"/>
    <x v="4"/>
    <x v="0"/>
    <x v="1"/>
    <x v="1"/>
    <x v="2"/>
    <x v="3"/>
    <s v="Año 2017"/>
    <s v="CLP/mes"/>
    <s v="CASEN 2017"/>
    <s v="Mapa Regional de Ingresos Promedio Mensuales (CLP/mes) para la población de la Región de Tarapacá autodefinida como Etnia Mapuche en el Año 2017"/>
    <m/>
    <s v="Gráfico  "/>
    <s v="Región de Tarapacá,CASEN,ingresos,promedio,etnia,comuna"/>
    <s v="PENDIENTE"/>
    <x v="1"/>
    <s v="#1774B9"/>
  </r>
  <r>
    <s v="0072"/>
    <n v="990"/>
    <s v="Agencia Información"/>
    <s v="Socioeconómico"/>
    <n v="2"/>
    <x v="4"/>
    <x v="0"/>
    <x v="1"/>
    <x v="2"/>
    <x v="2"/>
    <x v="3"/>
    <s v="Año 2017"/>
    <s v="CLP/mes"/>
    <s v="CASEN 2017"/>
    <s v="Mapa Regional de Ingresos Promedio Mensuales (CLP/mes) para la población de la Región de Antofagasta autodefinida como Etnia Mapuche en el Año 2017"/>
    <m/>
    <s v="Gráfico  "/>
    <s v="Región de Antofagasta,CASEN,ingresos,promedio,etnia,comuna"/>
    <s v="PENDIENTE"/>
    <x v="1"/>
    <s v="#1774B9"/>
  </r>
  <r>
    <s v="0073"/>
    <n v="990"/>
    <s v="Agencia Información"/>
    <s v="Socioeconómico"/>
    <n v="3"/>
    <x v="4"/>
    <x v="0"/>
    <x v="1"/>
    <x v="3"/>
    <x v="2"/>
    <x v="3"/>
    <s v="Año 2017"/>
    <s v="CLP/mes"/>
    <s v="CASEN 2017"/>
    <s v="Mapa Regional de Ingresos Promedio Mensuales (CLP/mes) para la población de la Región de Atacama autodefinida como Etnia Mapuche en el Año 2017"/>
    <m/>
    <s v="Gráfico  "/>
    <s v="Región de Atacama,CASEN,ingresos,promedio,etnia,comuna"/>
    <s v="PENDIENTE"/>
    <x v="1"/>
    <s v="#1774B9"/>
  </r>
  <r>
    <s v="0074"/>
    <n v="990"/>
    <s v="Agencia Información"/>
    <s v="Socioeconómico"/>
    <n v="4"/>
    <x v="4"/>
    <x v="0"/>
    <x v="1"/>
    <x v="4"/>
    <x v="2"/>
    <x v="3"/>
    <s v="Año 2017"/>
    <s v="CLP/mes"/>
    <s v="CASEN 2017"/>
    <s v="Mapa Regional de Ingresos Promedio Mensuales (CLP/mes) para la población de la Región de Coquimbo autodefinida como Etnia Mapuche en el Año 2017"/>
    <m/>
    <s v="Gráfico  "/>
    <s v="Región de Coquimbo,CASEN,ingresos,promedio,etnia,comuna"/>
    <s v="PENDIENTE"/>
    <x v="1"/>
    <s v="#1774B9"/>
  </r>
  <r>
    <s v="0075"/>
    <n v="990"/>
    <s v="Agencia Información"/>
    <s v="Socioeconómico"/>
    <n v="5"/>
    <x v="4"/>
    <x v="0"/>
    <x v="1"/>
    <x v="5"/>
    <x v="2"/>
    <x v="3"/>
    <s v="Año 2017"/>
    <s v="CLP/mes"/>
    <s v="CASEN 2017"/>
    <s v="Mapa Regional de Ingresos Promedio Mensuales (CLP/mes) para la población de la Región de Valparaíso autodefinida como Etnia Mapuche en el Año 2017"/>
    <m/>
    <s v="Gráfico  "/>
    <s v="Región de Valparaíso,CASEN,ingresos,promedio,etnia,comuna"/>
    <s v="PENDIENTE"/>
    <x v="1"/>
    <s v="#1774B9"/>
  </r>
  <r>
    <s v="0076"/>
    <n v="990"/>
    <s v="Agencia Información"/>
    <s v="Socioeconómico"/>
    <n v="6"/>
    <x v="4"/>
    <x v="0"/>
    <x v="1"/>
    <x v="6"/>
    <x v="2"/>
    <x v="3"/>
    <s v="Año 2017"/>
    <s v="CLP/mes"/>
    <s v="CASEN 2017"/>
    <s v="Mapa Regional de Ingresos Promedio Mensuales (CLP/mes) para la población de la Región de O'Higgins autodefinida como Etnia Mapuche en el Año 2017"/>
    <m/>
    <s v="Gráfico  "/>
    <s v="Región de O'Higgins,CASEN,ingresos,promedio,etnia,comuna"/>
    <s v="PENDIENTE"/>
    <x v="1"/>
    <s v="#1774B9"/>
  </r>
  <r>
    <s v="0077"/>
    <n v="990"/>
    <s v="Agencia Información"/>
    <s v="Socioeconómico"/>
    <n v="7"/>
    <x v="4"/>
    <x v="0"/>
    <x v="1"/>
    <x v="7"/>
    <x v="2"/>
    <x v="3"/>
    <s v="Año 2017"/>
    <s v="CLP/mes"/>
    <s v="CASEN 2017"/>
    <s v="Mapa Regional de Ingresos Promedio Mensuales (CLP/mes) para la población de la Región de Maule autodefinida como Etnia Mapuche en el Año 2017"/>
    <m/>
    <s v="Gráfico  "/>
    <s v="Región de Maule,CASEN,ingresos,promedio,etnia,comuna"/>
    <s v="PENDIENTE"/>
    <x v="1"/>
    <s v="#1774B9"/>
  </r>
  <r>
    <s v="0078"/>
    <n v="990"/>
    <s v="Agencia Información"/>
    <s v="Socioeconómico"/>
    <n v="8"/>
    <x v="4"/>
    <x v="0"/>
    <x v="1"/>
    <x v="8"/>
    <x v="2"/>
    <x v="3"/>
    <s v="Año 2017"/>
    <s v="CLP/mes"/>
    <s v="CASEN 2017"/>
    <s v="Mapa Regional de Ingresos Promedio Mensuales (CLP/mes) para la población de la Región del Biobío autodefinida como Etnia Mapuche en el Año 2017"/>
    <m/>
    <s v="Gráfico  "/>
    <s v="Región del Biobío,CASEN,ingresos,promedio,etnia,comuna"/>
    <s v="PENDIENTE"/>
    <x v="1"/>
    <s v="#1774B9"/>
  </r>
  <r>
    <s v="0079"/>
    <n v="990"/>
    <s v="Agencia Información"/>
    <s v="Socioeconómico"/>
    <n v="9"/>
    <x v="4"/>
    <x v="0"/>
    <x v="1"/>
    <x v="9"/>
    <x v="2"/>
    <x v="3"/>
    <s v="Año 2017"/>
    <s v="CLP/mes"/>
    <s v="CASEN 2017"/>
    <s v="Mapa Regional de Ingresos Promedio Mensuales (CLP/mes) para la población de la Región de La Araucanía autodefinida como Etnia Mapuche en el Año 2017"/>
    <m/>
    <s v="Gráfico  "/>
    <s v="Región de La Araucanía,CASEN,ingresos,promedio,etnia,comuna"/>
    <s v="PENDIENTE"/>
    <x v="1"/>
    <s v="#1774B9"/>
  </r>
  <r>
    <s v="0080"/>
    <n v="990"/>
    <s v="Agencia Información"/>
    <s v="Socioeconómico"/>
    <n v="10"/>
    <x v="4"/>
    <x v="0"/>
    <x v="1"/>
    <x v="10"/>
    <x v="2"/>
    <x v="3"/>
    <s v="Año 2017"/>
    <s v="CLP/mes"/>
    <s v="CASEN 2017"/>
    <s v="Mapa Regional de Ingresos Promedio Mensuales (CLP/mes) para la población de la Región de Los Lagos autodefinida como Etnia Mapuche en el Año 2017"/>
    <m/>
    <s v="Gráfico  "/>
    <s v="Región de Los Lagos,CASEN,ingresos,promedio,etnia,comuna"/>
    <s v="PENDIENTE"/>
    <x v="1"/>
    <s v="#1774B9"/>
  </r>
  <r>
    <s v="0081"/>
    <n v="990"/>
    <s v="Agencia Información"/>
    <s v="Socioeconómico"/>
    <n v="11"/>
    <x v="4"/>
    <x v="0"/>
    <x v="1"/>
    <x v="11"/>
    <x v="2"/>
    <x v="3"/>
    <s v="Año 2017"/>
    <s v="CLP/mes"/>
    <s v="CASEN 2017"/>
    <s v="Mapa Regional de Ingresos Promedio Mensuales (CLP/mes) para la población de la Región de Aysén autodefinida como Etnia Mapuche en el Año 2017"/>
    <m/>
    <s v="Gráfico  "/>
    <s v="Región de Aysén,CASEN,ingresos,promedio,etnia,comuna"/>
    <s v="PENDIENTE"/>
    <x v="1"/>
    <s v="#1774B9"/>
  </r>
  <r>
    <s v="0082"/>
    <n v="990"/>
    <s v="Agencia Información"/>
    <s v="Socioeconómico"/>
    <n v="12"/>
    <x v="4"/>
    <x v="0"/>
    <x v="1"/>
    <x v="12"/>
    <x v="2"/>
    <x v="3"/>
    <s v="Año 2017"/>
    <s v="CLP/mes"/>
    <s v="CASEN 2017"/>
    <s v="Mapa Regional de Ingresos Promedio Mensuales (CLP/mes) para la población de la Región de Magallanes autodefinida como Etnia Mapuche en el Año 2017"/>
    <m/>
    <s v="Gráfico  "/>
    <s v="Región de Magallanes,CASEN,ingresos,promedio,etnia,comuna"/>
    <s v="PENDIENTE"/>
    <x v="1"/>
    <s v="#1774B9"/>
  </r>
  <r>
    <s v="0083"/>
    <n v="990"/>
    <s v="Agencia Información"/>
    <s v="Socioeconómico"/>
    <n v="13"/>
    <x v="4"/>
    <x v="0"/>
    <x v="1"/>
    <x v="13"/>
    <x v="2"/>
    <x v="3"/>
    <s v="Año 2017"/>
    <s v="CLP/mes"/>
    <s v="CASEN 2017"/>
    <s v="Mapa Regional de Ingresos Promedio Mensuales (CLP/mes) para la población de la Región Metropolitana autodefinida como Etnia Mapuche en el Año 2017"/>
    <m/>
    <s v="Gráfico  "/>
    <s v="Región Metropolitana,CASEN,ingresos,promedio,etnia,comuna"/>
    <s v="PENDIENTE"/>
    <x v="1"/>
    <s v="#1774B9"/>
  </r>
  <r>
    <s v="0084"/>
    <n v="990"/>
    <s v="Agencia Información"/>
    <s v="Socioeconómico"/>
    <n v="14"/>
    <x v="4"/>
    <x v="0"/>
    <x v="1"/>
    <x v="14"/>
    <x v="2"/>
    <x v="3"/>
    <s v="Año 2017"/>
    <s v="CLP/mes"/>
    <s v="CASEN 2017"/>
    <s v="Mapa Regional de Ingresos Promedio Mensuales (CLP/mes) para la población de la Región de Los Ríos autodefinida como Etnia Mapuche en el Año 2017"/>
    <m/>
    <s v="Gráfico  "/>
    <s v="Región de Los Ríos,CASEN,ingresos,promedio,etnia,comuna"/>
    <s v="PENDIENTE"/>
    <x v="1"/>
    <s v="#1774B9"/>
  </r>
  <r>
    <s v="0085"/>
    <n v="990"/>
    <s v="Agencia Información"/>
    <s v="Socioeconómico"/>
    <n v="15"/>
    <x v="4"/>
    <x v="0"/>
    <x v="1"/>
    <x v="15"/>
    <x v="2"/>
    <x v="3"/>
    <s v="Año 2017"/>
    <s v="CLP/mes"/>
    <s v="CASEN 2017"/>
    <s v="Mapa Regional de Ingresos Promedio Mensuales (CLP/mes) para la población de la Región de Arica y Parinacota autodefinida como Etnia Mapuche en el Año 2017"/>
    <m/>
    <s v="Gráfico  "/>
    <s v="Región de Arica y Parinacota,CASEN,ingresos,promedio,etnia,comuna"/>
    <s v="PENDIENTE"/>
    <x v="1"/>
    <s v="#1774B9"/>
  </r>
  <r>
    <s v="0086"/>
    <n v="990"/>
    <s v="Agencia Información"/>
    <s v="Socioeconómico"/>
    <n v="16"/>
    <x v="4"/>
    <x v="0"/>
    <x v="1"/>
    <x v="16"/>
    <x v="2"/>
    <x v="3"/>
    <s v="Año 2017"/>
    <s v="CLP/mes"/>
    <s v="CASEN 2017"/>
    <s v="Mapa Regional de Ingresos Promedio Mensuales (CLP/mes) para la población de la Región de Ñuble autodefinida como Etnia Mapuche en el Año 2017"/>
    <m/>
    <s v="Gráfico  "/>
    <s v="Región de Ñuble,CASEN,ingresos,promedio,etnia,comuna"/>
    <s v="PENDIENTE"/>
    <x v="1"/>
    <s v="#1774B9"/>
  </r>
  <r>
    <s v="0087"/>
    <n v="990"/>
    <s v="Agencia Información"/>
    <s v="Gobiernos locales"/>
    <n v="0"/>
    <x v="1"/>
    <x v="3"/>
    <x v="0"/>
    <x v="0"/>
    <x v="0"/>
    <x v="4"/>
    <s v="Periodo 2019-2020"/>
    <s v="Porcentaje (%)"/>
    <s v="Sistema Nacional de Información Municipal"/>
    <s v="Ranking Comunal 2020: Número de Alumnos por Docente en Aula, variación Periodo 2019-2020"/>
    <s v="Ranking de Comunas: Número de Alumnos por Docente en Aula del año 2019 y 2020 y su variación porcentual para los Colegios Municipales"/>
    <s v="Ranking"/>
    <s v="Chile,Educación,Municipal,Alumnos,Calidad Educación,Colegios Municipales,Docentes"/>
    <s v="https://analytics.zoho.com/open-view/2395394000007756457"/>
    <x v="1"/>
    <s v="#1774B9"/>
  </r>
  <r>
    <s v="0088"/>
    <n v="990"/>
    <s v="Agencia Información"/>
    <s v="Gobiernos locales"/>
    <n v="1"/>
    <x v="1"/>
    <x v="3"/>
    <x v="1"/>
    <x v="1"/>
    <x v="1"/>
    <x v="4"/>
    <s v="Periodo 2019-2020"/>
    <s v="Porcentaje (%)"/>
    <s v="Sistema Nacional de Información Municipal"/>
    <s v="Ranking Comunal Región de Tarapacá 2020: Número de Alumnos por Docente en Aula, variación Periodo 2019-2020"/>
    <m/>
    <s v="Ranking"/>
    <s v="Región de Tarapacá,Educación,Municipal,Alumnos,Calidad Educación,Colegios Municipales,Docentes"/>
    <s v="PENDIENTE"/>
    <x v="1"/>
    <s v="#1774B9"/>
  </r>
  <r>
    <s v="0089"/>
    <n v="990"/>
    <s v="Agencia Información"/>
    <s v="Gobiernos locales"/>
    <n v="2"/>
    <x v="1"/>
    <x v="3"/>
    <x v="1"/>
    <x v="2"/>
    <x v="1"/>
    <x v="4"/>
    <s v="Periodo 2019-2020"/>
    <s v="Porcentaje (%)"/>
    <s v="Sistema Nacional de Información Municipal"/>
    <s v="Ranking Comunal Región de Antofagasta 2020: Número de Alumnos por Docente en Aula, variación Periodo 2019-2020"/>
    <m/>
    <s v="Ranking"/>
    <s v="Región de Antofagasta,Educación,Municipal,Alumnos,Calidad Educación,Colegios Municipales,Docentes"/>
    <s v="PENDIENTE"/>
    <x v="1"/>
    <s v="#1774B9"/>
  </r>
  <r>
    <s v="0090"/>
    <n v="990"/>
    <s v="Agencia Información"/>
    <s v="Gobiernos locales"/>
    <n v="3"/>
    <x v="1"/>
    <x v="3"/>
    <x v="1"/>
    <x v="3"/>
    <x v="1"/>
    <x v="4"/>
    <s v="Periodo 2019-2020"/>
    <s v="Porcentaje (%)"/>
    <s v="Sistema Nacional de Información Municipal"/>
    <s v="Ranking Comunal Región de Atacama 2020: Número de Alumnos por Docente en Aula, variación Periodo 2019-2020"/>
    <m/>
    <s v="Ranking"/>
    <s v="Región de Atacama,Educación,Municipal,Alumnos,Calidad Educación,Colegios Municipales,Docentes"/>
    <s v="PENDIENTE"/>
    <x v="1"/>
    <s v="#1774B9"/>
  </r>
  <r>
    <s v="0091"/>
    <n v="990"/>
    <s v="Agencia Información"/>
    <s v="Gobiernos locales"/>
    <n v="4"/>
    <x v="1"/>
    <x v="3"/>
    <x v="1"/>
    <x v="4"/>
    <x v="1"/>
    <x v="4"/>
    <s v="Periodo 2019-2020"/>
    <s v="Porcentaje (%)"/>
    <s v="Sistema Nacional de Información Municipal"/>
    <s v="Ranking Comunal Región de Coquimbo 2020: Número de Alumnos por Docente en Aula, variación Periodo 2019-2020"/>
    <m/>
    <s v="Ranking"/>
    <s v="Región de Coquimbo,Educación,Municipal,Alumnos,Calidad Educación,Colegios Municipales,Docentes"/>
    <s v="PENDIENTE"/>
    <x v="1"/>
    <s v="#1774B9"/>
  </r>
  <r>
    <s v="0092"/>
    <n v="990"/>
    <s v="Agencia Información"/>
    <s v="Gobiernos locales"/>
    <n v="5"/>
    <x v="1"/>
    <x v="3"/>
    <x v="1"/>
    <x v="5"/>
    <x v="1"/>
    <x v="4"/>
    <s v="Periodo 2019-2020"/>
    <s v="Porcentaje (%)"/>
    <s v="Sistema Nacional de Información Municipal"/>
    <s v="Ranking Comunal Región de Valparaíso 2020: Número de Alumnos por Docente en Aula, variación Periodo 2019-2020"/>
    <m/>
    <s v="Ranking"/>
    <s v="Región de Valparaíso,Educación,Municipal,Alumnos,Calidad Educación,Colegios Municipales,Docentes"/>
    <s v="PENDIENTE"/>
    <x v="1"/>
    <s v="#1774B9"/>
  </r>
  <r>
    <s v="0093"/>
    <n v="990"/>
    <s v="Agencia Información"/>
    <s v="Gobiernos locales"/>
    <n v="6"/>
    <x v="1"/>
    <x v="3"/>
    <x v="1"/>
    <x v="6"/>
    <x v="1"/>
    <x v="4"/>
    <s v="Periodo 2019-2020"/>
    <s v="Porcentaje (%)"/>
    <s v="Sistema Nacional de Información Municipal"/>
    <s v="Ranking Comunal Región de O'Higgins 2020: Número de Alumnos por Docente en Aula, variación Periodo 2019-2020"/>
    <m/>
    <s v="Ranking"/>
    <s v="Región de O'Higgins,Educación,Municipal,Alumnos,Calidad Educación,Colegios Municipales,Docentes"/>
    <s v="PENDIENTE"/>
    <x v="1"/>
    <s v="#1774B9"/>
  </r>
  <r>
    <s v="0094"/>
    <n v="990"/>
    <s v="Agencia Información"/>
    <s v="Gobiernos locales"/>
    <n v="7"/>
    <x v="1"/>
    <x v="3"/>
    <x v="1"/>
    <x v="7"/>
    <x v="1"/>
    <x v="4"/>
    <s v="Periodo 2019-2020"/>
    <s v="Porcentaje (%)"/>
    <s v="Sistema Nacional de Información Municipal"/>
    <s v="Ranking Comunal Región de Maule 2020: Número de Alumnos por Docente en Aula, variación Periodo 2019-2020"/>
    <m/>
    <s v="Ranking"/>
    <s v="Región de Maule,Educación,Municipal,Alumnos,Calidad Educación,Colegios Municipales,Docentes"/>
    <s v="PENDIENTE"/>
    <x v="1"/>
    <s v="#1774B9"/>
  </r>
  <r>
    <s v="0095"/>
    <n v="990"/>
    <s v="Agencia Información"/>
    <s v="Gobiernos locales"/>
    <n v="8"/>
    <x v="1"/>
    <x v="3"/>
    <x v="1"/>
    <x v="8"/>
    <x v="1"/>
    <x v="4"/>
    <s v="Periodo 2019-2020"/>
    <s v="Porcentaje (%)"/>
    <s v="Sistema Nacional de Información Municipal"/>
    <s v="Ranking Comunal Región del Biobío 2020: Número de Alumnos por Docente en Aula, variación Periodo 2019-2020"/>
    <m/>
    <s v="Ranking"/>
    <s v="Región del Biobío,Educación,Municipal,Alumnos,Calidad Educación,Colegios Municipales,Docentes"/>
    <s v="PENDIENTE"/>
    <x v="1"/>
    <s v="#1774B9"/>
  </r>
  <r>
    <s v="0096"/>
    <n v="990"/>
    <s v="Agencia Información"/>
    <s v="Gobiernos locales"/>
    <n v="9"/>
    <x v="1"/>
    <x v="3"/>
    <x v="1"/>
    <x v="9"/>
    <x v="1"/>
    <x v="4"/>
    <s v="Periodo 2019-2020"/>
    <s v="Porcentaje (%)"/>
    <s v="Sistema Nacional de Información Municipal"/>
    <s v="Ranking Comunal Región de La Araucanía 2020: Número de Alumnos por Docente en Aula, variación Periodo 2019-2020"/>
    <m/>
    <s v="Ranking"/>
    <s v="Región de La Araucanía,Educación,Municipal,Alumnos,Calidad Educación,Colegios Municipales,Docentes"/>
    <s v="PENDIENTE"/>
    <x v="1"/>
    <s v="#1774B9"/>
  </r>
  <r>
    <s v="0097"/>
    <n v="990"/>
    <s v="Agencia Información"/>
    <s v="Gobiernos locales"/>
    <n v="10"/>
    <x v="1"/>
    <x v="3"/>
    <x v="1"/>
    <x v="10"/>
    <x v="1"/>
    <x v="4"/>
    <s v="Periodo 2019-2020"/>
    <s v="Porcentaje (%)"/>
    <s v="Sistema Nacional de Información Municipal"/>
    <s v="Ranking Comunal Región de Los Lagos 2020: Número de Alumnos por Docente en Aula, variación Periodo 2019-2020"/>
    <m/>
    <s v="Ranking"/>
    <s v="Región de Los Lagos,Educación,Municipal,Alumnos,Calidad Educación,Colegios Municipales,Docentes"/>
    <s v="PENDIENTE"/>
    <x v="1"/>
    <s v="#1774B9"/>
  </r>
  <r>
    <s v="0098"/>
    <n v="990"/>
    <s v="Agencia Información"/>
    <s v="Gobiernos locales"/>
    <n v="11"/>
    <x v="1"/>
    <x v="3"/>
    <x v="1"/>
    <x v="11"/>
    <x v="1"/>
    <x v="4"/>
    <s v="Periodo 2019-2020"/>
    <s v="Porcentaje (%)"/>
    <s v="Sistema Nacional de Información Municipal"/>
    <s v="Ranking Comunal Región de Aysén 2020: Número de Alumnos por Docente en Aula, variación Periodo 2019-2020"/>
    <m/>
    <s v="Ranking"/>
    <s v="Región de Aysén,Educación,Municipal,Alumnos,Calidad Educación,Colegios Municipales,Docentes"/>
    <s v="PENDIENTE"/>
    <x v="1"/>
    <s v="#1774B9"/>
  </r>
  <r>
    <s v="0099"/>
    <n v="990"/>
    <s v="Agencia Información"/>
    <s v="Gobiernos locales"/>
    <n v="12"/>
    <x v="1"/>
    <x v="3"/>
    <x v="1"/>
    <x v="12"/>
    <x v="1"/>
    <x v="4"/>
    <s v="Periodo 2019-2020"/>
    <s v="Porcentaje (%)"/>
    <s v="Sistema Nacional de Información Municipal"/>
    <s v="Ranking Comunal Región de Magallanes 2020: Número de Alumnos por Docente en Aula, variación Periodo 2019-2020"/>
    <m/>
    <s v="Ranking"/>
    <s v="Región de Magallanes,Educación,Municipal,Alumnos,Calidad Educación,Colegios Municipales,Docentes"/>
    <s v="PENDIENTE"/>
    <x v="1"/>
    <s v="#1774B9"/>
  </r>
  <r>
    <s v="0100"/>
    <n v="990"/>
    <s v="Agencia Información"/>
    <s v="Gobiernos locales"/>
    <n v="13"/>
    <x v="1"/>
    <x v="3"/>
    <x v="1"/>
    <x v="13"/>
    <x v="1"/>
    <x v="4"/>
    <s v="Periodo 2019-2020"/>
    <s v="Porcentaje (%)"/>
    <s v="Sistema Nacional de Información Municipal"/>
    <s v="Ranking Comunal Región Metropolitana 2020: Número de Alumnos por Docente en Aula, variación Periodo 2019-2020"/>
    <m/>
    <s v="Ranking"/>
    <s v="Región Metropolitana,Educación,Municipal,Alumnos,Calidad Educación,Colegios Municipales,Docentes"/>
    <s v="PENDIENTE"/>
    <x v="1"/>
    <s v="#1774B9"/>
  </r>
  <r>
    <s v="0101"/>
    <n v="990"/>
    <s v="Agencia Información"/>
    <s v="Gobiernos locales"/>
    <n v="14"/>
    <x v="1"/>
    <x v="3"/>
    <x v="1"/>
    <x v="14"/>
    <x v="1"/>
    <x v="4"/>
    <s v="Periodo 2019-2020"/>
    <s v="Porcentaje (%)"/>
    <s v="Sistema Nacional de Información Municipal"/>
    <s v="Ranking Comunal Región de Los Ríos 2020: Número de Alumnos por Docente en Aula, variación Periodo 2019-2020"/>
    <m/>
    <s v="Ranking"/>
    <s v="Región de Los Ríos,Educación,Municipal,Alumnos,Calidad Educación,Colegios Municipales,Docentes"/>
    <s v="PENDIENTE"/>
    <x v="1"/>
    <s v="#1774B9"/>
  </r>
  <r>
    <s v="0102"/>
    <n v="990"/>
    <s v="Agencia Información"/>
    <s v="Gobiernos locales"/>
    <n v="15"/>
    <x v="1"/>
    <x v="3"/>
    <x v="1"/>
    <x v="15"/>
    <x v="1"/>
    <x v="4"/>
    <s v="Periodo 2019-2020"/>
    <s v="Porcentaje (%)"/>
    <s v="Sistema Nacional de Información Municipal"/>
    <s v="Ranking Comunal Región de Arica y Parinacota 2020: Número de Alumnos por Docente en Aula, variación Periodo 2019-2020"/>
    <m/>
    <s v="Ranking"/>
    <s v="Región de Arica y Parinacota,Educación,Municipal,Alumnos,Calidad Educación,Colegios Municipales,Docentes"/>
    <s v="PENDIENTE"/>
    <x v="1"/>
    <s v="#1774B9"/>
  </r>
  <r>
    <s v="0103"/>
    <n v="990"/>
    <s v="Agencia Información"/>
    <s v="Gobiernos locales"/>
    <n v="16"/>
    <x v="1"/>
    <x v="3"/>
    <x v="1"/>
    <x v="16"/>
    <x v="1"/>
    <x v="4"/>
    <s v="Periodo 2019-2020"/>
    <s v="Porcentaje (%)"/>
    <s v="Sistema Nacional de Información Municipal"/>
    <s v="Ranking Comunal Región de Ñuble 2020: Número de Alumnos por Docente en Aula, variación Periodo 2019-2020"/>
    <m/>
    <s v="Ranking"/>
    <s v="Región de Ñuble,Educación,Municipal,Alumnos,Calidad Educación,Colegios Municipales,Docentes"/>
    <s v="PENDIENTE"/>
    <x v="1"/>
    <s v="#1774B9"/>
  </r>
  <r>
    <s v="0104"/>
    <n v="990"/>
    <s v="Agencia Información"/>
    <s v="Salud"/>
    <n v="0"/>
    <x v="5"/>
    <x v="4"/>
    <x v="0"/>
    <x v="0"/>
    <x v="2"/>
    <x v="5"/>
    <s v="Periodo 2020-2021"/>
    <s v="Número de Casos"/>
    <s v="Ministerio de Ciencia y Tecnología"/>
    <s v="Evolución de Casos Activos de COVID-19 por 1 millón de habitantes en las comunas de Chile durante el Periodo 2020-2021"/>
    <m/>
    <s v="Ranking"/>
    <s v="Chile,COVID-19,región,comuna,casos activos,fallecidos,recuperados"/>
    <s v="PENDIENTE"/>
    <x v="1"/>
    <s v="#1774B9"/>
  </r>
  <r>
    <s v="0105"/>
    <n v="990"/>
    <s v="Agencia Información"/>
    <s v="Salud"/>
    <n v="1"/>
    <x v="5"/>
    <x v="4"/>
    <x v="1"/>
    <x v="1"/>
    <x v="2"/>
    <x v="5"/>
    <s v="Periodo 2020-2021"/>
    <s v="Número de Casos"/>
    <s v="Ministerio de Ciencia y Tecnología"/>
    <s v="Evolución de Casos Activos de COVID-19 por 1 millón de habitantes en las comunas de la Región de Tarapacá durante el Periodo 2020-2021"/>
    <s v="La comuna de Iquique presenta un mayor cantidad de casos activos por COVID-19 en los meses de enero y abril del año 2021, superando los 4.000 casos por millón de habitantes. En el mes de julio del mismo año, esta cifra disminuyó a menos de 1500 casos por millón de habitantes."/>
    <s v="Ranking"/>
    <s v="Región de Tarapacá,COVID-19,región,comuna,casos activos,fallecidos,recuperados"/>
    <s v="https://analytics.zoho.com/open-view/2395394000007211567?ZOHO_CRITERIA=%22Localiza_CL_Poblacion%22.%22Codcom%22%3D1101"/>
    <x v="1"/>
    <s v="#1774B9"/>
  </r>
  <r>
    <s v="0106"/>
    <n v="990"/>
    <s v="Agencia Información"/>
    <s v="Salud"/>
    <n v="2"/>
    <x v="5"/>
    <x v="4"/>
    <x v="1"/>
    <x v="2"/>
    <x v="2"/>
    <x v="5"/>
    <s v="Periodo 2020-2021"/>
    <s v="Número de Casos"/>
    <s v="Ministerio de Ciencia y Tecnología"/>
    <s v="Evolución de Casos Activos de COVID-19 por 1 millón de habitantes en las comunas de la Región de Antofagasta durante el Periodo 2020-2021"/>
    <m/>
    <s v="Ranking"/>
    <s v="Región de Antofagasta,COVID-19,región,comuna,casos activos,fallecidos,recuperados"/>
    <s v="PENDIENTE"/>
    <x v="1"/>
    <s v="#1774B9"/>
  </r>
  <r>
    <s v="0107"/>
    <n v="990"/>
    <s v="Agencia Información"/>
    <s v="Salud"/>
    <n v="3"/>
    <x v="5"/>
    <x v="4"/>
    <x v="1"/>
    <x v="3"/>
    <x v="2"/>
    <x v="5"/>
    <s v="Periodo 2020-2021"/>
    <s v="Número de Casos"/>
    <s v="Ministerio de Ciencia y Tecnología"/>
    <s v="Evolución de Casos Activos de COVID-19 por 1 millón de habitantes en las comunas de la Región de Atacama durante el Periodo 2020-2021"/>
    <m/>
    <s v="Ranking"/>
    <s v="Región de Atacama,COVID-19,región,comuna,casos activos,fallecidos,recuperados"/>
    <s v="PENDIENTE"/>
    <x v="1"/>
    <s v="#1774B9"/>
  </r>
  <r>
    <s v="0108"/>
    <n v="990"/>
    <s v="Agencia Información"/>
    <s v="Salud"/>
    <n v="4"/>
    <x v="5"/>
    <x v="4"/>
    <x v="1"/>
    <x v="4"/>
    <x v="2"/>
    <x v="5"/>
    <s v="Periodo 2020-2021"/>
    <s v="Número de Casos"/>
    <s v="Ministerio de Ciencia y Tecnología"/>
    <s v="Evolución de Casos Activos de COVID-19 por 1 millón de habitantes en las comunas de la Región de Coquimbo durante el Periodo 2020-2021"/>
    <m/>
    <s v="Ranking"/>
    <s v="Región de Coquimbo,COVID-19,región,comuna,casos activos,fallecidos,recuperados"/>
    <s v="PENDIENTE"/>
    <x v="1"/>
    <s v="#1774B9"/>
  </r>
  <r>
    <s v="0109"/>
    <n v="990"/>
    <s v="Agencia Información"/>
    <s v="Salud"/>
    <n v="5"/>
    <x v="5"/>
    <x v="4"/>
    <x v="1"/>
    <x v="5"/>
    <x v="2"/>
    <x v="5"/>
    <s v="Periodo 2020-2021"/>
    <s v="Número de Casos"/>
    <s v="Ministerio de Ciencia y Tecnología"/>
    <s v="Evolución de Casos Activos de COVID-19 por 1 millón de habitantes en las comunas de la Región de Valparaíso durante el Periodo 2020-2021"/>
    <m/>
    <s v="Ranking"/>
    <s v="Región de Valparaíso,COVID-19,región,comuna,casos activos,fallecidos,recuperados"/>
    <s v="PENDIENTE"/>
    <x v="1"/>
    <s v="#1774B9"/>
  </r>
  <r>
    <s v="0110"/>
    <n v="990"/>
    <s v="Agencia Información"/>
    <s v="Salud"/>
    <n v="6"/>
    <x v="5"/>
    <x v="4"/>
    <x v="1"/>
    <x v="6"/>
    <x v="2"/>
    <x v="5"/>
    <s v="Periodo 2020-2021"/>
    <s v="Número de Casos"/>
    <s v="Ministerio de Ciencia y Tecnología"/>
    <s v="Evolución de Casos Activos de COVID-19 por 1 millón de habitantes en las comunas de la Región de O'Higgins durante el Periodo 2020-2021"/>
    <m/>
    <s v="Ranking"/>
    <s v="Región de O'Higgins,COVID-19,región,comuna,casos activos,fallecidos,recuperados"/>
    <s v="PENDIENTE"/>
    <x v="1"/>
    <s v="#1774B9"/>
  </r>
  <r>
    <s v="0111"/>
    <n v="990"/>
    <s v="Agencia Información"/>
    <s v="Salud"/>
    <n v="7"/>
    <x v="5"/>
    <x v="4"/>
    <x v="1"/>
    <x v="7"/>
    <x v="2"/>
    <x v="5"/>
    <s v="Periodo 2020-2021"/>
    <s v="Número de Casos"/>
    <s v="Ministerio de Ciencia y Tecnología"/>
    <s v="Evolución de Casos Activos de COVID-19 por 1 millón de habitantes en las comunas de la Región de Maule durante el Periodo 2020-2021"/>
    <m/>
    <s v="Ranking"/>
    <s v="Región de Maule,COVID-19,región,comuna,casos activos,fallecidos,recuperados"/>
    <s v="PENDIENTE"/>
    <x v="1"/>
    <s v="#1774B9"/>
  </r>
  <r>
    <s v="0112"/>
    <n v="990"/>
    <s v="Agencia Información"/>
    <s v="Salud"/>
    <n v="8"/>
    <x v="5"/>
    <x v="4"/>
    <x v="1"/>
    <x v="8"/>
    <x v="2"/>
    <x v="5"/>
    <s v="Periodo 2020-2021"/>
    <s v="Número de Casos"/>
    <s v="Ministerio de Ciencia y Tecnología"/>
    <s v="Evolución de Casos Activos de COVID-19 por 1 millón de habitantes en las comunas de la Región del Biobío durante el Periodo 2020-2021"/>
    <m/>
    <s v="Ranking"/>
    <s v="Región del Biobío,COVID-19,región,comuna,casos activos,fallecidos,recuperados"/>
    <s v="PENDIENTE"/>
    <x v="1"/>
    <s v="#1774B9"/>
  </r>
  <r>
    <s v="0113"/>
    <n v="990"/>
    <s v="Agencia Información"/>
    <s v="Salud"/>
    <n v="9"/>
    <x v="5"/>
    <x v="4"/>
    <x v="1"/>
    <x v="9"/>
    <x v="2"/>
    <x v="5"/>
    <s v="Periodo 2020-2021"/>
    <s v="Número de Casos"/>
    <s v="Ministerio de Ciencia y Tecnología"/>
    <s v="Evolución de Casos Activos de COVID-19 por 1 millón de habitantes en las comunas de la Región de La Araucanía durante el Periodo 2020-2021"/>
    <m/>
    <s v="Ranking"/>
    <s v="Región de La Araucanía,COVID-19,región,comuna,casos activos,fallecidos,recuperados"/>
    <s v="PENDIENTE"/>
    <x v="1"/>
    <s v="#1774B9"/>
  </r>
  <r>
    <s v="0114"/>
    <n v="990"/>
    <s v="Agencia Información"/>
    <s v="Salud"/>
    <n v="10"/>
    <x v="5"/>
    <x v="4"/>
    <x v="1"/>
    <x v="10"/>
    <x v="2"/>
    <x v="5"/>
    <s v="Periodo 2020-2021"/>
    <s v="Número de Casos"/>
    <s v="Ministerio de Ciencia y Tecnología"/>
    <s v="Evolución de Casos Activos de COVID-19 por 1 millón de habitantes en las comunas de la Región de Los Lagos durante el Periodo 2020-2021"/>
    <m/>
    <s v="Ranking"/>
    <s v="Región de Los Lagos,COVID-19,región,comuna,casos activos,fallecidos,recuperados"/>
    <s v="PENDIENTE"/>
    <x v="1"/>
    <s v="#1774B9"/>
  </r>
  <r>
    <s v="0115"/>
    <n v="990"/>
    <s v="Agencia Información"/>
    <s v="Salud"/>
    <n v="11"/>
    <x v="5"/>
    <x v="4"/>
    <x v="1"/>
    <x v="11"/>
    <x v="2"/>
    <x v="5"/>
    <s v="Periodo 2020-2021"/>
    <s v="Número de Casos"/>
    <s v="Ministerio de Ciencia y Tecnología"/>
    <s v="Evolución de Casos Activos de COVID-19 por 1 millón de habitantes en las comunas de la Región de Aysén durante el Periodo 2020-2021"/>
    <m/>
    <s v="Ranking"/>
    <s v="Región de Aysén,COVID-19,región,comuna,casos activos,fallecidos,recuperados"/>
    <s v="PENDIENTE"/>
    <x v="1"/>
    <s v="#1774B9"/>
  </r>
  <r>
    <s v="0116"/>
    <n v="990"/>
    <s v="Agencia Información"/>
    <s v="Salud"/>
    <n v="12"/>
    <x v="5"/>
    <x v="4"/>
    <x v="1"/>
    <x v="12"/>
    <x v="2"/>
    <x v="5"/>
    <s v="Periodo 2020-2021"/>
    <s v="Número de Casos"/>
    <s v="Ministerio de Ciencia y Tecnología"/>
    <s v="Evolución de Casos Activos de COVID-19 por 1 millón de habitantes en las comunas de la Región de Magallanes durante el Periodo 2020-2021"/>
    <m/>
    <s v="Ranking"/>
    <s v="Región de Magallanes,COVID-19,región,comuna,casos activos,fallecidos,recuperados"/>
    <s v="PENDIENTE"/>
    <x v="1"/>
    <s v="#1774B9"/>
  </r>
  <r>
    <s v="0117"/>
    <n v="990"/>
    <s v="Agencia Información"/>
    <s v="Salud"/>
    <n v="13"/>
    <x v="5"/>
    <x v="4"/>
    <x v="1"/>
    <x v="13"/>
    <x v="2"/>
    <x v="5"/>
    <s v="Periodo 2020-2021"/>
    <s v="Número de Casos"/>
    <s v="Ministerio de Ciencia y Tecnología"/>
    <s v="Evolución de Casos Activos de COVID-19 por 1 millón de habitantes en las comunas de la Región Metropolitana durante el Periodo 2020-2021"/>
    <m/>
    <s v="Ranking"/>
    <s v="Región Metropolitana,COVID-19,región,comuna,casos activos,fallecidos,recuperados"/>
    <s v="PENDIENTE"/>
    <x v="1"/>
    <s v="#1774B9"/>
  </r>
  <r>
    <s v="0118"/>
    <n v="990"/>
    <s v="Agencia Información"/>
    <s v="Salud"/>
    <n v="14"/>
    <x v="5"/>
    <x v="4"/>
    <x v="1"/>
    <x v="14"/>
    <x v="2"/>
    <x v="5"/>
    <s v="Periodo 2020-2021"/>
    <s v="Número de Casos"/>
    <s v="Ministerio de Ciencia y Tecnología"/>
    <s v="Evolución de Casos Activos de COVID-19 por 1 millón de habitantes en las comunas de la Región de Los Ríos durante el Periodo 2020-2021"/>
    <m/>
    <s v="Ranking"/>
    <s v="Región de Los Ríos,COVID-19,región,comuna,casos activos,fallecidos,recuperados"/>
    <s v="PENDIENTE"/>
    <x v="1"/>
    <s v="#1774B9"/>
  </r>
  <r>
    <s v="0119"/>
    <n v="990"/>
    <s v="Agencia Información"/>
    <s v="Salud"/>
    <n v="15"/>
    <x v="5"/>
    <x v="4"/>
    <x v="1"/>
    <x v="15"/>
    <x v="2"/>
    <x v="5"/>
    <s v="Periodo 2020-2021"/>
    <s v="Número de Casos"/>
    <s v="Ministerio de Ciencia y Tecnología"/>
    <s v="Evolución de Casos Activos de COVID-19 por 1 millón de habitantes en las comunas de la Región de Arica y Parinacota durante el Periodo 2020-2021"/>
    <m/>
    <s v="Ranking"/>
    <s v="Región de Arica y Parinacota,COVID-19,región,comuna,casos activos,fallecidos,recuperados"/>
    <s v="PENDIENTE"/>
    <x v="1"/>
    <s v="#1774B9"/>
  </r>
  <r>
    <s v="0120"/>
    <n v="990"/>
    <s v="Agencia Información"/>
    <s v="Salud"/>
    <n v="16"/>
    <x v="5"/>
    <x v="4"/>
    <x v="1"/>
    <x v="16"/>
    <x v="2"/>
    <x v="5"/>
    <s v="Periodo 2020-2021"/>
    <s v="Número de Casos"/>
    <s v="Ministerio de Ciencia y Tecnología"/>
    <s v="Evolución de Casos Activos de COVID-19 por 1 millón de habitantes en las comunas de la Región de Ñuble durante el Periodo 2020-2021"/>
    <m/>
    <s v="Ranking"/>
    <s v="Región de Ñuble,COVID-19,región,comuna,casos activos,fallecidos,recuperados"/>
    <s v="PENDIENTE"/>
    <x v="1"/>
    <s v="#1774B9"/>
  </r>
  <r>
    <s v="0121"/>
    <n v="990"/>
    <s v="Agencia Información"/>
    <s v="Agropecuario y Forestal"/>
    <n v="0"/>
    <x v="6"/>
    <x v="5"/>
    <x v="0"/>
    <x v="0"/>
    <x v="0"/>
    <x v="6"/>
    <s v="Periodo 2012-2020"/>
    <s v="Toneladas"/>
    <s v="Servicio Nacional de Aduanas"/>
    <s v="Volumen de Exportaciones Frutícolas en Chile, Periodo 2012-2020"/>
    <s v="La manzana es la fruta que más exporta Chile, con un volumen de 7.943.153 ton durante el periodo 2012 – 2020. En segundo lugar está la uva con un volumen de 7.410.265 ton."/>
    <s v="Gráfico"/>
    <s v="Chile,fruta,toneladas,manzanas,uva,exportaciones "/>
    <s v="https://analytics.zoho.com/open-view/2395394000005925456?ZOHO_CRITERIA=%22Trasposicion_4.1%22.%22Valor%22%20%3E%200.99"/>
    <x v="1"/>
    <s v="#1774B9"/>
  </r>
  <r>
    <s v="0122"/>
    <n v="990"/>
    <s v="Agencia Información"/>
    <s v="Agropecuario y Forestal"/>
    <n v="1"/>
    <x v="6"/>
    <x v="5"/>
    <x v="1"/>
    <x v="1"/>
    <x v="1"/>
    <x v="6"/>
    <s v="Periodo 2012-2020"/>
    <s v="Toneladas"/>
    <s v="Servicio Nacional de Aduanas"/>
    <s v="Volumen de Exportaciones Frutícolas en la Región de Tarapacá, Periodo 2012-2020"/>
    <m/>
    <s v="Gráfico"/>
    <s v="Región de Tarapacá,fruta,toneladas,manzanas,uva,exportaciones "/>
    <s v="PENDIENTE"/>
    <x v="1"/>
    <s v="#1774B9"/>
  </r>
  <r>
    <s v="0123"/>
    <n v="990"/>
    <s v="Agencia Información"/>
    <s v="Agropecuario y Forestal"/>
    <n v="2"/>
    <x v="6"/>
    <x v="5"/>
    <x v="1"/>
    <x v="2"/>
    <x v="1"/>
    <x v="6"/>
    <s v="Periodo 2012-2020"/>
    <s v="Toneladas"/>
    <s v="Servicio Nacional de Aduanas"/>
    <s v="Volumen de Exportaciones Frutícolas en la Región de Antofagasta, Periodo 2012-2020"/>
    <m/>
    <s v="Gráfico"/>
    <s v="Región de Antofagasta,fruta,toneladas,manzanas,uva,exportaciones "/>
    <s v="PENDIENTE"/>
    <x v="1"/>
    <s v="#1774B9"/>
  </r>
  <r>
    <s v="0124"/>
    <n v="990"/>
    <s v="Agencia Información"/>
    <s v="Agropecuario y Forestal"/>
    <n v="3"/>
    <x v="6"/>
    <x v="5"/>
    <x v="1"/>
    <x v="3"/>
    <x v="1"/>
    <x v="6"/>
    <s v="Periodo 2012-2020"/>
    <s v="Toneladas"/>
    <s v="Servicio Nacional de Aduanas"/>
    <s v="Volumen de Exportaciones Frutícolas en la Región de Atacama, Periodo 2012-2020"/>
    <m/>
    <s v="Gráfico"/>
    <s v="Región de Atacama,fruta,toneladas,manzanas,uva,exportaciones "/>
    <s v="PENDIENTE"/>
    <x v="1"/>
    <s v="#1774B9"/>
  </r>
  <r>
    <s v="0125"/>
    <n v="990"/>
    <s v="Agencia Información"/>
    <s v="Agropecuario y Forestal"/>
    <n v="4"/>
    <x v="6"/>
    <x v="5"/>
    <x v="1"/>
    <x v="4"/>
    <x v="1"/>
    <x v="6"/>
    <s v="Periodo 2012-2020"/>
    <s v="Toneladas"/>
    <s v="Servicio Nacional de Aduanas"/>
    <s v="Volumen de Exportaciones Frutícolas en la Región de Coquimbo, Periodo 2012-2020"/>
    <m/>
    <s v="Gráfico"/>
    <s v="Región de Coquimbo,fruta,toneladas,manzanas,uva,exportaciones "/>
    <s v="PENDIENTE"/>
    <x v="1"/>
    <s v="#1774B9"/>
  </r>
  <r>
    <s v="0126"/>
    <n v="990"/>
    <s v="Agencia Información"/>
    <s v="Agropecuario y Forestal"/>
    <n v="5"/>
    <x v="6"/>
    <x v="5"/>
    <x v="1"/>
    <x v="5"/>
    <x v="1"/>
    <x v="6"/>
    <s v="Periodo 2012-2020"/>
    <s v="Toneladas"/>
    <s v="Servicio Nacional de Aduanas"/>
    <s v="Volumen de Exportaciones Frutícolas en la Región de Valparaíso, Periodo 2012-2020"/>
    <m/>
    <s v="Gráfico"/>
    <s v="Región de Valparaíso,fruta,toneladas,manzanas,uva,exportaciones "/>
    <s v="PENDIENTE"/>
    <x v="1"/>
    <s v="#1774B9"/>
  </r>
  <r>
    <s v="0127"/>
    <n v="990"/>
    <s v="Agencia Información"/>
    <s v="Agropecuario y Forestal"/>
    <n v="6"/>
    <x v="6"/>
    <x v="5"/>
    <x v="1"/>
    <x v="6"/>
    <x v="1"/>
    <x v="6"/>
    <s v="Periodo 2012-2020"/>
    <s v="Toneladas"/>
    <s v="Servicio Nacional de Aduanas"/>
    <s v="Volumen de Exportaciones Frutícolas en la Región de O'Higgins, Periodo 2012-2020"/>
    <m/>
    <s v="Gráfico"/>
    <s v="Región de O'Higgins,fruta,toneladas,manzanas,uva,exportaciones "/>
    <s v="PENDIENTE"/>
    <x v="1"/>
    <s v="#1774B9"/>
  </r>
  <r>
    <s v="0128"/>
    <n v="990"/>
    <s v="Agencia Información"/>
    <s v="Agropecuario y Forestal"/>
    <n v="7"/>
    <x v="6"/>
    <x v="5"/>
    <x v="1"/>
    <x v="7"/>
    <x v="1"/>
    <x v="6"/>
    <s v="Periodo 2012-2020"/>
    <s v="Toneladas"/>
    <s v="Servicio Nacional de Aduanas"/>
    <s v="Volumen de Exportaciones Frutícolas en la Región de Maule, Periodo 2012-2020"/>
    <m/>
    <s v="Gráfico"/>
    <s v="Región de Maule,fruta,toneladas,manzanas,uva,exportaciones "/>
    <s v="PENDIENTE"/>
    <x v="1"/>
    <s v="#1774B9"/>
  </r>
  <r>
    <s v="0129"/>
    <n v="990"/>
    <s v="Agencia Información"/>
    <s v="Agropecuario y Forestal"/>
    <n v="8"/>
    <x v="6"/>
    <x v="5"/>
    <x v="1"/>
    <x v="8"/>
    <x v="1"/>
    <x v="6"/>
    <s v="Periodo 2012-2020"/>
    <s v="Toneladas"/>
    <s v="Servicio Nacional de Aduanas"/>
    <s v="Volumen de Exportaciones Frutícolas en la Región del Biobío, Periodo 2012-2020"/>
    <m/>
    <s v="Gráfico"/>
    <s v="Región del Biobío,fruta,toneladas,manzanas,uva,exportaciones "/>
    <s v="PENDIENTE"/>
    <x v="1"/>
    <s v="#1774B9"/>
  </r>
  <r>
    <s v="0130"/>
    <n v="990"/>
    <s v="Agencia Información"/>
    <s v="Agropecuario y Forestal"/>
    <n v="9"/>
    <x v="6"/>
    <x v="5"/>
    <x v="1"/>
    <x v="9"/>
    <x v="1"/>
    <x v="6"/>
    <s v="Periodo 2012-2020"/>
    <s v="Toneladas"/>
    <s v="Servicio Nacional de Aduanas"/>
    <s v="Volumen de Exportaciones Frutícolas en la Región de La Araucanía, Periodo 2012-2020"/>
    <m/>
    <s v="Gráfico"/>
    <s v="Región de La Araucanía,fruta,toneladas,manzanas,uva,exportaciones "/>
    <s v="PENDIENTE"/>
    <x v="1"/>
    <s v="#1774B9"/>
  </r>
  <r>
    <s v="0131"/>
    <n v="990"/>
    <s v="Agencia Información"/>
    <s v="Agropecuario y Forestal"/>
    <n v="10"/>
    <x v="6"/>
    <x v="5"/>
    <x v="1"/>
    <x v="10"/>
    <x v="1"/>
    <x v="6"/>
    <s v="Periodo 2012-2020"/>
    <s v="Toneladas"/>
    <s v="Servicio Nacional de Aduanas"/>
    <s v="Volumen de Exportaciones Frutícolas en la Región de Los Lagos, Periodo 2012-2020"/>
    <m/>
    <s v="Gráfico"/>
    <s v="Región de Los Lagos,fruta,toneladas,manzanas,uva,exportaciones "/>
    <s v="PENDIENTE"/>
    <x v="1"/>
    <s v="#1774B9"/>
  </r>
  <r>
    <s v="0132"/>
    <n v="990"/>
    <s v="Agencia Información"/>
    <s v="Agropecuario y Forestal"/>
    <n v="11"/>
    <x v="6"/>
    <x v="5"/>
    <x v="1"/>
    <x v="11"/>
    <x v="1"/>
    <x v="6"/>
    <s v="Periodo 2012-2020"/>
    <s v="Toneladas"/>
    <s v="Servicio Nacional de Aduanas"/>
    <s v="Volumen de Exportaciones Frutícolas en la Región de Aysén, Periodo 2012-2020"/>
    <m/>
    <s v="Gráfico"/>
    <s v="Región de Aysén,fruta,toneladas,manzanas,uva,exportaciones "/>
    <s v="PENDIENTE"/>
    <x v="1"/>
    <s v="#1774B9"/>
  </r>
  <r>
    <s v="0133"/>
    <n v="990"/>
    <s v="Agencia Información"/>
    <s v="Agropecuario y Forestal"/>
    <n v="12"/>
    <x v="6"/>
    <x v="5"/>
    <x v="1"/>
    <x v="12"/>
    <x v="1"/>
    <x v="6"/>
    <s v="Periodo 2012-2020"/>
    <s v="Toneladas"/>
    <s v="Servicio Nacional de Aduanas"/>
    <s v="Volumen de Exportaciones Frutícolas en la Región de Magallanes, Periodo 2012-2020"/>
    <m/>
    <s v="Gráfico"/>
    <s v="Región de Magallanes,fruta,toneladas,manzanas,uva,exportaciones "/>
    <s v="PENDIENTE"/>
    <x v="1"/>
    <s v="#1774B9"/>
  </r>
  <r>
    <s v="0134"/>
    <n v="990"/>
    <s v="Agencia Información"/>
    <s v="Agropecuario y Forestal"/>
    <n v="13"/>
    <x v="6"/>
    <x v="5"/>
    <x v="1"/>
    <x v="13"/>
    <x v="1"/>
    <x v="6"/>
    <s v="Periodo 2012-2020"/>
    <s v="Toneladas"/>
    <s v="Servicio Nacional de Aduanas"/>
    <s v="Volumen de Exportaciones Frutícolas en la Región Metropolitana, Periodo 2012-2020"/>
    <m/>
    <s v="Gráfico"/>
    <s v="Región Metropolitana,fruta,toneladas,manzanas,uva,exportaciones "/>
    <s v="PENDIENTE"/>
    <x v="1"/>
    <s v="#1774B9"/>
  </r>
  <r>
    <s v="0135"/>
    <n v="990"/>
    <s v="Agencia Información"/>
    <s v="Agropecuario y Forestal"/>
    <n v="14"/>
    <x v="6"/>
    <x v="5"/>
    <x v="1"/>
    <x v="14"/>
    <x v="1"/>
    <x v="6"/>
    <s v="Periodo 2012-2020"/>
    <s v="Toneladas"/>
    <s v="Servicio Nacional de Aduanas"/>
    <s v="Volumen de Exportaciones Frutícolas en la Región de Los Ríos, Periodo 2012-2020"/>
    <m/>
    <s v="Gráfico"/>
    <s v="Región de Los Ríos,fruta,toneladas,manzanas,uva,exportaciones "/>
    <s v="PENDIENTE"/>
    <x v="1"/>
    <s v="#1774B9"/>
  </r>
  <r>
    <s v="0136"/>
    <n v="990"/>
    <s v="Agencia Información"/>
    <s v="Agropecuario y Forestal"/>
    <n v="15"/>
    <x v="6"/>
    <x v="5"/>
    <x v="1"/>
    <x v="15"/>
    <x v="1"/>
    <x v="6"/>
    <s v="Periodo 2012-2020"/>
    <s v="Toneladas"/>
    <s v="Servicio Nacional de Aduanas"/>
    <s v="Volumen de Exportaciones Frutícolas en la Región de Arica y Parinacota, Periodo 2012-2020"/>
    <m/>
    <s v="Gráfico"/>
    <s v="Región de Arica y Parinacota,fruta,toneladas,manzanas,uva,exportaciones "/>
    <s v="PENDIENTE"/>
    <x v="1"/>
    <s v="#1774B9"/>
  </r>
  <r>
    <s v="0137"/>
    <n v="990"/>
    <s v="Agencia Información"/>
    <s v="Agropecuario y Forestal"/>
    <n v="16"/>
    <x v="6"/>
    <x v="5"/>
    <x v="1"/>
    <x v="16"/>
    <x v="1"/>
    <x v="6"/>
    <s v="Periodo 2012-2020"/>
    <s v="Toneladas"/>
    <s v="Servicio Nacional de Aduanas"/>
    <s v="Volumen de Exportaciones Frutícolas en la Región de Ñuble, Periodo 2012-2020"/>
    <m/>
    <s v="Gráfico"/>
    <s v="Región de Ñuble,fruta,toneladas,manzanas,uva,exportaciones "/>
    <s v="PENDIENTE"/>
    <x v="1"/>
    <s v="#1774B9"/>
  </r>
  <r>
    <s v="0138"/>
    <n v="990"/>
    <s v="Agencia Información"/>
    <s v="Agropecuario y Forestal"/>
    <n v="0"/>
    <x v="6"/>
    <x v="5"/>
    <x v="0"/>
    <x v="0"/>
    <x v="1"/>
    <x v="7"/>
    <s v="Periodo 2012-2020"/>
    <s v="Toneladas"/>
    <s v="Servicio Nacional de Aduanas"/>
    <s v="Volumen de Exportaciones Frutícolas por país, Periodo 2012-2020"/>
    <s v="Chile exporta fruta a más de 80 países de todo el mundo. EEUU es el país que recibe más toneladas de fruta desde Chile, en segundo lugar está China. De Sudamérica Colombia es el país que más toneladas de fruta recibe."/>
    <s v="Mapa"/>
    <s v="Chile,fruta,toneladas,exportaciones "/>
    <s v="https://analytics.zoho.com/open-view/2395394000005925456?ZOHO_CRITERIA=%22Trasposicion_4.1%22.%22Valor%22%20%3E%200.99"/>
    <x v="1"/>
    <s v="#1774B9"/>
  </r>
  <r>
    <s v="0139"/>
    <n v="990"/>
    <s v="Agencia Información"/>
    <s v="Mujeres"/>
    <n v="0"/>
    <x v="7"/>
    <x v="6"/>
    <x v="0"/>
    <x v="0"/>
    <x v="0"/>
    <x v="8"/>
    <s v="Periodo 2013-2019"/>
    <s v="Número de Sentencias"/>
    <s v="Poder Judicial"/>
    <s v="Sentencias Dictadas por delitos de Abuso Sexual en Chile para el Periodo 2013-2019"/>
    <m/>
    <s v="Gráfico"/>
    <s v="Chile,violencia,mujer,abuso, sexual, sentencia,menor,juzgado"/>
    <s v="PENDIENTE"/>
    <x v="1"/>
    <s v="#1774B9"/>
  </r>
  <r>
    <s v="0140"/>
    <n v="990"/>
    <s v="Agencia Información"/>
    <s v="Mujeres"/>
    <n v="1"/>
    <x v="7"/>
    <x v="6"/>
    <x v="1"/>
    <x v="1"/>
    <x v="1"/>
    <x v="8"/>
    <s v="Periodo 2013-2019"/>
    <s v="Número de Sentencias"/>
    <s v="Poder Judicial"/>
    <s v="Sentencias Dictadas por delitos de Abuso Sexual en la Región de Tarapacá para el Periodo 2013-2019"/>
    <m/>
    <s v="Gráfico"/>
    <s v="Región de Tarapacá,violencia,mujer,abuso, sexual, sentencia,menor,juzgado"/>
    <s v="PENDIENTE"/>
    <x v="1"/>
    <s v="#1774B9"/>
  </r>
  <r>
    <s v="0141"/>
    <n v="990"/>
    <s v="Agencia Información"/>
    <s v="Mujeres"/>
    <n v="2"/>
    <x v="7"/>
    <x v="6"/>
    <x v="1"/>
    <x v="2"/>
    <x v="1"/>
    <x v="8"/>
    <s v="Periodo 2013-2019"/>
    <s v="Número de Sentencias"/>
    <s v="Poder Judicial"/>
    <s v="Sentencias Dictadas por delitos de Abuso Sexual en la Región de Antofagasta para el Periodo 2013-2019"/>
    <m/>
    <s v="Gráfico"/>
    <s v="Región de Antofagasta,violencia,mujer,abuso, sexual, sentencia,menor,juzgado"/>
    <s v="PENDIENTE"/>
    <x v="1"/>
    <s v="#1774B9"/>
  </r>
  <r>
    <s v="0142"/>
    <n v="990"/>
    <s v="Agencia Información"/>
    <s v="Mujeres"/>
    <n v="3"/>
    <x v="7"/>
    <x v="6"/>
    <x v="1"/>
    <x v="3"/>
    <x v="1"/>
    <x v="8"/>
    <s v="Periodo 2013-2019"/>
    <s v="Número de Sentencias"/>
    <s v="Poder Judicial"/>
    <s v="Sentencias Dictadas por delitos de Abuso Sexual en la Región de Atacama para el Periodo 2013-2019"/>
    <m/>
    <s v="Gráfico"/>
    <s v="Región de Atacama,violencia,mujer,abuso, sexual, sentencia,menor,juzgado"/>
    <s v="PENDIENTE"/>
    <x v="1"/>
    <s v="#1774B9"/>
  </r>
  <r>
    <s v="0143"/>
    <n v="990"/>
    <s v="Agencia Información"/>
    <s v="Mujeres"/>
    <n v="4"/>
    <x v="7"/>
    <x v="6"/>
    <x v="1"/>
    <x v="4"/>
    <x v="1"/>
    <x v="8"/>
    <s v="Periodo 2013-2019"/>
    <s v="Número de Sentencias"/>
    <s v="Poder Judicial"/>
    <s v="Sentencias Dictadas por delitos de Abuso Sexual en la Región de Coquimbo para el Periodo 2013-2019"/>
    <m/>
    <s v="Gráfico"/>
    <s v="Región de Coquimbo,violencia,mujer,abuso, sexual, sentencia,menor,juzgado"/>
    <s v="PENDIENTE"/>
    <x v="1"/>
    <s v="#1774B9"/>
  </r>
  <r>
    <s v="0144"/>
    <n v="990"/>
    <s v="Agencia Información"/>
    <s v="Mujeres"/>
    <n v="5"/>
    <x v="7"/>
    <x v="6"/>
    <x v="1"/>
    <x v="5"/>
    <x v="1"/>
    <x v="8"/>
    <s v="Periodo 2013-2019"/>
    <s v="Número de Sentencias"/>
    <s v="Poder Judicial"/>
    <s v="Sentencias Dictadas por delitos de Abuso Sexual en la Región de Valparaíso para el Periodo 2013-2019"/>
    <m/>
    <s v="Gráfico"/>
    <s v="Región de Valparaíso,violencia,mujer,abuso, sexual, sentencia,menor,juzgado"/>
    <s v="PENDIENTE"/>
    <x v="1"/>
    <s v="#1774B9"/>
  </r>
  <r>
    <s v="0145"/>
    <n v="990"/>
    <s v="Agencia Información"/>
    <s v="Mujeres"/>
    <n v="6"/>
    <x v="7"/>
    <x v="6"/>
    <x v="1"/>
    <x v="6"/>
    <x v="1"/>
    <x v="8"/>
    <s v="Periodo 2013-2019"/>
    <s v="Número de Sentencias"/>
    <s v="Poder Judicial"/>
    <s v="Sentencias Dictadas por delitos de Abuso Sexual en la Región de O'Higgins para el Periodo 2013-2019"/>
    <m/>
    <s v="Gráfico"/>
    <s v="Región de O'Higgins,violencia,mujer,abuso, sexual, sentencia,menor,juzgado"/>
    <s v="PENDIENTE"/>
    <x v="1"/>
    <s v="#1774B9"/>
  </r>
  <r>
    <s v="0146"/>
    <n v="990"/>
    <s v="Agencia Información"/>
    <s v="Mujeres"/>
    <n v="7"/>
    <x v="7"/>
    <x v="6"/>
    <x v="1"/>
    <x v="7"/>
    <x v="1"/>
    <x v="8"/>
    <s v="Periodo 2013-2019"/>
    <s v="Número de Sentencias"/>
    <s v="Poder Judicial"/>
    <s v="Sentencias Dictadas por delitos de Abuso Sexual en la Región de Maule para el Periodo 2013-2019"/>
    <m/>
    <s v="Gráfico"/>
    <s v="Región de Maule,violencia,mujer,abuso, sexual, sentencia,menor,juzgado"/>
    <s v="PENDIENTE"/>
    <x v="1"/>
    <s v="#1774B9"/>
  </r>
  <r>
    <s v="0147"/>
    <n v="990"/>
    <s v="Agencia Información"/>
    <s v="Mujeres"/>
    <n v="8"/>
    <x v="7"/>
    <x v="6"/>
    <x v="1"/>
    <x v="8"/>
    <x v="1"/>
    <x v="8"/>
    <s v="Periodo 2013-2019"/>
    <s v="Número de Sentencias"/>
    <s v="Poder Judicial"/>
    <s v="Sentencias Dictadas por delitos de Abuso Sexual en la Región del Biobío para el Periodo 2013-2019"/>
    <m/>
    <s v="Gráfico"/>
    <s v="Región del Biobío,violencia,mujer,abuso, sexual, sentencia,menor,juzgado"/>
    <s v="PENDIENTE"/>
    <x v="1"/>
    <s v="#1774B9"/>
  </r>
  <r>
    <s v="0148"/>
    <n v="990"/>
    <s v="Agencia Información"/>
    <s v="Mujeres"/>
    <n v="9"/>
    <x v="7"/>
    <x v="6"/>
    <x v="1"/>
    <x v="9"/>
    <x v="1"/>
    <x v="8"/>
    <s v="Periodo 2013-2019"/>
    <s v="Número de Sentencias"/>
    <s v="Poder Judicial"/>
    <s v="Sentencias Dictadas por delitos de Abuso Sexual en la Región de La Araucanía para el Periodo 2013-2019"/>
    <m/>
    <s v="Gráfico"/>
    <s v="Región de La Araucanía,violencia,mujer,abuso, sexual, sentencia,menor,juzgado"/>
    <s v="PENDIENTE"/>
    <x v="1"/>
    <s v="#1774B9"/>
  </r>
  <r>
    <s v="0149"/>
    <n v="990"/>
    <s v="Agencia Información"/>
    <s v="Mujeres"/>
    <n v="10"/>
    <x v="7"/>
    <x v="6"/>
    <x v="1"/>
    <x v="10"/>
    <x v="1"/>
    <x v="8"/>
    <s v="Periodo 2013-2019"/>
    <s v="Número de Sentencias"/>
    <s v="Poder Judicial"/>
    <s v="Sentencias Dictadas por delitos de Abuso Sexual en la Región de Los Lagos para el Periodo 2013-2019"/>
    <m/>
    <s v="Gráfico"/>
    <s v="Región de Los Lagos,violencia,mujer,abuso, sexual, sentencia,menor,juzgado"/>
    <s v="PENDIENTE"/>
    <x v="1"/>
    <s v="#1774B9"/>
  </r>
  <r>
    <s v="0150"/>
    <n v="990"/>
    <s v="Agencia Información"/>
    <s v="Mujeres"/>
    <n v="11"/>
    <x v="7"/>
    <x v="6"/>
    <x v="1"/>
    <x v="11"/>
    <x v="1"/>
    <x v="8"/>
    <s v="Periodo 2013-2019"/>
    <s v="Número de Sentencias"/>
    <s v="Poder Judicial"/>
    <s v="Sentencias Dictadas por delitos de Abuso Sexual en la Región de Aysén para el Periodo 2013-2019"/>
    <m/>
    <s v="Gráfico"/>
    <s v="Región de Aysén,violencia,mujer,abuso, sexual, sentencia,menor,juzgado"/>
    <s v="PENDIENTE"/>
    <x v="1"/>
    <s v="#1774B9"/>
  </r>
  <r>
    <s v="0151"/>
    <n v="990"/>
    <s v="Agencia Información"/>
    <s v="Mujeres"/>
    <n v="12"/>
    <x v="7"/>
    <x v="6"/>
    <x v="1"/>
    <x v="12"/>
    <x v="1"/>
    <x v="8"/>
    <s v="Periodo 2013-2019"/>
    <s v="Número de Sentencias"/>
    <s v="Poder Judicial"/>
    <s v="Sentencias Dictadas por delitos de Abuso Sexual en la Región de Magallanes para el Periodo 2013-2019"/>
    <m/>
    <s v="Gráfico"/>
    <s v="Región de Magallanes,violencia,mujer,abuso, sexual, sentencia,menor,juzgado"/>
    <s v="PENDIENTE"/>
    <x v="1"/>
    <s v="#1774B9"/>
  </r>
  <r>
    <s v="0152"/>
    <n v="990"/>
    <s v="Agencia Información"/>
    <s v="Mujeres"/>
    <n v="13"/>
    <x v="7"/>
    <x v="6"/>
    <x v="1"/>
    <x v="13"/>
    <x v="1"/>
    <x v="8"/>
    <s v="Periodo 2013-2019"/>
    <s v="Número de Sentencias"/>
    <s v="Poder Judicial"/>
    <s v="Sentencias Dictadas por delitos de Abuso Sexual en la Región Metropolitana para el Periodo 2013-2019"/>
    <s v="El delito de Abuso Sexual que más sentencias acumula para el periodo comprendido entre los años 2013 – 2019, en la región Metropolitana, es el calificado como Abuso sexual con contacto de menor de 14 de años, el que supera las 34.000 sentencia cada año."/>
    <s v="Gráfico"/>
    <s v="Región Metropolitana,violencia,mujer,abuso, sexual, sentencia,menor,juzgado"/>
    <s v="https://analytics.zoho.com/open-view/2395394000007173975?ZOHO_CRITERIA=%22Localiza%20CL%22.%22Codreg%22%3D13"/>
    <x v="1"/>
    <s v="#1774B9"/>
  </r>
  <r>
    <s v="0153"/>
    <n v="990"/>
    <s v="Agencia Información"/>
    <s v="Mujeres"/>
    <n v="14"/>
    <x v="7"/>
    <x v="6"/>
    <x v="1"/>
    <x v="14"/>
    <x v="1"/>
    <x v="8"/>
    <s v="Periodo 2013-2019"/>
    <s v="Número de Sentencias"/>
    <s v="Poder Judicial"/>
    <s v="Sentencias Dictadas por delitos de Abuso Sexual en la Región de Los Ríos para el Periodo 2013-2019"/>
    <m/>
    <s v="Gráfico"/>
    <s v="Región de Los Ríos,violencia,mujer,abuso, sexual, sentencia,menor,juzgado"/>
    <s v="PENDIENTE"/>
    <x v="1"/>
    <s v="#1774B9"/>
  </r>
  <r>
    <s v="0154"/>
    <n v="990"/>
    <s v="Agencia Información"/>
    <s v="Mujeres"/>
    <n v="15"/>
    <x v="7"/>
    <x v="6"/>
    <x v="1"/>
    <x v="15"/>
    <x v="1"/>
    <x v="8"/>
    <s v="Periodo 2013-2019"/>
    <s v="Número de Sentencias"/>
    <s v="Poder Judicial"/>
    <s v="Sentencias Dictadas por delitos de Abuso Sexual en la Región de Arica y Parinacota para el Periodo 2013-2019"/>
    <m/>
    <s v="Gráfico"/>
    <s v="Región de Arica y Parinacota,violencia,mujer,abuso, sexual, sentencia,menor,juzgado"/>
    <s v="PENDIENTE"/>
    <x v="1"/>
    <s v="#1774B9"/>
  </r>
  <r>
    <s v="0155"/>
    <n v="990"/>
    <s v="Agencia Información"/>
    <s v="Mujeres"/>
    <n v="16"/>
    <x v="7"/>
    <x v="6"/>
    <x v="1"/>
    <x v="16"/>
    <x v="1"/>
    <x v="8"/>
    <s v="Periodo 2013-2019"/>
    <s v="Número de Sentencias"/>
    <s v="Poder Judicial"/>
    <s v="Sentencias Dictadas por delitos de Abuso Sexual en la Región de Ñuble para el Periodo 2013-2019"/>
    <m/>
    <s v="Gráfico"/>
    <s v="Región de Ñuble,violencia,mujer,abuso, sexual, sentencia,menor,juzgado"/>
    <s v="PENDIENTE"/>
    <x v="1"/>
    <s v="#1774B9"/>
  </r>
  <r>
    <s v="0156"/>
    <n v="990"/>
    <s v="Agencia Información"/>
    <s v="Mujeres"/>
    <n v="0"/>
    <x v="7"/>
    <x v="6"/>
    <x v="0"/>
    <x v="0"/>
    <x v="2"/>
    <x v="9"/>
    <s v="Periodo 2013-2019"/>
    <s v="Número de Sentencias"/>
    <s v="Poder Judicial"/>
    <s v="Sentencias Dictadas por delitos de Abuso Sexual en la Chile para el Periodo 2013-2019"/>
    <m/>
    <s v="Gráfico"/>
    <s v="Chile,violencia,mujer,abuso, sexual, sentencia,menor,juzgado"/>
    <s v="PENDIENTE"/>
    <x v="1"/>
    <s v="#1774B9"/>
  </r>
  <r>
    <s v="0157"/>
    <n v="990"/>
    <s v="Agencia Información"/>
    <s v="Mujeres"/>
    <n v="1"/>
    <x v="7"/>
    <x v="6"/>
    <x v="1"/>
    <x v="1"/>
    <x v="2"/>
    <x v="9"/>
    <s v="Periodo 2013-2019"/>
    <s v="Número de Sentencias"/>
    <s v="Poder Judicial"/>
    <s v="Sentencias Dictadas por delitos de Abuso Sexual en la Región de Tarapacá para el Periodo 2013-2019"/>
    <m/>
    <s v="Gráfico"/>
    <s v="Región de Tarapacá,violencia,mujer,abuso, sexual, sentencia,menor,juzgado"/>
    <s v="PENDIENTE"/>
    <x v="1"/>
    <s v="#1774B9"/>
  </r>
  <r>
    <s v="0158"/>
    <n v="990"/>
    <s v="Agencia Información"/>
    <s v="Mujeres"/>
    <n v="2"/>
    <x v="7"/>
    <x v="6"/>
    <x v="1"/>
    <x v="2"/>
    <x v="2"/>
    <x v="9"/>
    <s v="Periodo 2013-2019"/>
    <s v="Número de Sentencias"/>
    <s v="Poder Judicial"/>
    <s v="Sentencias Dictadas por delitos de Abuso Sexual en la Región de Antofagasta para el Periodo 2013-2019"/>
    <m/>
    <s v="Gráfico"/>
    <s v="Región de Antofagasta,violencia,mujer,abuso, sexual, sentencia,menor,juzgado"/>
    <s v="PENDIENTE"/>
    <x v="1"/>
    <s v="#1774B9"/>
  </r>
  <r>
    <s v="0159"/>
    <n v="990"/>
    <s v="Agencia Información"/>
    <s v="Mujeres"/>
    <n v="3"/>
    <x v="7"/>
    <x v="6"/>
    <x v="1"/>
    <x v="3"/>
    <x v="2"/>
    <x v="9"/>
    <s v="Periodo 2013-2019"/>
    <s v="Número de Sentencias"/>
    <s v="Poder Judicial"/>
    <s v="Sentencias Dictadas por delitos de Abuso Sexual en la Región de Atacama para el Periodo 2013-2019"/>
    <m/>
    <s v="Gráfico"/>
    <s v="Región de Atacama,violencia,mujer,abuso, sexual, sentencia,menor,juzgado"/>
    <s v="PENDIENTE"/>
    <x v="1"/>
    <s v="#1774B9"/>
  </r>
  <r>
    <s v="0160"/>
    <n v="990"/>
    <s v="Agencia Información"/>
    <s v="Mujeres"/>
    <n v="4"/>
    <x v="7"/>
    <x v="6"/>
    <x v="1"/>
    <x v="4"/>
    <x v="2"/>
    <x v="9"/>
    <s v="Periodo 2013-2019"/>
    <s v="Número de Sentencias"/>
    <s v="Poder Judicial"/>
    <s v="Sentencias Dictadas por delitos de Abuso Sexual en la Región de Coquimbo para el Periodo 2013-2019"/>
    <m/>
    <s v="Gráfico"/>
    <s v="Región de Coquimbo,violencia,mujer,abuso, sexual, sentencia,menor,juzgado"/>
    <s v="PENDIENTE"/>
    <x v="1"/>
    <s v="#1774B9"/>
  </r>
  <r>
    <s v="0161"/>
    <n v="990"/>
    <s v="Agencia Información"/>
    <s v="Mujeres"/>
    <n v="5"/>
    <x v="7"/>
    <x v="6"/>
    <x v="1"/>
    <x v="5"/>
    <x v="2"/>
    <x v="9"/>
    <s v="Periodo 2013-2019"/>
    <s v="Número de Sentencias"/>
    <s v="Poder Judicial"/>
    <s v="Sentencias Dictadas por delitos de Abuso Sexual en la Región de Valparaíso para el Periodo 2013-2019"/>
    <m/>
    <s v="Gráfico"/>
    <s v="Región de Valparaíso,violencia,mujer,abuso, sexual, sentencia,menor,juzgado"/>
    <s v="PENDIENTE"/>
    <x v="1"/>
    <s v="#1774B9"/>
  </r>
  <r>
    <s v="0162"/>
    <n v="990"/>
    <s v="Agencia Información"/>
    <s v="Mujeres"/>
    <n v="6"/>
    <x v="7"/>
    <x v="6"/>
    <x v="1"/>
    <x v="6"/>
    <x v="2"/>
    <x v="9"/>
    <s v="Periodo 2013-2019"/>
    <s v="Número de Sentencias"/>
    <s v="Poder Judicial"/>
    <s v="Sentencias Dictadas por delitos de Abuso Sexual en la Región de O'Higgins para el Periodo 2013-2019"/>
    <m/>
    <s v="Gráfico"/>
    <s v="Región de O'Higgins,violencia,mujer,abuso, sexual, sentencia,menor,juzgado"/>
    <s v="PENDIENTE"/>
    <x v="1"/>
    <s v="#1774B9"/>
  </r>
  <r>
    <s v="0163"/>
    <n v="990"/>
    <s v="Agencia Información"/>
    <s v="Mujeres"/>
    <n v="7"/>
    <x v="7"/>
    <x v="6"/>
    <x v="1"/>
    <x v="7"/>
    <x v="2"/>
    <x v="9"/>
    <s v="Periodo 2013-2019"/>
    <s v="Número de Sentencias"/>
    <s v="Poder Judicial"/>
    <s v="Sentencias Dictadas por delitos de Abuso Sexual en la Región de Maule para el Periodo 2013-2019"/>
    <m/>
    <s v="Gráfico"/>
    <s v="Región de Maule,violencia,mujer,abuso, sexual, sentencia,menor,juzgado"/>
    <s v="PENDIENTE"/>
    <x v="1"/>
    <s v="#1774B9"/>
  </r>
  <r>
    <s v="0164"/>
    <n v="990"/>
    <s v="Agencia Información"/>
    <s v="Mujeres"/>
    <n v="8"/>
    <x v="7"/>
    <x v="6"/>
    <x v="1"/>
    <x v="8"/>
    <x v="2"/>
    <x v="9"/>
    <s v="Periodo 2013-2019"/>
    <s v="Número de Sentencias"/>
    <s v="Poder Judicial"/>
    <s v="Sentencias Dictadas por delitos de Abuso Sexual en la Región del Biobío para el Periodo 2013-2019"/>
    <m/>
    <s v="Gráfico"/>
    <s v="Región del Biobío,violencia,mujer,abuso, sexual, sentencia,menor,juzgado"/>
    <s v="PENDIENTE"/>
    <x v="1"/>
    <s v="#1774B9"/>
  </r>
  <r>
    <s v="0165"/>
    <n v="990"/>
    <s v="Agencia Información"/>
    <s v="Mujeres"/>
    <n v="9"/>
    <x v="7"/>
    <x v="6"/>
    <x v="1"/>
    <x v="9"/>
    <x v="2"/>
    <x v="9"/>
    <s v="Periodo 2013-2019"/>
    <s v="Número de Sentencias"/>
    <s v="Poder Judicial"/>
    <s v="Sentencias Dictadas por delitos de Abuso Sexual en la Región de La Araucanía para el Periodo 2013-2019"/>
    <m/>
    <s v="Gráfico"/>
    <s v="Región de La Araucanía,violencia,mujer,abuso, sexual, sentencia,menor,juzgado"/>
    <s v="PENDIENTE"/>
    <x v="1"/>
    <s v="#1774B9"/>
  </r>
  <r>
    <s v="0166"/>
    <n v="990"/>
    <s v="Agencia Información"/>
    <s v="Mujeres"/>
    <n v="10"/>
    <x v="7"/>
    <x v="6"/>
    <x v="1"/>
    <x v="10"/>
    <x v="2"/>
    <x v="9"/>
    <s v="Periodo 2013-2019"/>
    <s v="Número de Sentencias"/>
    <s v="Poder Judicial"/>
    <s v="Sentencias Dictadas por delitos de Abuso Sexual en la Región de Los Lagos para el Periodo 2013-2019"/>
    <m/>
    <s v="Gráfico"/>
    <s v="Región de Los Lagos,violencia,mujer,abuso, sexual, sentencia,menor,juzgado"/>
    <s v="PENDIENTE"/>
    <x v="1"/>
    <s v="#1774B9"/>
  </r>
  <r>
    <s v="0167"/>
    <n v="990"/>
    <s v="Agencia Información"/>
    <s v="Mujeres"/>
    <n v="11"/>
    <x v="7"/>
    <x v="6"/>
    <x v="1"/>
    <x v="11"/>
    <x v="2"/>
    <x v="9"/>
    <s v="Periodo 2013-2019"/>
    <s v="Número de Sentencias"/>
    <s v="Poder Judicial"/>
    <s v="Sentencias Dictadas por delitos de Abuso Sexual en la Región de Aysén para el Periodo 2013-2019"/>
    <m/>
    <s v="Gráfico"/>
    <s v="Región de Aysén,violencia,mujer,abuso, sexual, sentencia,menor,juzgado"/>
    <s v="PENDIENTE"/>
    <x v="1"/>
    <s v="#1774B9"/>
  </r>
  <r>
    <s v="0168"/>
    <n v="990"/>
    <s v="Agencia Información"/>
    <s v="Mujeres"/>
    <n v="12"/>
    <x v="7"/>
    <x v="6"/>
    <x v="1"/>
    <x v="12"/>
    <x v="2"/>
    <x v="9"/>
    <s v="Periodo 2013-2019"/>
    <s v="Número de Sentencias"/>
    <s v="Poder Judicial"/>
    <s v="Sentencias Dictadas por delitos de Abuso Sexual en la Región de Magallanes para el Periodo 2013-2019"/>
    <m/>
    <s v="Gráfico"/>
    <s v="Región de Magallanes,violencia,mujer,abuso, sexual, sentencia,menor,juzgado"/>
    <s v="PENDIENTE"/>
    <x v="1"/>
    <s v="#1774B9"/>
  </r>
  <r>
    <s v="0169"/>
    <n v="990"/>
    <s v="Agencia Información"/>
    <s v="Mujeres"/>
    <n v="13"/>
    <x v="7"/>
    <x v="6"/>
    <x v="1"/>
    <x v="13"/>
    <x v="2"/>
    <x v="9"/>
    <s v="Periodo 2013-2019"/>
    <s v="Número de Sentencias"/>
    <s v="Poder Judicial"/>
    <s v="Sentencias Dictadas por delitos de Abuso Sexual en la Región Metropolitana para el Periodo 2013-2019"/>
    <m/>
    <s v="Gráfico"/>
    <s v="Región Metropolitana,violencia,mujer,abuso, sexual, sentencia,menor,juzgado"/>
    <s v="PENDIENTE"/>
    <x v="1"/>
    <s v="#1774B9"/>
  </r>
  <r>
    <s v="0170"/>
    <n v="990"/>
    <s v="Agencia Información"/>
    <s v="Mujeres"/>
    <n v="14"/>
    <x v="7"/>
    <x v="6"/>
    <x v="1"/>
    <x v="14"/>
    <x v="2"/>
    <x v="9"/>
    <s v="Periodo 2013-2019"/>
    <s v="Número de Sentencias"/>
    <s v="Poder Judicial"/>
    <s v="Sentencias Dictadas por delitos de Abuso Sexual en la Región de Los Ríos para el Periodo 2013-2019"/>
    <m/>
    <s v="Gráfico"/>
    <s v="Región de Los Ríos,violencia,mujer,abuso, sexual, sentencia,menor,juzgado"/>
    <s v="PENDIENTE"/>
    <x v="1"/>
    <s v="#1774B9"/>
  </r>
  <r>
    <s v="0171"/>
    <n v="990"/>
    <s v="Agencia Información"/>
    <s v="Mujeres"/>
    <n v="15"/>
    <x v="7"/>
    <x v="6"/>
    <x v="1"/>
    <x v="15"/>
    <x v="2"/>
    <x v="9"/>
    <s v="Periodo 2013-2019"/>
    <s v="Número de Sentencias"/>
    <s v="Poder Judicial"/>
    <s v="Sentencias Dictadas por delitos de Abuso Sexual en la Región de Arica y Parinacota para el Periodo 2013-2019"/>
    <m/>
    <s v="Gráfico"/>
    <s v="Región de Arica y Parinacota,violencia,mujer,abuso, sexual, sentencia,menor,juzgado"/>
    <s v="PENDIENTE"/>
    <x v="1"/>
    <s v="#1774B9"/>
  </r>
  <r>
    <s v="0172"/>
    <n v="990"/>
    <s v="Agencia Información"/>
    <s v="Mujeres"/>
    <n v="16"/>
    <x v="7"/>
    <x v="6"/>
    <x v="1"/>
    <x v="16"/>
    <x v="2"/>
    <x v="9"/>
    <s v="Periodo 2013-2019"/>
    <s v="Número de Sentencias"/>
    <s v="Poder Judicial"/>
    <s v="Sentencias Dictadas por delitos de Abuso Sexual en la Región de Ñuble para el Periodo 2013-2019"/>
    <m/>
    <s v="Gráfico"/>
    <s v="Región de Ñuble,violencia,mujer,abuso, sexual, sentencia,menor,juzgado"/>
    <s v="PENDIENTE"/>
    <x v="1"/>
    <s v="#1774B9"/>
  </r>
  <r>
    <s v="0173"/>
    <n v="990"/>
    <s v="Agencia Información"/>
    <s v="Mujeres"/>
    <m/>
    <x v="7"/>
    <x v="6"/>
    <x v="2"/>
    <x v="17"/>
    <x v="2"/>
    <x v="9"/>
    <s v="Periodo 2013-2019"/>
    <s v="Número de Sentencias"/>
    <s v="Poder Judicial"/>
    <s v="Sentencias Dictadas por delitos de Abuso Sexual en la  para el Periodo 2013-2019"/>
    <m/>
    <s v="Gráfico"/>
    <s v=",violencia,mujer,abuso, sexual, sentencia,menor,juzgado"/>
    <s v="PENDIENTE"/>
    <x v="1"/>
    <s v="#1774B9"/>
  </r>
  <r>
    <s v="0174"/>
    <n v="990"/>
    <s v="Agencia Información"/>
    <s v="Mujeres"/>
    <m/>
    <x v="7"/>
    <x v="6"/>
    <x v="2"/>
    <x v="17"/>
    <x v="2"/>
    <x v="9"/>
    <s v="Periodo 2013-2019"/>
    <s v="Número de Sentencias"/>
    <s v="Poder Judicial"/>
    <s v="Sentencias Dictadas por delitos de Abuso Sexual en la  para el Periodo 2013-2019"/>
    <m/>
    <s v="Gráfico"/>
    <s v=",violencia,mujer,abuso, sexual, sentencia,menor,juzgado"/>
    <s v="PENDIENTE"/>
    <x v="1"/>
    <s v="#1774B9"/>
  </r>
  <r>
    <s v="0175"/>
    <n v="990"/>
    <s v="Agencia Información"/>
    <s v="Mujeres"/>
    <m/>
    <x v="7"/>
    <x v="6"/>
    <x v="2"/>
    <x v="17"/>
    <x v="2"/>
    <x v="9"/>
    <s v="Periodo 2013-2019"/>
    <s v="Número de Sentencias"/>
    <s v="Poder Judicial"/>
    <s v="Sentencias Dictadas por delitos de Abuso Sexual en la  para el Periodo 2013-2019"/>
    <m/>
    <s v="Gráfico"/>
    <s v=",violencia,mujer,abuso, sexual, sentencia,menor,juzgado"/>
    <s v="PENDIENTE"/>
    <x v="1"/>
    <s v="#1774B9"/>
  </r>
  <r>
    <s v="0176"/>
    <n v="990"/>
    <s v="Agencia Información"/>
    <s v="Mujeres"/>
    <m/>
    <x v="7"/>
    <x v="6"/>
    <x v="2"/>
    <x v="17"/>
    <x v="2"/>
    <x v="9"/>
    <s v="Periodo 2013-2019"/>
    <s v="Número de Sentencias"/>
    <s v="Poder Judicial"/>
    <s v="Sentencias Dictadas por delitos de Abuso Sexual en la  para el Periodo 2013-2019"/>
    <m/>
    <s v="Gráfico"/>
    <s v=",violencia,mujer,abuso, sexual, sentencia,menor,juzgado"/>
    <s v="PENDIENTE"/>
    <x v="1"/>
    <s v="#1774B9"/>
  </r>
  <r>
    <s v="0177"/>
    <n v="990"/>
    <s v="Agencia Información"/>
    <s v="Mujeres"/>
    <m/>
    <x v="7"/>
    <x v="6"/>
    <x v="2"/>
    <x v="17"/>
    <x v="2"/>
    <x v="9"/>
    <s v="Periodo 2013-2019"/>
    <s v="Número de Sentencias"/>
    <s v="Poder Judicial"/>
    <s v="Sentencias Dictadas por delitos de Abuso Sexual en la  para el Periodo 2013-2019"/>
    <m/>
    <s v="Gráfico"/>
    <s v=",violencia,mujer,abuso, sexual, sentencia,menor,juzgado"/>
    <s v="PENDIENTE"/>
    <x v="1"/>
    <s v="#1774B9"/>
  </r>
  <r>
    <s v="0178"/>
    <n v="990"/>
    <s v="Agencia Información"/>
    <s v="Mujeres"/>
    <m/>
    <x v="7"/>
    <x v="6"/>
    <x v="2"/>
    <x v="17"/>
    <x v="2"/>
    <x v="9"/>
    <s v="Periodo 2013-2019"/>
    <s v="Número de Sentencias"/>
    <s v="Poder Judicial"/>
    <s v="Sentencias Dictadas por delitos de Abuso Sexual en la  para el Periodo 2013-2019"/>
    <m/>
    <s v="Gráfico"/>
    <s v=",violencia,mujer,abuso, sexual, sentencia,menor,juzgado"/>
    <s v="PENDIENTE"/>
    <x v="1"/>
    <s v="#1774B9"/>
  </r>
  <r>
    <s v="0179"/>
    <n v="990"/>
    <s v="Agencia Información"/>
    <s v="Mujeres"/>
    <m/>
    <x v="7"/>
    <x v="6"/>
    <x v="2"/>
    <x v="17"/>
    <x v="2"/>
    <x v="9"/>
    <s v="Periodo 2013-2019"/>
    <s v="Número de Sentencias"/>
    <s v="Poder Judicial"/>
    <s v="Sentencias Dictadas por delitos de Abuso Sexual en la  para el Periodo 2013-2019"/>
    <m/>
    <s v="Gráfico"/>
    <s v=",violencia,mujer,abuso, sexual, sentencia,menor,juzgado"/>
    <s v="PENDIENTE"/>
    <x v="1"/>
    <s v="#1774B9"/>
  </r>
  <r>
    <s v="0180"/>
    <n v="990"/>
    <s v="Agencia Información"/>
    <s v="Mujeres"/>
    <m/>
    <x v="7"/>
    <x v="6"/>
    <x v="2"/>
    <x v="17"/>
    <x v="2"/>
    <x v="9"/>
    <s v="Periodo 2013-2019"/>
    <s v="Número de Sentencias"/>
    <s v="Poder Judicial"/>
    <s v="Sentencias Dictadas por delitos de Abuso Sexual en la  para el Periodo 2013-2019"/>
    <m/>
    <s v="Gráfico"/>
    <s v=",violencia,mujer,abuso, sexual, sentencia,menor,juzgado"/>
    <s v="PENDIENTE"/>
    <x v="1"/>
    <s v="#1774B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73AC8F-C5B9-4397-881E-C87F4D5D72DB}" name="TablaDinámica3" cacheId="10"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E3:E10" firstHeaderRow="1" firstDataRow="1" firstDataCol="1"/>
  <pivotFields count="21">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3">
        <item m="1" x="12"/>
        <item m="1" x="9"/>
        <item m="1" x="7"/>
        <item m="1" x="8"/>
        <item m="1" x="11"/>
        <item m="1" x="10"/>
        <item x="0"/>
        <item x="1"/>
        <item x="2"/>
        <item x="3"/>
        <item x="4"/>
        <item x="5"/>
        <item x="6"/>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6"/>
  </rowFields>
  <rowItems count="7">
    <i>
      <x v="6"/>
    </i>
    <i>
      <x v="7"/>
    </i>
    <i>
      <x v="8"/>
    </i>
    <i>
      <x v="9"/>
    </i>
    <i>
      <x v="10"/>
    </i>
    <i>
      <x v="11"/>
    </i>
    <i>
      <x v="12"/>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DDEFDB-163D-4CC1-8861-7C6E3CE442CC}" name="TablaDinámica2" cacheId="10"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A3:A11" firstHeaderRow="1" firstDataRow="1" firstDataCol="1"/>
  <pivotFields count="21">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0">
        <item m="1" x="9"/>
        <item m="1" x="8"/>
        <item x="0"/>
        <item x="1"/>
        <item x="2"/>
        <item x="3"/>
        <item x="4"/>
        <item x="5"/>
        <item x="6"/>
        <item x="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5"/>
  </rowFields>
  <rowItems count="8">
    <i>
      <x v="2"/>
    </i>
    <i>
      <x v="3"/>
    </i>
    <i>
      <x v="4"/>
    </i>
    <i>
      <x v="5"/>
    </i>
    <i>
      <x v="6"/>
    </i>
    <i>
      <x v="7"/>
    </i>
    <i>
      <x v="8"/>
    </i>
    <i>
      <x v="9"/>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395618-C9A9-4B05-82B3-6BB840224A10}" name="TablaDinámica8" cacheId="10"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V3:W21" firstHeaderRow="1" firstDataRow="1" firstDataCol="2"/>
  <pivotFields count="21">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5">
        <item m="1" x="3"/>
        <item x="0"/>
        <item m="1" x="4"/>
        <item x="1"/>
        <item x="2"/>
      </items>
      <extLst>
        <ext xmlns:x14="http://schemas.microsoft.com/office/spreadsheetml/2009/9/main" uri="{2946ED86-A175-432a-8AC1-64E0C546D7DE}">
          <x14:pivotField fillDownLabels="1"/>
        </ext>
      </extLst>
    </pivotField>
    <pivotField axis="axisRow" compact="0" outline="0" showAll="0" defaultSubtotal="0">
      <items count="363">
        <item m="1" x="236"/>
        <item m="1" x="87"/>
        <item m="1" x="208"/>
        <item m="1" x="157"/>
        <item m="1" x="303"/>
        <item m="1" x="114"/>
        <item m="1" x="360"/>
        <item m="1" x="229"/>
        <item m="1" x="336"/>
        <item m="1" x="193"/>
        <item m="1" x="313"/>
        <item m="1" x="298"/>
        <item m="1" x="147"/>
        <item m="1" x="346"/>
        <item m="1" x="309"/>
        <item m="1" x="70"/>
        <item m="1" x="348"/>
        <item m="1" x="96"/>
        <item m="1" x="126"/>
        <item m="1" x="223"/>
        <item m="1" x="284"/>
        <item m="1" x="184"/>
        <item m="1" x="72"/>
        <item m="1" x="85"/>
        <item m="1" x="142"/>
        <item m="1" x="221"/>
        <item m="1" x="161"/>
        <item m="1" x="240"/>
        <item m="1" x="90"/>
        <item m="1" x="282"/>
        <item m="1" x="237"/>
        <item m="1" x="319"/>
        <item m="1" x="113"/>
        <item m="1" x="357"/>
        <item m="1" x="325"/>
        <item m="1" x="235"/>
        <item m="1" x="162"/>
        <item m="1" x="67"/>
        <item m="1" x="263"/>
        <item m="1" x="251"/>
        <item m="1" x="335"/>
        <item x="0"/>
        <item m="1" x="78"/>
        <item m="1" x="173"/>
        <item m="1" x="174"/>
        <item m="1" x="342"/>
        <item m="1" x="243"/>
        <item m="1" x="318"/>
        <item m="1" x="163"/>
        <item m="1" x="128"/>
        <item m="1" x="45"/>
        <item m="1" x="213"/>
        <item m="1" x="275"/>
        <item m="1" x="25"/>
        <item m="1" x="156"/>
        <item m="1" x="89"/>
        <item m="1" x="321"/>
        <item m="1" x="139"/>
        <item m="1" x="110"/>
        <item m="1" x="21"/>
        <item m="1" x="204"/>
        <item m="1" x="63"/>
        <item m="1" x="154"/>
        <item m="1" x="27"/>
        <item m="1" x="322"/>
        <item m="1" x="105"/>
        <item m="1" x="191"/>
        <item m="1" x="32"/>
        <item m="1" x="230"/>
        <item m="1" x="145"/>
        <item m="1" x="134"/>
        <item m="1" x="188"/>
        <item m="1" x="140"/>
        <item m="1" x="225"/>
        <item m="1" x="103"/>
        <item m="1" x="333"/>
        <item m="1" x="206"/>
        <item m="1" x="310"/>
        <item m="1" x="326"/>
        <item m="1" x="56"/>
        <item m="1" x="253"/>
        <item m="1" x="211"/>
        <item m="1" x="195"/>
        <item m="1" x="216"/>
        <item m="1" x="65"/>
        <item m="1" x="135"/>
        <item m="1" x="153"/>
        <item m="1" x="30"/>
        <item m="1" x="183"/>
        <item m="1" x="111"/>
        <item m="1" x="329"/>
        <item m="1" x="233"/>
        <item m="1" x="123"/>
        <item m="1" x="203"/>
        <item m="1" x="185"/>
        <item m="1" x="283"/>
        <item m="1" x="22"/>
        <item m="1" x="316"/>
        <item m="1" x="260"/>
        <item m="1" x="155"/>
        <item m="1" x="256"/>
        <item m="1" x="217"/>
        <item m="1" x="150"/>
        <item m="1" x="53"/>
        <item m="1" x="210"/>
        <item m="1" x="57"/>
        <item m="1" x="81"/>
        <item m="1" x="61"/>
        <item m="1" x="58"/>
        <item m="1" x="34"/>
        <item m="1" x="300"/>
        <item m="1" x="93"/>
        <item m="1" x="190"/>
        <item m="1" x="218"/>
        <item m="1" x="137"/>
        <item m="1" x="37"/>
        <item m="1" x="286"/>
        <item m="1" x="273"/>
        <item m="1" x="350"/>
        <item m="1" x="120"/>
        <item m="1" x="254"/>
        <item m="1" x="339"/>
        <item m="1" x="340"/>
        <item m="1" x="144"/>
        <item m="1" x="106"/>
        <item m="1" x="172"/>
        <item m="1" x="269"/>
        <item m="1" x="290"/>
        <item m="1" x="299"/>
        <item m="1" x="100"/>
        <item m="1" x="308"/>
        <item m="1" x="266"/>
        <item m="1" x="86"/>
        <item m="1" x="358"/>
        <item m="1" x="245"/>
        <item m="1" x="292"/>
        <item m="1" x="295"/>
        <item m="1" x="133"/>
        <item m="1" x="199"/>
        <item m="1" x="109"/>
        <item m="1" x="31"/>
        <item m="1" x="314"/>
        <item m="1" x="356"/>
        <item m="1" x="42"/>
        <item m="1" x="164"/>
        <item m="1" x="55"/>
        <item m="1" x="347"/>
        <item m="1" x="289"/>
        <item m="1" x="331"/>
        <item m="1" x="36"/>
        <item m="1" x="324"/>
        <item m="1" x="222"/>
        <item m="1" x="205"/>
        <item m="1" x="201"/>
        <item m="1" x="343"/>
        <item m="1" x="312"/>
        <item m="1" x="207"/>
        <item m="1" x="40"/>
        <item m="1" x="73"/>
        <item m="1" x="189"/>
        <item m="1" x="95"/>
        <item m="1" x="23"/>
        <item m="1" x="51"/>
        <item m="1" x="33"/>
        <item m="1" x="279"/>
        <item m="1" x="344"/>
        <item m="1" x="176"/>
        <item m="1" x="202"/>
        <item m="1" x="239"/>
        <item m="1" x="242"/>
        <item m="1" x="272"/>
        <item m="1" x="320"/>
        <item m="1" x="177"/>
        <item m="1" x="215"/>
        <item m="1" x="44"/>
        <item m="1" x="62"/>
        <item m="1" x="182"/>
        <item m="1" x="132"/>
        <item m="1" x="167"/>
        <item m="1" x="20"/>
        <item m="1" x="18"/>
        <item m="1" x="64"/>
        <item m="1" x="281"/>
        <item m="1" x="71"/>
        <item m="1" x="165"/>
        <item m="1" x="187"/>
        <item m="1" x="125"/>
        <item m="1" x="274"/>
        <item m="1" x="277"/>
        <item m="1" x="337"/>
        <item m="1" x="148"/>
        <item m="1" x="249"/>
        <item m="1" x="107"/>
        <item m="1" x="306"/>
        <item m="1" x="186"/>
        <item m="1" x="197"/>
        <item m="1" x="152"/>
        <item m="1" x="151"/>
        <item m="1" x="94"/>
        <item m="1" x="29"/>
        <item m="1" x="330"/>
        <item m="1" x="43"/>
        <item m="1" x="68"/>
        <item m="1" x="121"/>
        <item m="1" x="315"/>
        <item m="1" x="250"/>
        <item m="1" x="158"/>
        <item m="1" x="49"/>
        <item m="1" x="141"/>
        <item m="1" x="102"/>
        <item m="1" x="278"/>
        <item m="1" x="19"/>
        <item m="1" x="255"/>
        <item m="1" x="84"/>
        <item m="1" x="92"/>
        <item m="1" x="131"/>
        <item m="1" x="192"/>
        <item m="1" x="138"/>
        <item m="1" x="261"/>
        <item m="1" x="257"/>
        <item m="1" x="41"/>
        <item m="1" x="196"/>
        <item m="1" x="175"/>
        <item m="1" x="171"/>
        <item m="1" x="119"/>
        <item m="1" x="267"/>
        <item m="1" x="241"/>
        <item m="1" x="159"/>
        <item m="1" x="338"/>
        <item m="1" x="149"/>
        <item m="1" x="47"/>
        <item m="1" x="180"/>
        <item m="1" x="194"/>
        <item m="1" x="287"/>
        <item m="1" x="168"/>
        <item m="1" x="247"/>
        <item m="1" x="127"/>
        <item m="1" x="104"/>
        <item m="1" x="352"/>
        <item m="1" x="351"/>
        <item m="1" x="248"/>
        <item m="1" x="82"/>
        <item m="1" x="101"/>
        <item m="1" x="99"/>
        <item m="1" x="115"/>
        <item m="1" x="311"/>
        <item m="1" x="227"/>
        <item m="1" x="232"/>
        <item m="1" x="59"/>
        <item m="1" x="238"/>
        <item m="1" x="345"/>
        <item m="1" x="288"/>
        <item m="1" x="234"/>
        <item m="1" x="302"/>
        <item m="1" x="341"/>
        <item m="1" x="74"/>
        <item m="1" x="231"/>
        <item m="1" x="76"/>
        <item m="1" x="355"/>
        <item m="1" x="291"/>
        <item m="1" x="28"/>
        <item m="1" x="50"/>
        <item m="1" x="35"/>
        <item m="1" x="219"/>
        <item x="2"/>
        <item x="15"/>
        <item x="3"/>
        <item x="11"/>
        <item x="4"/>
        <item x="9"/>
        <item x="10"/>
        <item x="14"/>
        <item x="12"/>
        <item x="7"/>
        <item x="16"/>
        <item x="6"/>
        <item x="1"/>
        <item x="5"/>
        <item x="8"/>
        <item x="13"/>
        <item m="1" x="349"/>
        <item m="1" x="294"/>
        <item m="1" x="66"/>
        <item m="1" x="80"/>
        <item m="1" x="54"/>
        <item m="1" x="296"/>
        <item m="1" x="178"/>
        <item m="1" x="129"/>
        <item m="1" x="276"/>
        <item m="1" x="24"/>
        <item m="1" x="38"/>
        <item m="1" x="362"/>
        <item m="1" x="265"/>
        <item m="1" x="268"/>
        <item m="1" x="317"/>
        <item m="1" x="301"/>
        <item m="1" x="122"/>
        <item m="1" x="98"/>
        <item m="1" x="118"/>
        <item m="1" x="224"/>
        <item m="1" x="334"/>
        <item m="1" x="258"/>
        <item m="1" x="143"/>
        <item m="1" x="146"/>
        <item m="1" x="259"/>
        <item m="1" x="271"/>
        <item m="1" x="332"/>
        <item m="1" x="39"/>
        <item m="1" x="244"/>
        <item m="1" x="83"/>
        <item m="1" x="270"/>
        <item m="1" x="353"/>
        <item m="1" x="293"/>
        <item m="1" x="69"/>
        <item m="1" x="181"/>
        <item m="1" x="252"/>
        <item m="1" x="226"/>
        <item m="1" x="160"/>
        <item m="1" x="179"/>
        <item m="1" x="108"/>
        <item m="1" x="48"/>
        <item m="1" x="46"/>
        <item m="1" x="60"/>
        <item m="1" x="130"/>
        <item m="1" x="52"/>
        <item m="1" x="136"/>
        <item m="1" x="77"/>
        <item m="1" x="169"/>
        <item m="1" x="304"/>
        <item m="1" x="246"/>
        <item m="1" x="280"/>
        <item m="1" x="117"/>
        <item m="1" x="91"/>
        <item m="1" x="26"/>
        <item m="1" x="124"/>
        <item m="1" x="307"/>
        <item m="1" x="328"/>
        <item m="1" x="228"/>
        <item m="1" x="285"/>
        <item m="1" x="116"/>
        <item m="1" x="198"/>
        <item m="1" x="354"/>
        <item m="1" x="112"/>
        <item m="1" x="170"/>
        <item m="1" x="212"/>
        <item m="1" x="361"/>
        <item m="1" x="220"/>
        <item m="1" x="327"/>
        <item m="1" x="359"/>
        <item m="1" x="166"/>
        <item m="1" x="75"/>
        <item m="1" x="214"/>
        <item m="1" x="200"/>
        <item m="1" x="305"/>
        <item m="1" x="297"/>
        <item m="1" x="97"/>
        <item m="1" x="79"/>
        <item m="1" x="323"/>
        <item m="1" x="209"/>
        <item m="1" x="262"/>
        <item m="1" x="88"/>
        <item m="1" x="264"/>
        <item x="1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8"/>
    <field x="7"/>
  </rowFields>
  <rowItems count="18">
    <i>
      <x v="41"/>
      <x v="1"/>
    </i>
    <i>
      <x v="264"/>
      <x v="3"/>
    </i>
    <i>
      <x v="265"/>
      <x v="3"/>
    </i>
    <i>
      <x v="266"/>
      <x v="3"/>
    </i>
    <i>
      <x v="267"/>
      <x v="3"/>
    </i>
    <i>
      <x v="268"/>
      <x v="3"/>
    </i>
    <i>
      <x v="269"/>
      <x v="3"/>
    </i>
    <i>
      <x v="270"/>
      <x v="3"/>
    </i>
    <i>
      <x v="271"/>
      <x v="3"/>
    </i>
    <i>
      <x v="272"/>
      <x v="3"/>
    </i>
    <i>
      <x v="273"/>
      <x v="3"/>
    </i>
    <i>
      <x v="274"/>
      <x v="3"/>
    </i>
    <i>
      <x v="275"/>
      <x v="3"/>
    </i>
    <i>
      <x v="276"/>
      <x v="3"/>
    </i>
    <i>
      <x v="277"/>
      <x v="3"/>
    </i>
    <i>
      <x v="278"/>
      <x v="3"/>
    </i>
    <i>
      <x v="279"/>
      <x v="3"/>
    </i>
    <i>
      <x v="362"/>
      <x v="4"/>
    </i>
  </rowItems>
  <colItems count="1">
    <i/>
  </colItems>
  <formats count="1">
    <format dxfId="0">
      <pivotArea field="7" type="button" dataOnly="0" labelOnly="1" outline="0" axis="axisRow" fieldPosition="1"/>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A809155-381C-4432-9B5A-1D7F5E378C6D}" name="TablaDinámica7" cacheId="10"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M3:M13" firstHeaderRow="1" firstDataRow="1" firstDataCol="1"/>
  <pivotFields count="21">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2">
        <item x="9"/>
        <item m="1" x="10"/>
        <item x="8"/>
        <item m="1" x="11"/>
        <item x="3"/>
        <item x="7"/>
        <item x="0"/>
        <item x="1"/>
        <item x="2"/>
        <item x="4"/>
        <item x="5"/>
        <item x="6"/>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0"/>
  </rowFields>
  <rowItems count="10">
    <i>
      <x/>
    </i>
    <i>
      <x v="2"/>
    </i>
    <i>
      <x v="4"/>
    </i>
    <i>
      <x v="5"/>
    </i>
    <i>
      <x v="6"/>
    </i>
    <i>
      <x v="7"/>
    </i>
    <i>
      <x v="8"/>
    </i>
    <i>
      <x v="9"/>
    </i>
    <i>
      <x v="10"/>
    </i>
    <i>
      <x v="11"/>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DA83917-5E13-474F-96F2-8E7D27320B6A}" name="TablaDinámica6" cacheId="10"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I3:I6" firstHeaderRow="1" firstDataRow="1" firstDataCol="1"/>
  <pivotFields count="21">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9">
        <item x="2"/>
        <item m="1" x="5"/>
        <item m="1" x="6"/>
        <item m="1" x="3"/>
        <item x="0"/>
        <item m="1" x="7"/>
        <item m="1" x="8"/>
        <item x="1"/>
        <item m="1" x="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9"/>
  </rowFields>
  <rowItems count="3">
    <i>
      <x/>
    </i>
    <i>
      <x v="4"/>
    </i>
    <i>
      <x v="7"/>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870BAEC-3674-494C-96AA-D9E473F73853}" name="TablaDinámica4" cacheId="10"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R3:R6" firstHeaderRow="1" firstDataRow="1" firstDataCol="1"/>
  <pivotFields count="21">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5">
        <item m="1" x="3"/>
        <item x="0"/>
        <item m="1" x="4"/>
        <item x="1"/>
        <item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7"/>
  </rowFields>
  <rowItems count="3">
    <i>
      <x v="1"/>
    </i>
    <i>
      <x v="3"/>
    </i>
    <i>
      <x v="4"/>
    </i>
  </rowItems>
  <colItems count="1">
    <i/>
  </colItems>
  <formats count="2">
    <format dxfId="2">
      <pivotArea field="7" type="button" dataOnly="0" labelOnly="1" outline="0" axis="axisRow" fieldPosition="0"/>
    </format>
    <format dxfId="1">
      <pivotArea field="7"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303F3C8-DE76-42AA-BDDD-06E650266948}" name="TablaDinámica2" cacheId="10"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A3:G175" firstHeaderRow="1" firstDataRow="1" firstDataCol="7"/>
  <pivotFields count="21">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0">
        <item m="1" x="9"/>
        <item m="1" x="8"/>
        <item x="0"/>
        <item x="1"/>
        <item x="2"/>
        <item x="3"/>
        <item x="4"/>
        <item x="5"/>
        <item x="6"/>
        <item x="7"/>
      </items>
      <extLst>
        <ext xmlns:x14="http://schemas.microsoft.com/office/spreadsheetml/2009/9/main" uri="{2946ED86-A175-432a-8AC1-64E0C546D7DE}">
          <x14:pivotField fillDownLabels="1"/>
        </ext>
      </extLst>
    </pivotField>
    <pivotField axis="axisRow" compact="0" outline="0" showAll="0" defaultSubtotal="0">
      <items count="13">
        <item m="1" x="12"/>
        <item m="1" x="9"/>
        <item m="1" x="7"/>
        <item m="1" x="8"/>
        <item m="1" x="11"/>
        <item m="1" x="10"/>
        <item x="0"/>
        <item x="1"/>
        <item x="2"/>
        <item x="3"/>
        <item x="4"/>
        <item x="5"/>
        <item x="6"/>
      </items>
      <extLst>
        <ext xmlns:x14="http://schemas.microsoft.com/office/spreadsheetml/2009/9/main" uri="{2946ED86-A175-432a-8AC1-64E0C546D7DE}">
          <x14:pivotField fillDownLabels="1"/>
        </ext>
      </extLst>
    </pivotField>
    <pivotField axis="axisRow" compact="0" outline="0" showAll="0" defaultSubtotal="0">
      <items count="5">
        <item m="1" x="3"/>
        <item x="0"/>
        <item m="1" x="4"/>
        <item x="1"/>
        <item x="2"/>
      </items>
      <extLst>
        <ext xmlns:x14="http://schemas.microsoft.com/office/spreadsheetml/2009/9/main" uri="{2946ED86-A175-432a-8AC1-64E0C546D7DE}">
          <x14:pivotField fillDownLabels="1"/>
        </ext>
      </extLst>
    </pivotField>
    <pivotField axis="axisRow" compact="0" outline="0" showAll="0" defaultSubtotal="0">
      <items count="363">
        <item m="1" x="236"/>
        <item m="1" x="87"/>
        <item m="1" x="208"/>
        <item m="1" x="157"/>
        <item m="1" x="303"/>
        <item m="1" x="114"/>
        <item m="1" x="360"/>
        <item m="1" x="229"/>
        <item m="1" x="336"/>
        <item m="1" x="193"/>
        <item m="1" x="313"/>
        <item m="1" x="298"/>
        <item m="1" x="147"/>
        <item m="1" x="346"/>
        <item m="1" x="309"/>
        <item m="1" x="70"/>
        <item m="1" x="348"/>
        <item m="1" x="96"/>
        <item m="1" x="126"/>
        <item m="1" x="223"/>
        <item m="1" x="284"/>
        <item m="1" x="184"/>
        <item m="1" x="72"/>
        <item m="1" x="85"/>
        <item m="1" x="142"/>
        <item m="1" x="221"/>
        <item m="1" x="161"/>
        <item m="1" x="240"/>
        <item m="1" x="90"/>
        <item m="1" x="282"/>
        <item m="1" x="237"/>
        <item m="1" x="319"/>
        <item m="1" x="113"/>
        <item m="1" x="357"/>
        <item m="1" x="325"/>
        <item m="1" x="235"/>
        <item m="1" x="162"/>
        <item m="1" x="67"/>
        <item m="1" x="263"/>
        <item m="1" x="251"/>
        <item m="1" x="335"/>
        <item x="0"/>
        <item m="1" x="78"/>
        <item m="1" x="173"/>
        <item m="1" x="174"/>
        <item m="1" x="342"/>
        <item m="1" x="243"/>
        <item m="1" x="318"/>
        <item m="1" x="163"/>
        <item m="1" x="128"/>
        <item m="1" x="45"/>
        <item m="1" x="213"/>
        <item m="1" x="275"/>
        <item m="1" x="25"/>
        <item m="1" x="156"/>
        <item m="1" x="89"/>
        <item m="1" x="321"/>
        <item m="1" x="139"/>
        <item m="1" x="110"/>
        <item m="1" x="21"/>
        <item m="1" x="204"/>
        <item m="1" x="63"/>
        <item m="1" x="154"/>
        <item m="1" x="27"/>
        <item m="1" x="322"/>
        <item m="1" x="105"/>
        <item m="1" x="191"/>
        <item m="1" x="32"/>
        <item m="1" x="230"/>
        <item m="1" x="145"/>
        <item m="1" x="134"/>
        <item m="1" x="188"/>
        <item m="1" x="140"/>
        <item m="1" x="225"/>
        <item m="1" x="103"/>
        <item m="1" x="333"/>
        <item m="1" x="206"/>
        <item m="1" x="310"/>
        <item m="1" x="326"/>
        <item m="1" x="56"/>
        <item m="1" x="253"/>
        <item m="1" x="211"/>
        <item m="1" x="195"/>
        <item m="1" x="216"/>
        <item m="1" x="65"/>
        <item m="1" x="135"/>
        <item m="1" x="153"/>
        <item m="1" x="30"/>
        <item m="1" x="183"/>
        <item m="1" x="111"/>
        <item m="1" x="329"/>
        <item m="1" x="233"/>
        <item m="1" x="123"/>
        <item m="1" x="203"/>
        <item m="1" x="185"/>
        <item m="1" x="283"/>
        <item m="1" x="22"/>
        <item m="1" x="316"/>
        <item m="1" x="260"/>
        <item m="1" x="155"/>
        <item m="1" x="256"/>
        <item m="1" x="217"/>
        <item m="1" x="150"/>
        <item m="1" x="53"/>
        <item m="1" x="210"/>
        <item m="1" x="57"/>
        <item m="1" x="81"/>
        <item m="1" x="61"/>
        <item m="1" x="58"/>
        <item m="1" x="34"/>
        <item m="1" x="300"/>
        <item m="1" x="93"/>
        <item m="1" x="190"/>
        <item m="1" x="218"/>
        <item m="1" x="137"/>
        <item m="1" x="37"/>
        <item m="1" x="286"/>
        <item m="1" x="273"/>
        <item m="1" x="350"/>
        <item m="1" x="120"/>
        <item m="1" x="254"/>
        <item m="1" x="339"/>
        <item m="1" x="340"/>
        <item m="1" x="144"/>
        <item m="1" x="106"/>
        <item m="1" x="172"/>
        <item m="1" x="269"/>
        <item m="1" x="290"/>
        <item m="1" x="299"/>
        <item m="1" x="100"/>
        <item m="1" x="308"/>
        <item m="1" x="266"/>
        <item m="1" x="86"/>
        <item m="1" x="358"/>
        <item m="1" x="245"/>
        <item m="1" x="292"/>
        <item m="1" x="295"/>
        <item m="1" x="133"/>
        <item m="1" x="199"/>
        <item m="1" x="109"/>
        <item m="1" x="31"/>
        <item m="1" x="314"/>
        <item m="1" x="356"/>
        <item m="1" x="42"/>
        <item m="1" x="164"/>
        <item m="1" x="55"/>
        <item m="1" x="347"/>
        <item m="1" x="289"/>
        <item m="1" x="331"/>
        <item m="1" x="36"/>
        <item m="1" x="324"/>
        <item m="1" x="222"/>
        <item m="1" x="205"/>
        <item m="1" x="201"/>
        <item m="1" x="343"/>
        <item m="1" x="312"/>
        <item m="1" x="207"/>
        <item m="1" x="40"/>
        <item m="1" x="73"/>
        <item m="1" x="189"/>
        <item m="1" x="95"/>
        <item m="1" x="23"/>
        <item m="1" x="51"/>
        <item m="1" x="33"/>
        <item m="1" x="279"/>
        <item m="1" x="344"/>
        <item m="1" x="176"/>
        <item m="1" x="202"/>
        <item m="1" x="239"/>
        <item m="1" x="242"/>
        <item m="1" x="272"/>
        <item m="1" x="320"/>
        <item m="1" x="177"/>
        <item m="1" x="215"/>
        <item m="1" x="44"/>
        <item m="1" x="62"/>
        <item m="1" x="182"/>
        <item m="1" x="132"/>
        <item m="1" x="167"/>
        <item m="1" x="20"/>
        <item m="1" x="18"/>
        <item m="1" x="64"/>
        <item m="1" x="281"/>
        <item m="1" x="71"/>
        <item m="1" x="165"/>
        <item m="1" x="187"/>
        <item m="1" x="125"/>
        <item m="1" x="274"/>
        <item m="1" x="277"/>
        <item m="1" x="337"/>
        <item m="1" x="148"/>
        <item m="1" x="249"/>
        <item m="1" x="107"/>
        <item m="1" x="306"/>
        <item m="1" x="186"/>
        <item m="1" x="197"/>
        <item m="1" x="152"/>
        <item m="1" x="151"/>
        <item m="1" x="94"/>
        <item m="1" x="29"/>
        <item m="1" x="330"/>
        <item m="1" x="43"/>
        <item m="1" x="68"/>
        <item m="1" x="121"/>
        <item m="1" x="315"/>
        <item m="1" x="250"/>
        <item m="1" x="158"/>
        <item m="1" x="49"/>
        <item m="1" x="141"/>
        <item m="1" x="102"/>
        <item m="1" x="278"/>
        <item m="1" x="19"/>
        <item m="1" x="255"/>
        <item m="1" x="84"/>
        <item m="1" x="92"/>
        <item m="1" x="131"/>
        <item m="1" x="192"/>
        <item m="1" x="138"/>
        <item m="1" x="261"/>
        <item m="1" x="257"/>
        <item m="1" x="41"/>
        <item m="1" x="196"/>
        <item m="1" x="175"/>
        <item m="1" x="171"/>
        <item m="1" x="119"/>
        <item m="1" x="267"/>
        <item m="1" x="241"/>
        <item m="1" x="159"/>
        <item m="1" x="338"/>
        <item m="1" x="149"/>
        <item m="1" x="47"/>
        <item m="1" x="180"/>
        <item m="1" x="194"/>
        <item m="1" x="287"/>
        <item m="1" x="168"/>
        <item m="1" x="247"/>
        <item m="1" x="127"/>
        <item m="1" x="104"/>
        <item m="1" x="352"/>
        <item m="1" x="351"/>
        <item m="1" x="248"/>
        <item m="1" x="82"/>
        <item m="1" x="101"/>
        <item m="1" x="99"/>
        <item m="1" x="115"/>
        <item m="1" x="311"/>
        <item m="1" x="227"/>
        <item m="1" x="232"/>
        <item m="1" x="59"/>
        <item m="1" x="238"/>
        <item m="1" x="345"/>
        <item m="1" x="288"/>
        <item m="1" x="234"/>
        <item m="1" x="302"/>
        <item m="1" x="341"/>
        <item m="1" x="74"/>
        <item m="1" x="231"/>
        <item m="1" x="76"/>
        <item m="1" x="355"/>
        <item m="1" x="291"/>
        <item m="1" x="28"/>
        <item m="1" x="50"/>
        <item m="1" x="35"/>
        <item m="1" x="219"/>
        <item x="2"/>
        <item x="15"/>
        <item x="3"/>
        <item x="11"/>
        <item x="4"/>
        <item x="9"/>
        <item x="10"/>
        <item x="14"/>
        <item x="12"/>
        <item x="7"/>
        <item x="16"/>
        <item x="6"/>
        <item x="1"/>
        <item x="5"/>
        <item x="8"/>
        <item x="13"/>
        <item m="1" x="349"/>
        <item m="1" x="294"/>
        <item m="1" x="66"/>
        <item m="1" x="80"/>
        <item m="1" x="54"/>
        <item m="1" x="296"/>
        <item m="1" x="178"/>
        <item m="1" x="129"/>
        <item m="1" x="276"/>
        <item m="1" x="24"/>
        <item m="1" x="38"/>
        <item m="1" x="362"/>
        <item m="1" x="265"/>
        <item m="1" x="268"/>
        <item m="1" x="317"/>
        <item m="1" x="301"/>
        <item m="1" x="122"/>
        <item m="1" x="98"/>
        <item m="1" x="118"/>
        <item m="1" x="224"/>
        <item m="1" x="334"/>
        <item m="1" x="258"/>
        <item m="1" x="143"/>
        <item m="1" x="146"/>
        <item m="1" x="259"/>
        <item m="1" x="271"/>
        <item m="1" x="332"/>
        <item m="1" x="39"/>
        <item m="1" x="244"/>
        <item m="1" x="83"/>
        <item m="1" x="270"/>
        <item m="1" x="353"/>
        <item m="1" x="293"/>
        <item m="1" x="69"/>
        <item m="1" x="181"/>
        <item m="1" x="252"/>
        <item m="1" x="226"/>
        <item m="1" x="160"/>
        <item m="1" x="179"/>
        <item m="1" x="108"/>
        <item m="1" x="48"/>
        <item m="1" x="46"/>
        <item m="1" x="60"/>
        <item m="1" x="130"/>
        <item m="1" x="52"/>
        <item m="1" x="136"/>
        <item m="1" x="77"/>
        <item m="1" x="169"/>
        <item m="1" x="304"/>
        <item m="1" x="246"/>
        <item m="1" x="280"/>
        <item m="1" x="117"/>
        <item m="1" x="91"/>
        <item m="1" x="26"/>
        <item m="1" x="124"/>
        <item m="1" x="307"/>
        <item m="1" x="328"/>
        <item m="1" x="228"/>
        <item m="1" x="285"/>
        <item m="1" x="116"/>
        <item m="1" x="198"/>
        <item m="1" x="354"/>
        <item m="1" x="112"/>
        <item m="1" x="170"/>
        <item m="1" x="212"/>
        <item m="1" x="361"/>
        <item m="1" x="220"/>
        <item m="1" x="327"/>
        <item m="1" x="359"/>
        <item m="1" x="166"/>
        <item m="1" x="75"/>
        <item m="1" x="214"/>
        <item m="1" x="200"/>
        <item m="1" x="305"/>
        <item m="1" x="297"/>
        <item m="1" x="97"/>
        <item m="1" x="79"/>
        <item m="1" x="323"/>
        <item m="1" x="209"/>
        <item m="1" x="262"/>
        <item m="1" x="88"/>
        <item m="1" x="264"/>
        <item x="17"/>
      </items>
      <extLst>
        <ext xmlns:x14="http://schemas.microsoft.com/office/spreadsheetml/2009/9/main" uri="{2946ED86-A175-432a-8AC1-64E0C546D7DE}">
          <x14:pivotField fillDownLabels="1"/>
        </ext>
      </extLst>
    </pivotField>
    <pivotField axis="axisRow" compact="0" outline="0" showAll="0" defaultSubtotal="0">
      <items count="9">
        <item x="2"/>
        <item m="1" x="5"/>
        <item m="1" x="6"/>
        <item m="1" x="3"/>
        <item x="0"/>
        <item m="1" x="7"/>
        <item m="1" x="8"/>
        <item x="1"/>
        <item m="1" x="4"/>
      </items>
      <extLst>
        <ext xmlns:x14="http://schemas.microsoft.com/office/spreadsheetml/2009/9/main" uri="{2946ED86-A175-432a-8AC1-64E0C546D7DE}">
          <x14:pivotField fillDownLabels="1"/>
        </ext>
      </extLst>
    </pivotField>
    <pivotField axis="axisRow" compact="0" outline="0" showAll="0" defaultSubtotal="0">
      <items count="12">
        <item x="9"/>
        <item m="1" x="10"/>
        <item x="8"/>
        <item m="1" x="11"/>
        <item x="3"/>
        <item x="7"/>
        <item x="0"/>
        <item x="1"/>
        <item x="2"/>
        <item x="4"/>
        <item x="5"/>
        <item x="6"/>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9">
        <item x="0"/>
        <item m="1" x="16"/>
        <item m="1" x="12"/>
        <item m="1" x="6"/>
        <item m="1" x="2"/>
        <item m="1" x="17"/>
        <item m="1" x="13"/>
        <item m="1" x="7"/>
        <item m="1" x="3"/>
        <item m="1" x="18"/>
        <item m="1" x="14"/>
        <item m="1" x="9"/>
        <item m="1" x="4"/>
        <item m="1" x="8"/>
        <item m="1" x="15"/>
        <item m="1" x="11"/>
        <item m="1" x="5"/>
        <item m="1" x="10"/>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7">
    <field x="5"/>
    <field x="6"/>
    <field x="7"/>
    <field x="9"/>
    <field x="8"/>
    <field x="10"/>
    <field x="19"/>
  </rowFields>
  <rowItems count="172">
    <i>
      <x v="2"/>
      <x v="6"/>
      <x v="1"/>
      <x v="4"/>
      <x v="41"/>
      <x v="6"/>
      <x/>
    </i>
    <i r="2">
      <x v="3"/>
      <x v="7"/>
      <x v="264"/>
      <x v="6"/>
      <x v="18"/>
    </i>
    <i r="4">
      <x v="265"/>
      <x v="6"/>
      <x v="18"/>
    </i>
    <i r="4">
      <x v="266"/>
      <x v="6"/>
      <x v="18"/>
    </i>
    <i r="4">
      <x v="267"/>
      <x v="6"/>
      <x v="18"/>
    </i>
    <i r="4">
      <x v="268"/>
      <x v="6"/>
      <x v="18"/>
    </i>
    <i r="4">
      <x v="269"/>
      <x v="6"/>
      <x v="18"/>
    </i>
    <i r="4">
      <x v="270"/>
      <x v="6"/>
      <x v="18"/>
    </i>
    <i r="4">
      <x v="271"/>
      <x v="6"/>
      <x v="18"/>
    </i>
    <i r="4">
      <x v="272"/>
      <x v="6"/>
      <x v="18"/>
    </i>
    <i r="4">
      <x v="273"/>
      <x v="6"/>
      <x v="18"/>
    </i>
    <i r="4">
      <x v="274"/>
      <x v="6"/>
      <x v="18"/>
    </i>
    <i r="4">
      <x v="275"/>
      <x v="6"/>
      <x v="18"/>
    </i>
    <i r="4">
      <x v="276"/>
      <x v="6"/>
      <x v="18"/>
    </i>
    <i r="4">
      <x v="277"/>
      <x v="6"/>
      <x v="18"/>
    </i>
    <i r="4">
      <x v="278"/>
      <x v="6"/>
      <x v="18"/>
    </i>
    <i r="4">
      <x v="279"/>
      <x v="6"/>
      <x v="18"/>
    </i>
    <i>
      <x v="3"/>
      <x v="7"/>
      <x v="1"/>
      <x v="4"/>
      <x v="41"/>
      <x v="7"/>
      <x/>
    </i>
    <i r="2">
      <x v="3"/>
      <x/>
      <x v="264"/>
      <x v="7"/>
      <x v="18"/>
    </i>
    <i r="4">
      <x v="265"/>
      <x v="7"/>
      <x v="18"/>
    </i>
    <i r="4">
      <x v="266"/>
      <x v="7"/>
      <x v="18"/>
    </i>
    <i r="4">
      <x v="267"/>
      <x v="7"/>
      <x v="18"/>
    </i>
    <i r="4">
      <x v="268"/>
      <x v="7"/>
      <x v="18"/>
    </i>
    <i r="4">
      <x v="269"/>
      <x v="7"/>
      <x v="18"/>
    </i>
    <i r="4">
      <x v="270"/>
      <x v="7"/>
      <x v="18"/>
    </i>
    <i r="4">
      <x v="271"/>
      <x v="7"/>
      <x v="18"/>
    </i>
    <i r="4">
      <x v="272"/>
      <x v="7"/>
      <x v="18"/>
    </i>
    <i r="4">
      <x v="273"/>
      <x v="7"/>
      <x v="18"/>
    </i>
    <i r="4">
      <x v="274"/>
      <x v="7"/>
      <x v="18"/>
    </i>
    <i r="4">
      <x v="275"/>
      <x v="7"/>
      <x v="18"/>
    </i>
    <i r="4">
      <x v="276"/>
      <x v="7"/>
      <x v="18"/>
    </i>
    <i r="4">
      <x v="277"/>
      <x v="7"/>
      <x v="18"/>
    </i>
    <i r="4">
      <x v="278"/>
      <x v="7"/>
      <x v="18"/>
    </i>
    <i r="4">
      <x v="279"/>
      <x v="7"/>
      <x v="18"/>
    </i>
    <i r="1">
      <x v="9"/>
      <x v="1"/>
      <x v="4"/>
      <x v="41"/>
      <x v="9"/>
      <x v="18"/>
    </i>
    <i r="2">
      <x v="3"/>
      <x v="7"/>
      <x v="264"/>
      <x v="9"/>
      <x v="18"/>
    </i>
    <i r="4">
      <x v="265"/>
      <x v="9"/>
      <x v="18"/>
    </i>
    <i r="4">
      <x v="266"/>
      <x v="9"/>
      <x v="18"/>
    </i>
    <i r="4">
      <x v="267"/>
      <x v="9"/>
      <x v="18"/>
    </i>
    <i r="4">
      <x v="268"/>
      <x v="9"/>
      <x v="18"/>
    </i>
    <i r="4">
      <x v="269"/>
      <x v="9"/>
      <x v="18"/>
    </i>
    <i r="4">
      <x v="270"/>
      <x v="9"/>
      <x v="18"/>
    </i>
    <i r="4">
      <x v="271"/>
      <x v="9"/>
      <x v="18"/>
    </i>
    <i r="4">
      <x v="272"/>
      <x v="9"/>
      <x v="18"/>
    </i>
    <i r="4">
      <x v="273"/>
      <x v="9"/>
      <x v="18"/>
    </i>
    <i r="4">
      <x v="274"/>
      <x v="9"/>
      <x v="18"/>
    </i>
    <i r="4">
      <x v="275"/>
      <x v="9"/>
      <x v="18"/>
    </i>
    <i r="4">
      <x v="276"/>
      <x v="9"/>
      <x v="18"/>
    </i>
    <i r="4">
      <x v="277"/>
      <x v="9"/>
      <x v="18"/>
    </i>
    <i r="4">
      <x v="278"/>
      <x v="9"/>
      <x v="18"/>
    </i>
    <i r="4">
      <x v="279"/>
      <x v="9"/>
      <x v="18"/>
    </i>
    <i>
      <x v="4"/>
      <x v="8"/>
      <x v="1"/>
      <x/>
      <x v="41"/>
      <x v="8"/>
      <x v="18"/>
    </i>
    <i r="2">
      <x v="3"/>
      <x/>
      <x v="264"/>
      <x v="8"/>
      <x v="18"/>
    </i>
    <i r="4">
      <x v="265"/>
      <x v="8"/>
      <x v="18"/>
    </i>
    <i r="4">
      <x v="266"/>
      <x v="8"/>
      <x v="18"/>
    </i>
    <i r="4">
      <x v="267"/>
      <x v="8"/>
      <x v="18"/>
    </i>
    <i r="4">
      <x v="268"/>
      <x v="8"/>
      <x v="18"/>
    </i>
    <i r="4">
      <x v="269"/>
      <x v="8"/>
      <x v="18"/>
    </i>
    <i r="4">
      <x v="270"/>
      <x v="8"/>
      <x v="18"/>
    </i>
    <i r="4">
      <x v="271"/>
      <x v="8"/>
      <x v="18"/>
    </i>
    <i r="4">
      <x v="272"/>
      <x v="8"/>
      <x v="18"/>
    </i>
    <i r="4">
      <x v="273"/>
      <x v="8"/>
      <x v="18"/>
    </i>
    <i r="4">
      <x v="274"/>
      <x v="8"/>
      <x v="18"/>
    </i>
    <i r="4">
      <x v="275"/>
      <x v="8"/>
      <x v="18"/>
    </i>
    <i r="4">
      <x v="276"/>
      <x v="8"/>
      <x v="18"/>
    </i>
    <i r="4">
      <x v="277"/>
      <x v="8"/>
      <x v="18"/>
    </i>
    <i r="4">
      <x v="278"/>
      <x v="8"/>
      <x v="18"/>
    </i>
    <i r="4">
      <x v="279"/>
      <x v="8"/>
      <x v="18"/>
    </i>
    <i>
      <x v="5"/>
      <x v="6"/>
      <x v="1"/>
      <x/>
      <x v="41"/>
      <x v="4"/>
      <x v="18"/>
    </i>
    <i r="2">
      <x v="3"/>
      <x/>
      <x v="264"/>
      <x v="4"/>
      <x v="18"/>
    </i>
    <i r="4">
      <x v="265"/>
      <x v="4"/>
      <x v="18"/>
    </i>
    <i r="4">
      <x v="266"/>
      <x v="4"/>
      <x v="18"/>
    </i>
    <i r="4">
      <x v="267"/>
      <x v="4"/>
      <x v="18"/>
    </i>
    <i r="4">
      <x v="268"/>
      <x v="4"/>
      <x v="18"/>
    </i>
    <i r="4">
      <x v="269"/>
      <x v="4"/>
      <x v="18"/>
    </i>
    <i r="4">
      <x v="270"/>
      <x v="4"/>
      <x v="18"/>
    </i>
    <i r="4">
      <x v="271"/>
      <x v="4"/>
      <x v="18"/>
    </i>
    <i r="4">
      <x v="272"/>
      <x v="4"/>
      <x v="18"/>
    </i>
    <i r="4">
      <x v="273"/>
      <x v="4"/>
      <x v="18"/>
    </i>
    <i r="4">
      <x v="274"/>
      <x v="4"/>
      <x v="18"/>
    </i>
    <i r="4">
      <x v="275"/>
      <x v="4"/>
      <x v="18"/>
    </i>
    <i r="4">
      <x v="276"/>
      <x v="4"/>
      <x v="18"/>
    </i>
    <i r="4">
      <x v="277"/>
      <x v="4"/>
      <x v="18"/>
    </i>
    <i r="4">
      <x v="278"/>
      <x v="4"/>
      <x v="18"/>
    </i>
    <i r="4">
      <x v="279"/>
      <x v="4"/>
      <x v="18"/>
    </i>
    <i>
      <x v="6"/>
      <x v="6"/>
      <x v="1"/>
      <x/>
      <x v="41"/>
      <x v="4"/>
      <x v="18"/>
    </i>
    <i r="2">
      <x v="3"/>
      <x/>
      <x v="264"/>
      <x v="4"/>
      <x v="18"/>
    </i>
    <i r="4">
      <x v="265"/>
      <x v="4"/>
      <x v="18"/>
    </i>
    <i r="4">
      <x v="266"/>
      <x v="4"/>
      <x v="18"/>
    </i>
    <i r="4">
      <x v="267"/>
      <x v="4"/>
      <x v="18"/>
    </i>
    <i r="4">
      <x v="268"/>
      <x v="4"/>
      <x v="18"/>
    </i>
    <i r="4">
      <x v="269"/>
      <x v="4"/>
      <x v="18"/>
    </i>
    <i r="4">
      <x v="270"/>
      <x v="4"/>
      <x v="18"/>
    </i>
    <i r="4">
      <x v="271"/>
      <x v="4"/>
      <x v="18"/>
    </i>
    <i r="4">
      <x v="272"/>
      <x v="4"/>
      <x v="18"/>
    </i>
    <i r="4">
      <x v="273"/>
      <x v="4"/>
      <x v="18"/>
    </i>
    <i r="4">
      <x v="274"/>
      <x v="4"/>
      <x v="18"/>
    </i>
    <i r="4">
      <x v="275"/>
      <x v="4"/>
      <x v="18"/>
    </i>
    <i r="4">
      <x v="276"/>
      <x v="4"/>
      <x v="18"/>
    </i>
    <i r="4">
      <x v="277"/>
      <x v="4"/>
      <x v="18"/>
    </i>
    <i r="4">
      <x v="278"/>
      <x v="4"/>
      <x v="18"/>
    </i>
    <i r="4">
      <x v="279"/>
      <x v="4"/>
      <x v="18"/>
    </i>
    <i>
      <x v="7"/>
      <x v="10"/>
      <x v="1"/>
      <x/>
      <x v="41"/>
      <x v="10"/>
      <x v="18"/>
    </i>
    <i r="2">
      <x v="3"/>
      <x/>
      <x v="264"/>
      <x v="10"/>
      <x v="18"/>
    </i>
    <i r="4">
      <x v="265"/>
      <x v="10"/>
      <x v="18"/>
    </i>
    <i r="4">
      <x v="266"/>
      <x v="10"/>
      <x v="18"/>
    </i>
    <i r="4">
      <x v="267"/>
      <x v="10"/>
      <x v="18"/>
    </i>
    <i r="4">
      <x v="268"/>
      <x v="10"/>
      <x v="18"/>
    </i>
    <i r="4">
      <x v="269"/>
      <x v="10"/>
      <x v="18"/>
    </i>
    <i r="4">
      <x v="270"/>
      <x v="10"/>
      <x v="18"/>
    </i>
    <i r="4">
      <x v="271"/>
      <x v="10"/>
      <x v="18"/>
    </i>
    <i r="4">
      <x v="272"/>
      <x v="10"/>
      <x v="18"/>
    </i>
    <i r="4">
      <x v="273"/>
      <x v="10"/>
      <x v="18"/>
    </i>
    <i r="4">
      <x v="274"/>
      <x v="10"/>
      <x v="18"/>
    </i>
    <i r="4">
      <x v="275"/>
      <x v="10"/>
      <x v="18"/>
    </i>
    <i r="4">
      <x v="276"/>
      <x v="10"/>
      <x v="18"/>
    </i>
    <i r="4">
      <x v="277"/>
      <x v="10"/>
      <x v="18"/>
    </i>
    <i r="4">
      <x v="278"/>
      <x v="10"/>
      <x v="18"/>
    </i>
    <i r="4">
      <x v="279"/>
      <x v="10"/>
      <x v="18"/>
    </i>
    <i>
      <x v="8"/>
      <x v="11"/>
      <x v="1"/>
      <x v="4"/>
      <x v="41"/>
      <x v="11"/>
      <x v="18"/>
    </i>
    <i r="3">
      <x v="7"/>
      <x v="41"/>
      <x v="5"/>
      <x v="18"/>
    </i>
    <i r="2">
      <x v="3"/>
      <x v="7"/>
      <x v="264"/>
      <x v="11"/>
      <x v="18"/>
    </i>
    <i r="4">
      <x v="265"/>
      <x v="11"/>
      <x v="18"/>
    </i>
    <i r="4">
      <x v="266"/>
      <x v="11"/>
      <x v="18"/>
    </i>
    <i r="4">
      <x v="267"/>
      <x v="11"/>
      <x v="18"/>
    </i>
    <i r="4">
      <x v="268"/>
      <x v="11"/>
      <x v="18"/>
    </i>
    <i r="4">
      <x v="269"/>
      <x v="11"/>
      <x v="18"/>
    </i>
    <i r="4">
      <x v="270"/>
      <x v="11"/>
      <x v="18"/>
    </i>
    <i r="4">
      <x v="271"/>
      <x v="11"/>
      <x v="18"/>
    </i>
    <i r="4">
      <x v="272"/>
      <x v="11"/>
      <x v="18"/>
    </i>
    <i r="4">
      <x v="273"/>
      <x v="11"/>
      <x v="18"/>
    </i>
    <i r="4">
      <x v="274"/>
      <x v="11"/>
      <x v="18"/>
    </i>
    <i r="4">
      <x v="275"/>
      <x v="11"/>
      <x v="18"/>
    </i>
    <i r="4">
      <x v="276"/>
      <x v="11"/>
      <x v="18"/>
    </i>
    <i r="4">
      <x v="277"/>
      <x v="11"/>
      <x v="18"/>
    </i>
    <i r="4">
      <x v="278"/>
      <x v="11"/>
      <x v="18"/>
    </i>
    <i r="4">
      <x v="279"/>
      <x v="11"/>
      <x v="18"/>
    </i>
    <i>
      <x v="9"/>
      <x v="12"/>
      <x v="1"/>
      <x/>
      <x v="41"/>
      <x/>
      <x v="18"/>
    </i>
    <i r="3">
      <x v="4"/>
      <x v="41"/>
      <x v="2"/>
      <x v="18"/>
    </i>
    <i r="2">
      <x v="3"/>
      <x/>
      <x v="264"/>
      <x/>
      <x v="18"/>
    </i>
    <i r="4">
      <x v="265"/>
      <x/>
      <x v="18"/>
    </i>
    <i r="4">
      <x v="266"/>
      <x/>
      <x v="18"/>
    </i>
    <i r="4">
      <x v="267"/>
      <x/>
      <x v="18"/>
    </i>
    <i r="4">
      <x v="268"/>
      <x/>
      <x v="18"/>
    </i>
    <i r="4">
      <x v="269"/>
      <x/>
      <x v="18"/>
    </i>
    <i r="4">
      <x v="270"/>
      <x/>
      <x v="18"/>
    </i>
    <i r="4">
      <x v="271"/>
      <x/>
      <x v="18"/>
    </i>
    <i r="4">
      <x v="272"/>
      <x/>
      <x v="18"/>
    </i>
    <i r="4">
      <x v="273"/>
      <x/>
      <x v="18"/>
    </i>
    <i r="4">
      <x v="274"/>
      <x/>
      <x v="18"/>
    </i>
    <i r="4">
      <x v="275"/>
      <x/>
      <x v="18"/>
    </i>
    <i r="4">
      <x v="276"/>
      <x/>
      <x v="18"/>
    </i>
    <i r="4">
      <x v="277"/>
      <x/>
      <x v="18"/>
    </i>
    <i r="4">
      <x v="278"/>
      <x/>
      <x v="18"/>
    </i>
    <i r="4">
      <x v="279"/>
      <x/>
      <x v="18"/>
    </i>
    <i r="3">
      <x v="7"/>
      <x v="264"/>
      <x v="2"/>
      <x v="18"/>
    </i>
    <i r="4">
      <x v="265"/>
      <x v="2"/>
      <x v="18"/>
    </i>
    <i r="4">
      <x v="266"/>
      <x v="2"/>
      <x v="18"/>
    </i>
    <i r="4">
      <x v="267"/>
      <x v="2"/>
      <x v="18"/>
    </i>
    <i r="4">
      <x v="268"/>
      <x v="2"/>
      <x v="18"/>
    </i>
    <i r="4">
      <x v="269"/>
      <x v="2"/>
      <x v="18"/>
    </i>
    <i r="4">
      <x v="270"/>
      <x v="2"/>
      <x v="18"/>
    </i>
    <i r="4">
      <x v="271"/>
      <x v="2"/>
      <x v="18"/>
    </i>
    <i r="4">
      <x v="272"/>
      <x v="2"/>
      <x v="18"/>
    </i>
    <i r="4">
      <x v="273"/>
      <x v="2"/>
      <x v="18"/>
    </i>
    <i r="4">
      <x v="274"/>
      <x v="2"/>
      <x v="18"/>
    </i>
    <i r="4">
      <x v="275"/>
      <x v="2"/>
      <x v="18"/>
    </i>
    <i r="4">
      <x v="276"/>
      <x v="2"/>
      <x v="18"/>
    </i>
    <i r="4">
      <x v="277"/>
      <x v="2"/>
      <x v="18"/>
    </i>
    <i r="4">
      <x v="278"/>
      <x v="2"/>
      <x v="18"/>
    </i>
    <i r="4">
      <x v="279"/>
      <x v="2"/>
      <x v="18"/>
    </i>
    <i r="2">
      <x v="4"/>
      <x/>
      <x v="362"/>
      <x/>
      <x v="18"/>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BA04027-766E-4B37-A9E8-E2CD49860816}" name="TablaDinámica1" cacheId="1"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A3:E39" firstHeaderRow="1" firstDataRow="1" firstDataCol="4"/>
  <pivotFields count="27">
    <pivotField compact="0" outline="0" subtotalTop="0" showAll="0">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axis="axisRow" compact="0" outline="0" subtotalTop="0" showAll="0">
      <items count="2">
        <item x="0"/>
        <item t="default"/>
      </items>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axis="axisRow" compact="0" outline="0" subtotalTop="0" showAll="0">
      <items count="9">
        <item x="5"/>
        <item x="2"/>
        <item x="6"/>
        <item x="1"/>
        <item x="4"/>
        <item x="3"/>
        <item x="0"/>
        <item x="7"/>
        <item t="default"/>
      </items>
      <extLst>
        <ext xmlns:x14="http://schemas.microsoft.com/office/spreadsheetml/2009/9/main" uri="{2946ED86-A175-432a-8AC1-64E0C546D7DE}">
          <x14:pivotField fillDownLabels="1"/>
        </ext>
      </extLst>
    </pivotField>
    <pivotField axis="axisRow" compact="0" outline="0" subtotalTop="0" showAll="0">
      <items count="8">
        <item x="6"/>
        <item x="1"/>
        <item x="4"/>
        <item x="5"/>
        <item x="3"/>
        <item x="0"/>
        <item x="2"/>
        <item t="default"/>
      </items>
      <extLst>
        <ext xmlns:x14="http://schemas.microsoft.com/office/spreadsheetml/2009/9/main" uri="{2946ED86-A175-432a-8AC1-64E0C546D7DE}">
          <x14:pivotField fillDownLabels="1"/>
        </ext>
      </extLst>
    </pivotField>
    <pivotField axis="axisRow" compact="0" outline="0" subtotalTop="0" showAll="0">
      <items count="4">
        <item x="0"/>
        <item x="1"/>
        <item x="2"/>
        <item t="default"/>
      </items>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dataField="1" compact="0" outline="0" subtotalTop="0" showAll="0">
      <items count="18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t="default"/>
      </items>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s>
  <rowFields count="4">
    <field x="2"/>
    <field x="6"/>
    <field x="5"/>
    <field x="7"/>
  </rowFields>
  <rowItems count="36">
    <i>
      <x/>
      <x/>
      <x v="7"/>
      <x/>
    </i>
    <i r="3">
      <x v="1"/>
    </i>
    <i r="3">
      <x v="2"/>
    </i>
    <i t="default" r="2">
      <x v="7"/>
    </i>
    <i t="default" r="1">
      <x/>
    </i>
    <i r="1">
      <x v="1"/>
      <x v="3"/>
      <x/>
    </i>
    <i r="3">
      <x v="1"/>
    </i>
    <i t="default" r="2">
      <x v="3"/>
    </i>
    <i t="default" r="1">
      <x v="1"/>
    </i>
    <i r="1">
      <x v="2"/>
      <x/>
      <x/>
    </i>
    <i r="3">
      <x v="1"/>
    </i>
    <i t="default" r="2">
      <x/>
    </i>
    <i t="default" r="1">
      <x v="2"/>
    </i>
    <i r="1">
      <x v="3"/>
      <x v="2"/>
      <x/>
    </i>
    <i r="3">
      <x v="1"/>
    </i>
    <i t="default" r="2">
      <x v="2"/>
    </i>
    <i t="default" r="1">
      <x v="3"/>
    </i>
    <i r="1">
      <x v="4"/>
      <x v="3"/>
      <x/>
    </i>
    <i r="3">
      <x v="1"/>
    </i>
    <i t="default" r="2">
      <x v="3"/>
    </i>
    <i t="default" r="1">
      <x v="4"/>
    </i>
    <i r="1">
      <x v="5"/>
      <x v="4"/>
      <x/>
    </i>
    <i r="3">
      <x v="1"/>
    </i>
    <i t="default" r="2">
      <x v="4"/>
    </i>
    <i r="2">
      <x v="5"/>
      <x/>
    </i>
    <i r="3">
      <x v="1"/>
    </i>
    <i t="default" r="2">
      <x v="5"/>
    </i>
    <i r="2">
      <x v="6"/>
      <x/>
    </i>
    <i r="3">
      <x v="1"/>
    </i>
    <i t="default" r="2">
      <x v="6"/>
    </i>
    <i t="default" r="1">
      <x v="5"/>
    </i>
    <i r="1">
      <x v="6"/>
      <x v="1"/>
      <x/>
    </i>
    <i r="3">
      <x v="1"/>
    </i>
    <i t="default" r="2">
      <x v="1"/>
    </i>
    <i t="default" r="1">
      <x v="6"/>
    </i>
    <i t="default">
      <x/>
    </i>
  </rowItems>
  <colItems count="1">
    <i/>
  </colItems>
  <dataFields count="1">
    <dataField name="Cuenta de id_grafico" fld="21" subtotal="count" baseField="0" baseItem="0"/>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oleccion" xr10:uid="{985D426C-6E5B-42E1-8775-681F2620D265}" sourceName="coleccion">
  <extLst>
    <x:ext xmlns:x15="http://schemas.microsoft.com/office/spreadsheetml/2010/11/main" uri="{2F2917AC-EB37-4324-AD4E-5DD8C200BD13}">
      <x15:tableSlicerCache tableId="1" column="3"/>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 xr10:uid="{C1317F89-E6C4-4B2C-A0F0-76612842406E}" sourceName="tema">
  <extLst>
    <x:ext xmlns:x15="http://schemas.microsoft.com/office/spreadsheetml/2010/11/main" uri="{2F2917AC-EB37-4324-AD4E-5DD8C200BD13}">
      <x15:tableSlicerCache tableId="1" column="6"/>
    </x:ex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ontenido" xr10:uid="{142742DA-E046-4880-9200-6317F33EA905}" sourceName="contenido">
  <extLst>
    <x:ext xmlns:x15="http://schemas.microsoft.com/office/spreadsheetml/2010/11/main" uri="{2F2917AC-EB37-4324-AD4E-5DD8C200BD13}">
      <x15:tableSlicerCache tableId="1" column="7"/>
    </x:ex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cala" xr10:uid="{E246E760-8647-4B4A-A285-C7DC64582B5D}" sourceName="escala">
  <extLst>
    <x:ext xmlns:x15="http://schemas.microsoft.com/office/spreadsheetml/2010/11/main" uri="{2F2917AC-EB37-4324-AD4E-5DD8C200BD13}">
      <x15:tableSlicerCache tableId="1" column="8"/>
    </x:ex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rritorio" xr10:uid="{E6AB4ECB-40B9-475D-967A-FC59730B985F}" sourceName="territorio">
  <extLst>
    <x:ext xmlns:x15="http://schemas.microsoft.com/office/spreadsheetml/2010/11/main" uri="{2F2917AC-EB37-4324-AD4E-5DD8C200BD13}">
      <x15:tableSlicerCache tableId="1" column="9"/>
    </x:ex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Filtro_Integrado" xr10:uid="{F4F13A1A-9086-411A-BB6E-0584B8BC9B99}" sourceName="Filtro Integrado">
  <extLst>
    <x:ext xmlns:x15="http://schemas.microsoft.com/office/spreadsheetml/2010/11/main" uri="{2F2917AC-EB37-4324-AD4E-5DD8C200BD13}">
      <x15:tableSlicerCache tableId="1" column="10"/>
    </x:ex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Muestra" xr10:uid="{6D4738C2-6399-4133-976A-25258C43D7D1}" sourceName="Muestra">
  <extLst>
    <x:ext xmlns:x15="http://schemas.microsoft.com/office/spreadsheetml/2010/11/main" uri="{2F2917AC-EB37-4324-AD4E-5DD8C200BD13}">
      <x15:tableSlicerCache tableId="1" column="11"/>
    </x:ex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poralidad" xr10:uid="{A2188DD6-C83F-4D3F-9886-1C8E4B56665D}" sourceName="temporalidad">
  <extLst>
    <x:ext xmlns:x15="http://schemas.microsoft.com/office/spreadsheetml/2010/11/main" uri="{2F2917AC-EB37-4324-AD4E-5DD8C200BD13}">
      <x15:tableSlicerCache tableId="1" column="12"/>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leccion" xr10:uid="{1AC58D19-0365-4693-BBE3-5C8D527E57C6}" cache="SegmentaciónDeDatos_coleccion" caption="coleccion" style="SlicerStyleDark2" rowHeight="234950"/>
  <slicer name="tema" xr10:uid="{99CFEB31-C7BB-4FF4-8185-D1EBFFBA3956}" cache="SegmentaciónDeDatos_tema" caption="tema" style="SlicerStyleDark2" rowHeight="234950"/>
  <slicer name="contenido" xr10:uid="{DBC81D61-C3B3-4BF8-B2CB-836AC9042B95}" cache="SegmentaciónDeDatos_contenido" caption="contenido" style="SlicerStyleDark2" rowHeight="234950"/>
  <slicer name="escala" xr10:uid="{09B6986D-B155-4FA1-80EC-78DE7C69CAC2}" cache="SegmentaciónDeDatos_escala" caption="escala" style="SlicerStyleDark2" rowHeight="234950"/>
  <slicer name="territorio" xr10:uid="{F9140827-EC92-409C-AAE4-F8FFCFB266E1}" cache="SegmentaciónDeDatos_territorio" caption="territorio" columnCount="2" style="SlicerStyleDark2" rowHeight="234950"/>
  <slicer name="Filtro Integrado" xr10:uid="{81A1F6C1-BBAA-4C81-8C38-CBC6D827DDDE}" cache="SegmentaciónDeDatos_Filtro_Integrado" caption="Filtro Integrado" style="SlicerStyleDark2" rowHeight="234950"/>
  <slicer name="Muestra" xr10:uid="{DD928895-A466-415C-A0B2-3F7A20478584}" cache="SegmentaciónDeDatos_Muestra" caption="Muestra" startItem="5" style="SlicerStyleDark2" rowHeight="234950"/>
  <slicer name="temporalidad" xr10:uid="{008C4BAC-DF79-47E2-93F4-95905B8711F5}" cache="SegmentaciónDeDatos_temporalidad" caption="temporalidad" style="SlicerStyleDark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3AC5EF3-2C70-4D90-B5E1-D528231814D8}" name="Agencia" displayName="Agencia" ref="A11:AA190" totalsRowShown="0" headerRowDxfId="30">
  <autoFilter ref="A11:AA190" xr:uid="{97B5C476-3F9F-4197-BB18-4AEB96A9D3D7}"/>
  <tableColumns count="27">
    <tableColumn id="1" xr3:uid="{3D431003-FED6-4551-A9A5-C20BDD800BF5}" name="id" dataDxfId="29"/>
    <tableColumn id="2" xr3:uid="{69EBE614-7415-4758-84D1-70A8BB5AD412}" name="idcoleccion" dataDxfId="28"/>
    <tableColumn id="3" xr3:uid="{00067312-1731-4475-9E54-D88AF9927A57}" name="coleccion" dataDxfId="27"/>
    <tableColumn id="4" xr3:uid="{2D5FA4E0-31EC-4F24-BE99-607D3D813655}" name="sector" dataDxfId="26"/>
    <tableColumn id="5" xr3:uid="{DAA5ABD7-005E-4726-9D0E-964ABFE6C124}" name="Filtro URL" dataDxfId="25"/>
    <tableColumn id="6" xr3:uid="{3EE64D21-CEE3-4F56-9BDB-E86405583F0C}" name="tema" dataDxfId="24"/>
    <tableColumn id="7" xr3:uid="{B18CD19C-51DC-46C2-871C-6BE101FACFEB}" name="contenido" dataDxfId="23"/>
    <tableColumn id="8" xr3:uid="{23D5C1AF-BDE4-4009-AB41-531D544CB052}" name="escala" dataDxfId="22"/>
    <tableColumn id="9" xr3:uid="{DA849DF4-1E4F-43E4-98F9-07CF968F8068}" name="territorio" dataDxfId="21"/>
    <tableColumn id="10" xr3:uid="{4CCEC976-24A6-484D-A3BB-EBEF50210414}" name="Filtro Integrado" dataDxfId="20"/>
    <tableColumn id="11" xr3:uid="{633CF37C-9475-458F-93BD-3E6C829259FE}" name="Muestra" dataDxfId="19"/>
    <tableColumn id="12" xr3:uid="{C9AD2F62-6D59-441D-86A3-D657475A5048}" name="temporalidad" dataDxfId="18"/>
    <tableColumn id="13" xr3:uid="{9C90CF92-D46C-45CC-A515-665BEFD59FD0}" name="unidad_medida" dataDxfId="17"/>
    <tableColumn id="14" xr3:uid="{A535AC73-D5CA-471D-961D-840916F57BFB}" name="fuente" dataDxfId="16"/>
    <tableColumn id="15" xr3:uid="{CE821007-F8A2-469B-90CB-A97B34EA0E0D}" name="titulo" dataDxfId="15">
      <calculatedColumnFormula>+"Resumen Indicadores de Desarrollo Personal y Social por Establecimiento para la "&amp;I12</calculatedColumnFormula>
    </tableColumn>
    <tableColumn id="16" xr3:uid="{ACF065FA-53DF-42A2-AB76-F382DF0507E9}" name="descripcion_larga" dataDxfId="14"/>
    <tableColumn id="17" xr3:uid="{B3241B34-1F28-488E-962D-702279B7FC29}" name="visualizacion" dataDxfId="13">
      <calculatedColumnFormula>+Q11</calculatedColumnFormula>
    </tableColumn>
    <tableColumn id="18" xr3:uid="{36E18FB8-B090-4513-8878-F34530369C6B}" name="tag" dataDxfId="12"/>
    <tableColumn id="19" xr3:uid="{34EAE68C-0B4D-4751-9FD6-9A20417E489D}" name="url" dataDxfId="11" dataCellStyle="Hipervínculo"/>
    <tableColumn id="20" xr3:uid="{B53287BC-B50E-4BCC-BB6C-DE60B70DC3AF}" name="Suscripcion" dataDxfId="10"/>
    <tableColumn id="21" xr3:uid="{6658E20A-9C4E-46D0-829C-CD31924B1376}" name="Color" dataDxfId="9">
      <calculatedColumnFormula>+U11</calculatedColumnFormula>
    </tableColumn>
    <tableColumn id="22" xr3:uid="{21DBE239-F721-4DEC-9312-D9E30988F7A8}" name="id_grafico" dataDxfId="8">
      <calculatedColumnFormula>+Agencia[[#This Row],[idcoleccion]]&amp;"-"&amp;Agencia[[#This Row],[id]]</calculatedColumnFormula>
    </tableColumn>
    <tableColumn id="23" xr3:uid="{51BFA0BA-A1A2-4D6D-9A13-0B82C3B88C4E}" name="idterritorio" dataDxfId="7">
      <calculatedColumnFormula>+VLOOKUP(Agencia[[#This Row],[Filtro URL]],Estructura!$X$4:$Y$366,2,0)</calculatedColumnFormula>
    </tableColumn>
    <tableColumn id="24" xr3:uid="{223E2DD3-A78B-40CF-935F-BB4012C57299}" name="id_tema" dataDxfId="6">
      <calculatedColumnFormula>+VLOOKUP(Agencia[[#This Row],[tema]],Estructura!$A$4:$C$18,3,0)</calculatedColumnFormula>
    </tableColumn>
    <tableColumn id="25" xr3:uid="{75573ACC-C413-46F3-8534-404C576ECE29}" name="id_contenido" dataDxfId="5">
      <calculatedColumnFormula>+VLOOKUP(Agencia[[#This Row],[contenido]],Estructura!$E$4:$G$18,3,0)</calculatedColumnFormula>
    </tableColumn>
    <tableColumn id="26" xr3:uid="{B4A1188A-2AFB-4C47-96CE-A097012C4C72}" name="idfiltro" dataDxfId="4">
      <calculatedColumnFormula>+VLOOKUP(Agencia[[#This Row],[Filtro Integrado]],Estructura!$I$4:$K$18,3,0)</calculatedColumnFormula>
    </tableColumn>
    <tableColumn id="27" xr3:uid="{B70F5663-983D-46E9-A27F-F0856A7F11DA}" name="id_muestra" dataDxfId="3">
      <calculatedColumnFormula>+VLOOKUP(Agencia[[#This Row],[Muestra]],Estructura!$M$4:$O$18,3,0)</calculatedColumnFormula>
    </tableColumn>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hyperlink" Target="https://analytics.zoho.com/open-view/2395394000007756457" TargetMode="External"/><Relationship Id="rId7" Type="http://schemas.openxmlformats.org/officeDocument/2006/relationships/table" Target="../tables/table1.xml"/><Relationship Id="rId2" Type="http://schemas.openxmlformats.org/officeDocument/2006/relationships/hyperlink" Target="https://analytics.zoho.com/open-view/2395394000006789748?ZOHO_CRITERIA=%22Localiza%20CL%22.%22Codreg%22%3D13" TargetMode="External"/><Relationship Id="rId1" Type="http://schemas.openxmlformats.org/officeDocument/2006/relationships/hyperlink" Target="https://analytics.zoho.com/open-view/2395394000000579068"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analytics.zoho.com/open-view/2395394000005925456?ZOHO_CRITERIA=%22Trasposicion_4.1%22.%22Valor%22%20%3E%200.99" TargetMode="Externa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5C476-3F9F-4197-BB18-4AEB96A9D3D7}">
  <sheetPr>
    <tabColor rgb="FF00B050"/>
  </sheetPr>
  <dimension ref="A11:AH190"/>
  <sheetViews>
    <sheetView showGridLines="0" tabSelected="1" workbookViewId="0">
      <pane xSplit="1" ySplit="11" topLeftCell="B12" activePane="bottomRight" state="frozen"/>
      <selection pane="topRight" activeCell="B1" sqref="B1"/>
      <selection pane="bottomLeft" activeCell="A12" sqref="A12"/>
      <selection pane="bottomRight" activeCell="A12" sqref="A12"/>
    </sheetView>
  </sheetViews>
  <sheetFormatPr baseColWidth="10" defaultRowHeight="14.4" x14ac:dyDescent="0.3"/>
  <cols>
    <col min="1" max="1" width="5.33203125" style="2" customWidth="1"/>
    <col min="2" max="2" width="10.109375" customWidth="1"/>
    <col min="3" max="3" width="11.88671875" customWidth="1"/>
    <col min="4" max="4" width="9.109375" customWidth="1"/>
    <col min="5" max="5" width="9.44140625" customWidth="1"/>
    <col min="6" max="6" width="20.5546875" customWidth="1"/>
    <col min="7" max="7" width="23.21875" customWidth="1"/>
    <col min="8" max="8" width="8.21875" customWidth="1"/>
    <col min="9" max="9" width="19" style="2" customWidth="1"/>
    <col min="10" max="10" width="19.77734375" style="2" bestFit="1" customWidth="1"/>
    <col min="11" max="11" width="14.5546875" customWidth="1"/>
    <col min="12" max="12" width="16.5546875" customWidth="1"/>
    <col min="13" max="13" width="16.88671875" customWidth="1"/>
    <col min="14" max="14" width="11.5546875" customWidth="1"/>
    <col min="15" max="15" width="35.44140625" customWidth="1"/>
    <col min="16" max="16" width="34.88671875" customWidth="1"/>
    <col min="17" max="17" width="15.33203125" customWidth="1"/>
    <col min="18" max="18" width="31" customWidth="1"/>
    <col min="19" max="19" width="36.77734375" style="1" customWidth="1"/>
    <col min="20" max="20" width="12.77734375" bestFit="1" customWidth="1"/>
    <col min="21" max="21" width="6.33203125" bestFit="1" customWidth="1"/>
    <col min="22" max="22" width="9.33203125" bestFit="1" customWidth="1"/>
    <col min="23" max="23" width="9.6640625" bestFit="1" customWidth="1"/>
    <col min="24" max="24" width="8.109375" bestFit="1" customWidth="1"/>
    <col min="25" max="25" width="11.109375" bestFit="1" customWidth="1"/>
    <col min="26" max="26" width="7" bestFit="1" customWidth="1"/>
    <col min="27" max="27" width="10.21875" bestFit="1" customWidth="1"/>
    <col min="29" max="29" width="24.33203125" bestFit="1" customWidth="1"/>
    <col min="30" max="30" width="8.21875" bestFit="1" customWidth="1"/>
    <col min="31" max="31" width="8" bestFit="1" customWidth="1"/>
    <col min="32" max="32" width="8.21875" bestFit="1" customWidth="1"/>
    <col min="33" max="33" width="11.33203125" bestFit="1" customWidth="1"/>
    <col min="34" max="34" width="19.21875" customWidth="1"/>
  </cols>
  <sheetData>
    <row r="11" spans="1:34" x14ac:dyDescent="0.3">
      <c r="A11" s="9" t="s">
        <v>0</v>
      </c>
      <c r="B11" s="10" t="s">
        <v>387</v>
      </c>
      <c r="C11" s="10" t="s">
        <v>1</v>
      </c>
      <c r="D11" s="10" t="s">
        <v>2</v>
      </c>
      <c r="E11" s="11" t="s">
        <v>369</v>
      </c>
      <c r="F11" s="10" t="s">
        <v>3</v>
      </c>
      <c r="G11" s="10" t="s">
        <v>4</v>
      </c>
      <c r="H11" s="9" t="s">
        <v>5</v>
      </c>
      <c r="I11" s="9" t="s">
        <v>6</v>
      </c>
      <c r="J11" s="12" t="s">
        <v>24</v>
      </c>
      <c r="K11" s="12" t="s">
        <v>25</v>
      </c>
      <c r="L11" s="10" t="s">
        <v>7</v>
      </c>
      <c r="M11" s="10" t="s">
        <v>8</v>
      </c>
      <c r="N11" s="10" t="s">
        <v>9</v>
      </c>
      <c r="O11" s="10" t="s">
        <v>10</v>
      </c>
      <c r="P11" s="10" t="s">
        <v>11</v>
      </c>
      <c r="Q11" s="10" t="s">
        <v>12</v>
      </c>
      <c r="R11" s="10" t="s">
        <v>13</v>
      </c>
      <c r="S11" s="10" t="s">
        <v>21</v>
      </c>
      <c r="T11" s="13" t="s">
        <v>386</v>
      </c>
      <c r="U11" s="3" t="s">
        <v>388</v>
      </c>
      <c r="V11" s="20" t="s">
        <v>400</v>
      </c>
      <c r="W11" s="20" t="s">
        <v>401</v>
      </c>
      <c r="X11" s="20" t="s">
        <v>393</v>
      </c>
      <c r="Y11" s="20" t="s">
        <v>394</v>
      </c>
      <c r="Z11" s="20" t="s">
        <v>397</v>
      </c>
      <c r="AA11" s="20" t="s">
        <v>396</v>
      </c>
      <c r="AC11" s="51" t="s">
        <v>433</v>
      </c>
      <c r="AD11" s="52" t="s">
        <v>390</v>
      </c>
      <c r="AE11" s="52" t="s">
        <v>26</v>
      </c>
      <c r="AF11" s="52" t="s">
        <v>27</v>
      </c>
      <c r="AG11" s="52" t="s">
        <v>391</v>
      </c>
      <c r="AH11" s="52" t="s">
        <v>503</v>
      </c>
    </row>
    <row r="12" spans="1:34" ht="24" x14ac:dyDescent="0.3">
      <c r="A12" s="26" t="s">
        <v>398</v>
      </c>
      <c r="B12" s="14">
        <v>990</v>
      </c>
      <c r="C12" s="15" t="s">
        <v>406</v>
      </c>
      <c r="D12" s="15" t="s">
        <v>412</v>
      </c>
      <c r="E12" s="21">
        <v>0</v>
      </c>
      <c r="F12" s="15" t="s">
        <v>408</v>
      </c>
      <c r="G12" s="25" t="s">
        <v>407</v>
      </c>
      <c r="H12" s="59" t="s">
        <v>20</v>
      </c>
      <c r="I12" s="60" t="s">
        <v>15</v>
      </c>
      <c r="J12" s="14" t="s">
        <v>16</v>
      </c>
      <c r="K12" s="14" t="s">
        <v>659</v>
      </c>
      <c r="L12" s="14" t="s">
        <v>409</v>
      </c>
      <c r="M12" s="14" t="s">
        <v>653</v>
      </c>
      <c r="N12" s="14" t="s">
        <v>410</v>
      </c>
      <c r="O12" s="17" t="str">
        <f>"Evolución de Ingreso Promedio Mensual en "&amp;Agencia[[#This Row],[territorio]]&amp;" para el "&amp;Agencia[[#This Row],[temporalidad]]</f>
        <v>Evolución de Ingreso Promedio Mensual en Chile para el Periodo 2006-2017</v>
      </c>
      <c r="P12" s="17"/>
      <c r="Q12" s="17" t="s">
        <v>392</v>
      </c>
      <c r="R12" s="17" t="str">
        <f>Agencia[[#This Row],[territorio]]&amp;", ingresos, CASEN, mensual, promedio"</f>
        <v>Chile, ingresos, CASEN, mensual, promedio</v>
      </c>
      <c r="S12" s="30" t="s">
        <v>432</v>
      </c>
      <c r="T12" s="31">
        <v>100200300</v>
      </c>
      <c r="U12" s="32" t="s">
        <v>404</v>
      </c>
      <c r="V12" s="33" t="str">
        <f>+Agencia[[#This Row],[idcoleccion]]&amp;"-"&amp;Agencia[[#This Row],[id]]</f>
        <v>990-0001</v>
      </c>
      <c r="W12" s="33">
        <f>+VLOOKUP(Agencia[[#This Row],[Filtro URL]],Estructura!$X$4:$Y$366,2,0)</f>
        <v>99100000</v>
      </c>
      <c r="X12" s="33" t="str">
        <f>+VLOOKUP(Agencia[[#This Row],[tema]],Estructura!$A$4:$C$18,3,0)</f>
        <v>T-991</v>
      </c>
      <c r="Y12" s="33" t="str">
        <f>+VLOOKUP(Agencia[[#This Row],[contenido]],Estructura!$E$4:$G$18,3,0)</f>
        <v>C-991</v>
      </c>
      <c r="Z12" s="33" t="str">
        <f>+VLOOKUP(Agencia[[#This Row],[Filtro Integrado]],Estructura!$I$4:$K$18,3,0)</f>
        <v>FI-992</v>
      </c>
      <c r="AA12" s="33" t="str">
        <f>+VLOOKUP(Agencia[[#This Row],[Muestra]],Estructura!$M$4:$O$18,3,0)</f>
        <v>M-995</v>
      </c>
      <c r="AC12" s="50" t="s">
        <v>370</v>
      </c>
      <c r="AD12" s="5">
        <f>COUNTIFS($I$12:$I$2118,"Chile",$J$12:$J$2118,"Ninguno")</f>
        <v>1</v>
      </c>
      <c r="AE12" s="5">
        <f>COUNTIFS($I$12:$I$2118,AC12,$J$12:$J$2118,"Ninguno")</f>
        <v>4</v>
      </c>
      <c r="AF12" s="5">
        <f>COUNTIFS($I$12:$I$2118,AC12,$J$12:$J$2118,"Comuna")</f>
        <v>6</v>
      </c>
      <c r="AG12" s="6">
        <f>SUM(AD12:AF12)</f>
        <v>11</v>
      </c>
      <c r="AH12" s="49">
        <f>AD12+AE12+AF12*7</f>
        <v>47</v>
      </c>
    </row>
    <row r="13" spans="1:34" ht="24" x14ac:dyDescent="0.3">
      <c r="A13" s="29" t="s">
        <v>399</v>
      </c>
      <c r="B13" s="14">
        <f>+B12</f>
        <v>990</v>
      </c>
      <c r="C13" s="15" t="str">
        <f>+C12</f>
        <v>Agencia Información</v>
      </c>
      <c r="D13" s="15" t="str">
        <f>+D12</f>
        <v>Socioeconómico</v>
      </c>
      <c r="E13" s="27">
        <v>1</v>
      </c>
      <c r="F13" s="15" t="str">
        <f>+F12</f>
        <v>Ingresos regionales</v>
      </c>
      <c r="G13" s="25" t="str">
        <f>+G12</f>
        <v>Ingresos</v>
      </c>
      <c r="H13" s="61" t="s">
        <v>16</v>
      </c>
      <c r="I13" s="62" t="s">
        <v>370</v>
      </c>
      <c r="J13" s="14" t="s">
        <v>411</v>
      </c>
      <c r="K13" s="14" t="str">
        <f>+K12</f>
        <v>Ingresos Promedio Mensual</v>
      </c>
      <c r="L13" s="14" t="s">
        <v>409</v>
      </c>
      <c r="M13" s="14" t="str">
        <f>M12</f>
        <v>CLP/mes</v>
      </c>
      <c r="N13" s="14" t="s">
        <v>410</v>
      </c>
      <c r="O13" s="17" t="str">
        <f>"Evolución de Ingreso Promedio Mensual en la "&amp;Agencia[[#This Row],[territorio]]&amp;" para el "&amp;Agencia[[#This Row],[temporalidad]]</f>
        <v>Evolución de Ingreso Promedio Mensual en la Región de Tarapacá para el Periodo 2006-2017</v>
      </c>
      <c r="P13" s="28"/>
      <c r="Q13" s="17" t="str">
        <f>+Q12</f>
        <v>Gráfico Evolución</v>
      </c>
      <c r="R13" s="17" t="str">
        <f>Agencia[[#This Row],[territorio]]&amp;", ingresos, CASEN, mensual, promedio"</f>
        <v>Región de Tarapacá, ingresos, CASEN, mensual, promedio</v>
      </c>
      <c r="S13" s="30" t="s">
        <v>432</v>
      </c>
      <c r="T13" s="31"/>
      <c r="U13" s="34" t="str">
        <f>+U12</f>
        <v>#1774B9</v>
      </c>
      <c r="V13" s="35" t="str">
        <f>+Agencia[[#This Row],[idcoleccion]]&amp;"-"&amp;Agencia[[#This Row],[id]]</f>
        <v>990-0002</v>
      </c>
      <c r="W13" s="35">
        <f>+VLOOKUP(Agencia[[#This Row],[Filtro URL]],Estructura!$X$4:$Y$366,2,0)</f>
        <v>99200001</v>
      </c>
      <c r="X13" s="35" t="str">
        <f>+VLOOKUP(Agencia[[#This Row],[tema]],Estructura!$A$4:$C$18,3,0)</f>
        <v>T-991</v>
      </c>
      <c r="Y13" s="35" t="str">
        <f>+VLOOKUP(Agencia[[#This Row],[contenido]],Estructura!$E$4:$G$18,3,0)</f>
        <v>C-991</v>
      </c>
      <c r="Z13" s="35" t="str">
        <f>+VLOOKUP(Agencia[[#This Row],[Filtro Integrado]],Estructura!$I$4:$K$18,3,0)</f>
        <v>FI-993</v>
      </c>
      <c r="AA13" s="35" t="str">
        <f>+VLOOKUP(Agencia[[#This Row],[Muestra]],Estructura!$M$4:$O$18,3,0)</f>
        <v>M-995</v>
      </c>
      <c r="AC13" s="50" t="s">
        <v>371</v>
      </c>
      <c r="AD13" s="5">
        <f t="shared" ref="AD13:AD28" si="0">COUNTIFS($I$12:$I$2118,"Chile",$J$12:$J$2118,"Ninguno")</f>
        <v>1</v>
      </c>
      <c r="AE13" s="5">
        <f t="shared" ref="AE13:AE26" si="1">COUNTIFS($I$12:$I$2118,AC13,$J$12:$J$2118,"Ninguno")</f>
        <v>4</v>
      </c>
      <c r="AF13" s="5">
        <f t="shared" ref="AF13:AF26" si="2">COUNTIFS($I$12:$I$2118,AC13,$J$12:$J$2118,"Comuna")</f>
        <v>6</v>
      </c>
      <c r="AG13" s="6">
        <f t="shared" ref="AG13:AG30" si="3">SUM(AD13:AF13)</f>
        <v>11</v>
      </c>
      <c r="AH13" s="49">
        <f>AD13+AE13+AF13*9</f>
        <v>59</v>
      </c>
    </row>
    <row r="14" spans="1:34" ht="51" x14ac:dyDescent="0.3">
      <c r="A14" s="29" t="s">
        <v>415</v>
      </c>
      <c r="B14" s="14">
        <f t="shared" ref="B14:B29" si="4">+B13</f>
        <v>990</v>
      </c>
      <c r="C14" s="15" t="str">
        <f t="shared" ref="C14:C29" si="5">+C13</f>
        <v>Agencia Información</v>
      </c>
      <c r="D14" s="15" t="str">
        <f t="shared" ref="D14:D28" si="6">+D13</f>
        <v>Socioeconómico</v>
      </c>
      <c r="E14" s="27">
        <v>2</v>
      </c>
      <c r="F14" s="15" t="str">
        <f t="shared" ref="F14:F28" si="7">+F13</f>
        <v>Ingresos regionales</v>
      </c>
      <c r="G14" s="25" t="str">
        <f t="shared" ref="G14:G28" si="8">+G13</f>
        <v>Ingresos</v>
      </c>
      <c r="H14" s="61" t="str">
        <f>+H13</f>
        <v>Región</v>
      </c>
      <c r="I14" s="62" t="s">
        <v>371</v>
      </c>
      <c r="J14" s="14" t="s">
        <v>411</v>
      </c>
      <c r="K14" s="14" t="str">
        <f t="shared" ref="K14:K28" si="9">+K13</f>
        <v>Ingresos Promedio Mensual</v>
      </c>
      <c r="L14" s="14" t="str">
        <f>+L13</f>
        <v>Periodo 2006-2017</v>
      </c>
      <c r="M14" s="14" t="str">
        <f>+M13</f>
        <v>CLP/mes</v>
      </c>
      <c r="N14" s="14" t="str">
        <f>+N13</f>
        <v>Encuestas CASEN</v>
      </c>
      <c r="O14" s="17" t="str">
        <f>"Evolución de Ingreso Promedio Mensual en la "&amp;Agencia[[#This Row],[territorio]]&amp;" para el "&amp;Agencia[[#This Row],[temporalidad]]</f>
        <v>Evolución de Ingreso Promedio Mensual en la Región de Antofagasta para el Periodo 2006-2017</v>
      </c>
      <c r="P14" s="17" t="s">
        <v>413</v>
      </c>
      <c r="Q14" s="17" t="str">
        <f>+Q12</f>
        <v>Gráfico Evolución</v>
      </c>
      <c r="R14" s="17" t="str">
        <f>Agencia[[#This Row],[territorio]]&amp;", ingresos, CASEN, mensual, promedio"</f>
        <v>Región de Antofagasta, ingresos, CASEN, mensual, promedio</v>
      </c>
      <c r="S14" s="58" t="s">
        <v>414</v>
      </c>
      <c r="T14" s="31"/>
      <c r="U14" s="34" t="str">
        <f>+U12</f>
        <v>#1774B9</v>
      </c>
      <c r="V14" s="35" t="str">
        <f>+Agencia[[#This Row],[idcoleccion]]&amp;"-"&amp;Agencia[[#This Row],[id]]</f>
        <v>990-0003</v>
      </c>
      <c r="W14" s="35">
        <f>+VLOOKUP(Agencia[[#This Row],[Filtro URL]],Estructura!$X$4:$Y$366,2,0)</f>
        <v>99200002</v>
      </c>
      <c r="X14" s="35" t="str">
        <f>+VLOOKUP(Agencia[[#This Row],[tema]],Estructura!$A$4:$C$18,3,0)</f>
        <v>T-991</v>
      </c>
      <c r="Y14" s="35" t="str">
        <f>+VLOOKUP(Agencia[[#This Row],[contenido]],Estructura!$E$4:$G$18,3,0)</f>
        <v>C-991</v>
      </c>
      <c r="Z14" s="35" t="str">
        <f>+VLOOKUP(Agencia[[#This Row],[Filtro Integrado]],Estructura!$I$4:$K$18,3,0)</f>
        <v>FI-993</v>
      </c>
      <c r="AA14" s="35" t="str">
        <f>+VLOOKUP(Agencia[[#This Row],[Muestra]],Estructura!$M$4:$O$18,3,0)</f>
        <v>M-995</v>
      </c>
      <c r="AC14" s="50" t="s">
        <v>372</v>
      </c>
      <c r="AD14" s="5">
        <f t="shared" si="0"/>
        <v>1</v>
      </c>
      <c r="AE14" s="5">
        <f t="shared" si="1"/>
        <v>4</v>
      </c>
      <c r="AF14" s="5">
        <f t="shared" si="2"/>
        <v>6</v>
      </c>
      <c r="AG14" s="6">
        <f t="shared" si="3"/>
        <v>11</v>
      </c>
      <c r="AH14" s="49">
        <f>AD14+AE14+AF14*9</f>
        <v>59</v>
      </c>
    </row>
    <row r="15" spans="1:34" ht="24" x14ac:dyDescent="0.3">
      <c r="A15" s="29" t="s">
        <v>416</v>
      </c>
      <c r="B15" s="14">
        <f t="shared" si="4"/>
        <v>990</v>
      </c>
      <c r="C15" s="15" t="str">
        <f t="shared" si="5"/>
        <v>Agencia Información</v>
      </c>
      <c r="D15" s="15" t="str">
        <f t="shared" si="6"/>
        <v>Socioeconómico</v>
      </c>
      <c r="E15" s="27">
        <v>3</v>
      </c>
      <c r="F15" s="15" t="str">
        <f t="shared" si="7"/>
        <v>Ingresos regionales</v>
      </c>
      <c r="G15" s="25" t="str">
        <f t="shared" si="8"/>
        <v>Ingresos</v>
      </c>
      <c r="H15" s="61" t="str">
        <f t="shared" ref="H15:H28" si="10">+H14</f>
        <v>Región</v>
      </c>
      <c r="I15" s="62" t="s">
        <v>372</v>
      </c>
      <c r="J15" s="14" t="s">
        <v>411</v>
      </c>
      <c r="K15" s="14" t="str">
        <f t="shared" si="9"/>
        <v>Ingresos Promedio Mensual</v>
      </c>
      <c r="L15" s="14" t="str">
        <f t="shared" ref="L15:L28" si="11">+L14</f>
        <v>Periodo 2006-2017</v>
      </c>
      <c r="M15" s="14" t="str">
        <f t="shared" ref="M15:M28" si="12">+M14</f>
        <v>CLP/mes</v>
      </c>
      <c r="N15" s="14" t="str">
        <f t="shared" ref="N15:N28" si="13">+N14</f>
        <v>Encuestas CASEN</v>
      </c>
      <c r="O15" s="17" t="str">
        <f>"Evolución de Ingreso Promedio Mensual en la "&amp;Agencia[[#This Row],[territorio]]&amp;" para el "&amp;Agencia[[#This Row],[temporalidad]]</f>
        <v>Evolución de Ingreso Promedio Mensual en la Región de Atacama para el Periodo 2006-2017</v>
      </c>
      <c r="P15" s="28"/>
      <c r="Q15" s="17" t="str">
        <f>+Q12</f>
        <v>Gráfico Evolución</v>
      </c>
      <c r="R15" s="17" t="str">
        <f>Agencia[[#This Row],[territorio]]&amp;", ingresos, CASEN, mensual, promedio"</f>
        <v>Región de Atacama, ingresos, CASEN, mensual, promedio</v>
      </c>
      <c r="S15" s="30" t="s">
        <v>432</v>
      </c>
      <c r="T15" s="31"/>
      <c r="U15" s="34" t="str">
        <f>+U12</f>
        <v>#1774B9</v>
      </c>
      <c r="V15" s="35" t="str">
        <f>+Agencia[[#This Row],[idcoleccion]]&amp;"-"&amp;Agencia[[#This Row],[id]]</f>
        <v>990-0004</v>
      </c>
      <c r="W15" s="35">
        <f>+VLOOKUP(Agencia[[#This Row],[Filtro URL]],Estructura!$X$4:$Y$366,2,0)</f>
        <v>99200003</v>
      </c>
      <c r="X15" s="35" t="str">
        <f>+VLOOKUP(Agencia[[#This Row],[tema]],Estructura!$A$4:$C$18,3,0)</f>
        <v>T-991</v>
      </c>
      <c r="Y15" s="35" t="str">
        <f>+VLOOKUP(Agencia[[#This Row],[contenido]],Estructura!$E$4:$G$18,3,0)</f>
        <v>C-991</v>
      </c>
      <c r="Z15" s="35" t="str">
        <f>+VLOOKUP(Agencia[[#This Row],[Filtro Integrado]],Estructura!$I$4:$K$18,3,0)</f>
        <v>FI-993</v>
      </c>
      <c r="AA15" s="35" t="str">
        <f>+VLOOKUP(Agencia[[#This Row],[Muestra]],Estructura!$M$4:$O$18,3,0)</f>
        <v>M-995</v>
      </c>
      <c r="AC15" s="50" t="s">
        <v>373</v>
      </c>
      <c r="AD15" s="5">
        <f t="shared" si="0"/>
        <v>1</v>
      </c>
      <c r="AE15" s="5">
        <f t="shared" si="1"/>
        <v>4</v>
      </c>
      <c r="AF15" s="5">
        <f t="shared" si="2"/>
        <v>6</v>
      </c>
      <c r="AG15" s="6">
        <f t="shared" si="3"/>
        <v>11</v>
      </c>
      <c r="AH15" s="49">
        <f>AD15+AE15+AF15*15</f>
        <v>95</v>
      </c>
    </row>
    <row r="16" spans="1:34" ht="24" x14ac:dyDescent="0.3">
      <c r="A16" s="29" t="s">
        <v>417</v>
      </c>
      <c r="B16" s="14">
        <f t="shared" si="4"/>
        <v>990</v>
      </c>
      <c r="C16" s="15" t="str">
        <f t="shared" si="5"/>
        <v>Agencia Información</v>
      </c>
      <c r="D16" s="15" t="str">
        <f t="shared" si="6"/>
        <v>Socioeconómico</v>
      </c>
      <c r="E16" s="27">
        <v>4</v>
      </c>
      <c r="F16" s="15" t="str">
        <f t="shared" si="7"/>
        <v>Ingresos regionales</v>
      </c>
      <c r="G16" s="25" t="str">
        <f t="shared" si="8"/>
        <v>Ingresos</v>
      </c>
      <c r="H16" s="61" t="str">
        <f t="shared" si="10"/>
        <v>Región</v>
      </c>
      <c r="I16" s="62" t="s">
        <v>373</v>
      </c>
      <c r="J16" s="14" t="s">
        <v>411</v>
      </c>
      <c r="K16" s="14" t="str">
        <f t="shared" si="9"/>
        <v>Ingresos Promedio Mensual</v>
      </c>
      <c r="L16" s="14" t="str">
        <f t="shared" si="11"/>
        <v>Periodo 2006-2017</v>
      </c>
      <c r="M16" s="14" t="str">
        <f t="shared" si="12"/>
        <v>CLP/mes</v>
      </c>
      <c r="N16" s="14" t="str">
        <f t="shared" si="13"/>
        <v>Encuestas CASEN</v>
      </c>
      <c r="O16" s="17" t="str">
        <f>"Evolución de Ingreso Promedio Mensual en la "&amp;Agencia[[#This Row],[territorio]]&amp;" para el "&amp;Agencia[[#This Row],[temporalidad]]</f>
        <v>Evolución de Ingreso Promedio Mensual en la Región de Coquimbo para el Periodo 2006-2017</v>
      </c>
      <c r="P16" s="28"/>
      <c r="Q16" s="17" t="str">
        <f>+Q12</f>
        <v>Gráfico Evolución</v>
      </c>
      <c r="R16" s="17" t="str">
        <f>Agencia[[#This Row],[territorio]]&amp;", ingresos, CASEN, mensual, promedio"</f>
        <v>Región de Coquimbo, ingresos, CASEN, mensual, promedio</v>
      </c>
      <c r="S16" s="30" t="s">
        <v>432</v>
      </c>
      <c r="T16" s="31"/>
      <c r="U16" s="34" t="str">
        <f>+U12</f>
        <v>#1774B9</v>
      </c>
      <c r="V16" s="35" t="str">
        <f>+Agencia[[#This Row],[idcoleccion]]&amp;"-"&amp;Agencia[[#This Row],[id]]</f>
        <v>990-0005</v>
      </c>
      <c r="W16" s="35">
        <f>+VLOOKUP(Agencia[[#This Row],[Filtro URL]],Estructura!$X$4:$Y$366,2,0)</f>
        <v>99200004</v>
      </c>
      <c r="X16" s="35" t="str">
        <f>+VLOOKUP(Agencia[[#This Row],[tema]],Estructura!$A$4:$C$18,3,0)</f>
        <v>T-991</v>
      </c>
      <c r="Y16" s="35" t="str">
        <f>+VLOOKUP(Agencia[[#This Row],[contenido]],Estructura!$E$4:$G$18,3,0)</f>
        <v>C-991</v>
      </c>
      <c r="Z16" s="35" t="str">
        <f>+VLOOKUP(Agencia[[#This Row],[Filtro Integrado]],Estructura!$I$4:$K$18,3,0)</f>
        <v>FI-993</v>
      </c>
      <c r="AA16" s="35" t="str">
        <f>+VLOOKUP(Agencia[[#This Row],[Muestra]],Estructura!$M$4:$O$18,3,0)</f>
        <v>M-995</v>
      </c>
      <c r="AC16" s="50" t="s">
        <v>374</v>
      </c>
      <c r="AD16" s="5">
        <f t="shared" si="0"/>
        <v>1</v>
      </c>
      <c r="AE16" s="5">
        <f t="shared" si="1"/>
        <v>4</v>
      </c>
      <c r="AF16" s="5">
        <f t="shared" si="2"/>
        <v>6</v>
      </c>
      <c r="AG16" s="6">
        <f t="shared" si="3"/>
        <v>11</v>
      </c>
      <c r="AH16" s="49">
        <f>AD16+AE16+AF16*38</f>
        <v>233</v>
      </c>
    </row>
    <row r="17" spans="1:34" ht="24" x14ac:dyDescent="0.3">
      <c r="A17" s="29" t="s">
        <v>418</v>
      </c>
      <c r="B17" s="14">
        <f t="shared" si="4"/>
        <v>990</v>
      </c>
      <c r="C17" s="15" t="str">
        <f t="shared" si="5"/>
        <v>Agencia Información</v>
      </c>
      <c r="D17" s="15" t="str">
        <f t="shared" si="6"/>
        <v>Socioeconómico</v>
      </c>
      <c r="E17" s="27">
        <v>5</v>
      </c>
      <c r="F17" s="15" t="str">
        <f t="shared" si="7"/>
        <v>Ingresos regionales</v>
      </c>
      <c r="G17" s="25" t="str">
        <f t="shared" si="8"/>
        <v>Ingresos</v>
      </c>
      <c r="H17" s="61" t="str">
        <f t="shared" si="10"/>
        <v>Región</v>
      </c>
      <c r="I17" s="62" t="s">
        <v>374</v>
      </c>
      <c r="J17" s="14" t="s">
        <v>411</v>
      </c>
      <c r="K17" s="14" t="str">
        <f t="shared" si="9"/>
        <v>Ingresos Promedio Mensual</v>
      </c>
      <c r="L17" s="14" t="str">
        <f t="shared" si="11"/>
        <v>Periodo 2006-2017</v>
      </c>
      <c r="M17" s="14" t="str">
        <f t="shared" si="12"/>
        <v>CLP/mes</v>
      </c>
      <c r="N17" s="14" t="str">
        <f t="shared" si="13"/>
        <v>Encuestas CASEN</v>
      </c>
      <c r="O17" s="17" t="str">
        <f>"Evolución de Ingreso Promedio Mensual en la "&amp;Agencia[[#This Row],[territorio]]&amp;" para el "&amp;Agencia[[#This Row],[temporalidad]]</f>
        <v>Evolución de Ingreso Promedio Mensual en la Región de Valparaíso para el Periodo 2006-2017</v>
      </c>
      <c r="P17" s="28"/>
      <c r="Q17" s="17" t="str">
        <f>+Q12</f>
        <v>Gráfico Evolución</v>
      </c>
      <c r="R17" s="17" t="str">
        <f>Agencia[[#This Row],[territorio]]&amp;", ingresos, CASEN, mensual, promedio"</f>
        <v>Región de Valparaíso, ingresos, CASEN, mensual, promedio</v>
      </c>
      <c r="S17" s="30" t="s">
        <v>432</v>
      </c>
      <c r="T17" s="31"/>
      <c r="U17" s="34" t="str">
        <f>+U12</f>
        <v>#1774B9</v>
      </c>
      <c r="V17" s="35" t="str">
        <f>+Agencia[[#This Row],[idcoleccion]]&amp;"-"&amp;Agencia[[#This Row],[id]]</f>
        <v>990-0006</v>
      </c>
      <c r="W17" s="35">
        <f>+VLOOKUP(Agencia[[#This Row],[Filtro URL]],Estructura!$X$4:$Y$366,2,0)</f>
        <v>99200005</v>
      </c>
      <c r="X17" s="35" t="str">
        <f>+VLOOKUP(Agencia[[#This Row],[tema]],Estructura!$A$4:$C$18,3,0)</f>
        <v>T-991</v>
      </c>
      <c r="Y17" s="35" t="str">
        <f>+VLOOKUP(Agencia[[#This Row],[contenido]],Estructura!$E$4:$G$18,3,0)</f>
        <v>C-991</v>
      </c>
      <c r="Z17" s="35" t="str">
        <f>+VLOOKUP(Agencia[[#This Row],[Filtro Integrado]],Estructura!$I$4:$K$18,3,0)</f>
        <v>FI-993</v>
      </c>
      <c r="AA17" s="35" t="str">
        <f>+VLOOKUP(Agencia[[#This Row],[Muestra]],Estructura!$M$4:$O$18,3,0)</f>
        <v>M-995</v>
      </c>
      <c r="AC17" s="50" t="s">
        <v>375</v>
      </c>
      <c r="AD17" s="5">
        <f t="shared" si="0"/>
        <v>1</v>
      </c>
      <c r="AE17" s="5">
        <f t="shared" si="1"/>
        <v>4</v>
      </c>
      <c r="AF17" s="5">
        <f t="shared" si="2"/>
        <v>6</v>
      </c>
      <c r="AG17" s="6">
        <f t="shared" si="3"/>
        <v>11</v>
      </c>
      <c r="AH17" s="49">
        <f>AD17+AE17+AF17*33</f>
        <v>203</v>
      </c>
    </row>
    <row r="18" spans="1:34" ht="24" x14ac:dyDescent="0.3">
      <c r="A18" s="29" t="s">
        <v>419</v>
      </c>
      <c r="B18" s="14">
        <f t="shared" si="4"/>
        <v>990</v>
      </c>
      <c r="C18" s="15" t="str">
        <f t="shared" si="5"/>
        <v>Agencia Información</v>
      </c>
      <c r="D18" s="15" t="str">
        <f t="shared" si="6"/>
        <v>Socioeconómico</v>
      </c>
      <c r="E18" s="27">
        <v>6</v>
      </c>
      <c r="F18" s="15" t="str">
        <f t="shared" si="7"/>
        <v>Ingresos regionales</v>
      </c>
      <c r="G18" s="25" t="str">
        <f t="shared" si="8"/>
        <v>Ingresos</v>
      </c>
      <c r="H18" s="61" t="str">
        <f t="shared" si="10"/>
        <v>Región</v>
      </c>
      <c r="I18" s="62" t="s">
        <v>375</v>
      </c>
      <c r="J18" s="14" t="s">
        <v>411</v>
      </c>
      <c r="K18" s="14" t="str">
        <f t="shared" si="9"/>
        <v>Ingresos Promedio Mensual</v>
      </c>
      <c r="L18" s="14" t="str">
        <f t="shared" si="11"/>
        <v>Periodo 2006-2017</v>
      </c>
      <c r="M18" s="14" t="str">
        <f t="shared" si="12"/>
        <v>CLP/mes</v>
      </c>
      <c r="N18" s="14" t="str">
        <f t="shared" si="13"/>
        <v>Encuestas CASEN</v>
      </c>
      <c r="O18" s="17" t="str">
        <f>"Evolución de Ingreso Promedio Mensual en la "&amp;Agencia[[#This Row],[territorio]]&amp;" para el "&amp;Agencia[[#This Row],[temporalidad]]</f>
        <v>Evolución de Ingreso Promedio Mensual en la Región de O'Higgins para el Periodo 2006-2017</v>
      </c>
      <c r="P18" s="28"/>
      <c r="Q18" s="17" t="str">
        <f>+Q12</f>
        <v>Gráfico Evolución</v>
      </c>
      <c r="R18" s="17" t="str">
        <f>Agencia[[#This Row],[territorio]]&amp;", ingresos, CASEN, mensual, promedio"</f>
        <v>Región de O'Higgins, ingresos, CASEN, mensual, promedio</v>
      </c>
      <c r="S18" s="30" t="s">
        <v>432</v>
      </c>
      <c r="T18" s="31"/>
      <c r="U18" s="34" t="str">
        <f>+U12</f>
        <v>#1774B9</v>
      </c>
      <c r="V18" s="35" t="str">
        <f>+Agencia[[#This Row],[idcoleccion]]&amp;"-"&amp;Agencia[[#This Row],[id]]</f>
        <v>990-0007</v>
      </c>
      <c r="W18" s="35">
        <f>+VLOOKUP(Agencia[[#This Row],[Filtro URL]],Estructura!$X$4:$Y$366,2,0)</f>
        <v>99200006</v>
      </c>
      <c r="X18" s="35" t="str">
        <f>+VLOOKUP(Agencia[[#This Row],[tema]],Estructura!$A$4:$C$18,3,0)</f>
        <v>T-991</v>
      </c>
      <c r="Y18" s="35" t="str">
        <f>+VLOOKUP(Agencia[[#This Row],[contenido]],Estructura!$E$4:$G$18,3,0)</f>
        <v>C-991</v>
      </c>
      <c r="Z18" s="35" t="str">
        <f>+VLOOKUP(Agencia[[#This Row],[Filtro Integrado]],Estructura!$I$4:$K$18,3,0)</f>
        <v>FI-993</v>
      </c>
      <c r="AA18" s="35" t="str">
        <f>+VLOOKUP(Agencia[[#This Row],[Muestra]],Estructura!$M$4:$O$18,3,0)</f>
        <v>M-995</v>
      </c>
      <c r="AC18" s="50" t="s">
        <v>376</v>
      </c>
      <c r="AD18" s="5">
        <f t="shared" si="0"/>
        <v>1</v>
      </c>
      <c r="AE18" s="5">
        <f t="shared" si="1"/>
        <v>4</v>
      </c>
      <c r="AF18" s="5">
        <f t="shared" si="2"/>
        <v>6</v>
      </c>
      <c r="AG18" s="6">
        <f t="shared" si="3"/>
        <v>11</v>
      </c>
      <c r="AH18" s="49">
        <f>AD18+AE18+AF18*30</f>
        <v>185</v>
      </c>
    </row>
    <row r="19" spans="1:34" ht="24" x14ac:dyDescent="0.3">
      <c r="A19" s="29" t="s">
        <v>420</v>
      </c>
      <c r="B19" s="14">
        <f t="shared" si="4"/>
        <v>990</v>
      </c>
      <c r="C19" s="15" t="str">
        <f t="shared" si="5"/>
        <v>Agencia Información</v>
      </c>
      <c r="D19" s="15" t="str">
        <f t="shared" si="6"/>
        <v>Socioeconómico</v>
      </c>
      <c r="E19" s="27">
        <v>7</v>
      </c>
      <c r="F19" s="15" t="str">
        <f t="shared" si="7"/>
        <v>Ingresos regionales</v>
      </c>
      <c r="G19" s="25" t="str">
        <f t="shared" si="8"/>
        <v>Ingresos</v>
      </c>
      <c r="H19" s="61" t="str">
        <f t="shared" si="10"/>
        <v>Región</v>
      </c>
      <c r="I19" s="62" t="s">
        <v>376</v>
      </c>
      <c r="J19" s="14" t="s">
        <v>411</v>
      </c>
      <c r="K19" s="14" t="str">
        <f t="shared" si="9"/>
        <v>Ingresos Promedio Mensual</v>
      </c>
      <c r="L19" s="14" t="str">
        <f t="shared" si="11"/>
        <v>Periodo 2006-2017</v>
      </c>
      <c r="M19" s="14" t="str">
        <f t="shared" si="12"/>
        <v>CLP/mes</v>
      </c>
      <c r="N19" s="14" t="str">
        <f t="shared" si="13"/>
        <v>Encuestas CASEN</v>
      </c>
      <c r="O19" s="17" t="str">
        <f>"Evolución de Ingreso Promedio Mensual en la "&amp;Agencia[[#This Row],[territorio]]&amp;" para el "&amp;Agencia[[#This Row],[temporalidad]]</f>
        <v>Evolución de Ingreso Promedio Mensual en la Región de Maule para el Periodo 2006-2017</v>
      </c>
      <c r="P19" s="28"/>
      <c r="Q19" s="17" t="str">
        <f>+Q12</f>
        <v>Gráfico Evolución</v>
      </c>
      <c r="R19" s="17" t="str">
        <f>Agencia[[#This Row],[territorio]]&amp;", ingresos, CASEN, mensual, promedio"</f>
        <v>Región de Maule, ingresos, CASEN, mensual, promedio</v>
      </c>
      <c r="S19" s="30" t="s">
        <v>432</v>
      </c>
      <c r="T19" s="31"/>
      <c r="U19" s="34" t="str">
        <f>+U12</f>
        <v>#1774B9</v>
      </c>
      <c r="V19" s="35" t="str">
        <f>+Agencia[[#This Row],[idcoleccion]]&amp;"-"&amp;Agencia[[#This Row],[id]]</f>
        <v>990-0008</v>
      </c>
      <c r="W19" s="35">
        <f>+VLOOKUP(Agencia[[#This Row],[Filtro URL]],Estructura!$X$4:$Y$366,2,0)</f>
        <v>99200007</v>
      </c>
      <c r="X19" s="35" t="str">
        <f>+VLOOKUP(Agencia[[#This Row],[tema]],Estructura!$A$4:$C$18,3,0)</f>
        <v>T-991</v>
      </c>
      <c r="Y19" s="35" t="str">
        <f>+VLOOKUP(Agencia[[#This Row],[contenido]],Estructura!$E$4:$G$18,3,0)</f>
        <v>C-991</v>
      </c>
      <c r="Z19" s="35" t="str">
        <f>+VLOOKUP(Agencia[[#This Row],[Filtro Integrado]],Estructura!$I$4:$K$18,3,0)</f>
        <v>FI-993</v>
      </c>
      <c r="AA19" s="35" t="str">
        <f>+VLOOKUP(Agencia[[#This Row],[Muestra]],Estructura!$M$4:$O$18,3,0)</f>
        <v>M-995</v>
      </c>
      <c r="AC19" s="50" t="s">
        <v>377</v>
      </c>
      <c r="AD19" s="5">
        <f t="shared" si="0"/>
        <v>1</v>
      </c>
      <c r="AE19" s="5">
        <f t="shared" si="1"/>
        <v>4</v>
      </c>
      <c r="AF19" s="5">
        <f t="shared" si="2"/>
        <v>6</v>
      </c>
      <c r="AG19" s="6">
        <f t="shared" si="3"/>
        <v>11</v>
      </c>
      <c r="AH19" s="49">
        <f>AD19+AE19+AF19*33</f>
        <v>203</v>
      </c>
    </row>
    <row r="20" spans="1:34" ht="24" x14ac:dyDescent="0.3">
      <c r="A20" s="29" t="s">
        <v>421</v>
      </c>
      <c r="B20" s="14">
        <f t="shared" si="4"/>
        <v>990</v>
      </c>
      <c r="C20" s="15" t="str">
        <f t="shared" si="5"/>
        <v>Agencia Información</v>
      </c>
      <c r="D20" s="15" t="str">
        <f t="shared" si="6"/>
        <v>Socioeconómico</v>
      </c>
      <c r="E20" s="27">
        <v>8</v>
      </c>
      <c r="F20" s="15" t="str">
        <f t="shared" si="7"/>
        <v>Ingresos regionales</v>
      </c>
      <c r="G20" s="25" t="str">
        <f t="shared" si="8"/>
        <v>Ingresos</v>
      </c>
      <c r="H20" s="61" t="str">
        <f t="shared" si="10"/>
        <v>Región</v>
      </c>
      <c r="I20" s="62" t="s">
        <v>377</v>
      </c>
      <c r="J20" s="14" t="s">
        <v>411</v>
      </c>
      <c r="K20" s="14" t="str">
        <f t="shared" si="9"/>
        <v>Ingresos Promedio Mensual</v>
      </c>
      <c r="L20" s="14" t="str">
        <f t="shared" si="11"/>
        <v>Periodo 2006-2017</v>
      </c>
      <c r="M20" s="14" t="str">
        <f t="shared" si="12"/>
        <v>CLP/mes</v>
      </c>
      <c r="N20" s="14" t="str">
        <f t="shared" si="13"/>
        <v>Encuestas CASEN</v>
      </c>
      <c r="O20" s="17" t="str">
        <f>"Evolución de Ingreso Promedio Mensual en la "&amp;Agencia[[#This Row],[territorio]]&amp;" para el "&amp;Agencia[[#This Row],[temporalidad]]</f>
        <v>Evolución de Ingreso Promedio Mensual en la Región del Biobío para el Periodo 2006-2017</v>
      </c>
      <c r="P20" s="28"/>
      <c r="Q20" s="17" t="str">
        <f>+Q12</f>
        <v>Gráfico Evolución</v>
      </c>
      <c r="R20" s="17" t="str">
        <f>Agencia[[#This Row],[territorio]]&amp;", ingresos, CASEN, mensual, promedio"</f>
        <v>Región del Biobío, ingresos, CASEN, mensual, promedio</v>
      </c>
      <c r="S20" s="30" t="s">
        <v>432</v>
      </c>
      <c r="T20" s="31"/>
      <c r="U20" s="34" t="str">
        <f>+U12</f>
        <v>#1774B9</v>
      </c>
      <c r="V20" s="35" t="str">
        <f>+Agencia[[#This Row],[idcoleccion]]&amp;"-"&amp;Agencia[[#This Row],[id]]</f>
        <v>990-0009</v>
      </c>
      <c r="W20" s="35">
        <f>+VLOOKUP(Agencia[[#This Row],[Filtro URL]],Estructura!$X$4:$Y$366,2,0)</f>
        <v>99200008</v>
      </c>
      <c r="X20" s="35" t="str">
        <f>+VLOOKUP(Agencia[[#This Row],[tema]],Estructura!$A$4:$C$18,3,0)</f>
        <v>T-991</v>
      </c>
      <c r="Y20" s="35" t="str">
        <f>+VLOOKUP(Agencia[[#This Row],[contenido]],Estructura!$E$4:$G$18,3,0)</f>
        <v>C-991</v>
      </c>
      <c r="Z20" s="35" t="str">
        <f>+VLOOKUP(Agencia[[#This Row],[Filtro Integrado]],Estructura!$I$4:$K$18,3,0)</f>
        <v>FI-993</v>
      </c>
      <c r="AA20" s="35" t="str">
        <f>+VLOOKUP(Agencia[[#This Row],[Muestra]],Estructura!$M$4:$O$18,3,0)</f>
        <v>M-995</v>
      </c>
      <c r="AC20" s="50" t="s">
        <v>378</v>
      </c>
      <c r="AD20" s="5">
        <f t="shared" si="0"/>
        <v>1</v>
      </c>
      <c r="AE20" s="5">
        <f t="shared" si="1"/>
        <v>4</v>
      </c>
      <c r="AF20" s="5">
        <f t="shared" si="2"/>
        <v>6</v>
      </c>
      <c r="AG20" s="6">
        <f t="shared" si="3"/>
        <v>11</v>
      </c>
      <c r="AH20" s="49">
        <f>AD20+AE20+AF20*32</f>
        <v>197</v>
      </c>
    </row>
    <row r="21" spans="1:34" ht="24" x14ac:dyDescent="0.3">
      <c r="A21" s="29" t="s">
        <v>422</v>
      </c>
      <c r="B21" s="14">
        <f t="shared" si="4"/>
        <v>990</v>
      </c>
      <c r="C21" s="15" t="str">
        <f t="shared" si="5"/>
        <v>Agencia Información</v>
      </c>
      <c r="D21" s="15" t="str">
        <f t="shared" si="6"/>
        <v>Socioeconómico</v>
      </c>
      <c r="E21" s="27">
        <v>9</v>
      </c>
      <c r="F21" s="15" t="str">
        <f t="shared" si="7"/>
        <v>Ingresos regionales</v>
      </c>
      <c r="G21" s="25" t="str">
        <f t="shared" si="8"/>
        <v>Ingresos</v>
      </c>
      <c r="H21" s="61" t="str">
        <f t="shared" si="10"/>
        <v>Región</v>
      </c>
      <c r="I21" s="62" t="s">
        <v>378</v>
      </c>
      <c r="J21" s="14" t="s">
        <v>411</v>
      </c>
      <c r="K21" s="14" t="str">
        <f t="shared" si="9"/>
        <v>Ingresos Promedio Mensual</v>
      </c>
      <c r="L21" s="14" t="str">
        <f t="shared" si="11"/>
        <v>Periodo 2006-2017</v>
      </c>
      <c r="M21" s="14" t="str">
        <f t="shared" si="12"/>
        <v>CLP/mes</v>
      </c>
      <c r="N21" s="14" t="str">
        <f t="shared" si="13"/>
        <v>Encuestas CASEN</v>
      </c>
      <c r="O21" s="17" t="str">
        <f>"Evolución de Ingreso Promedio Mensual en la "&amp;Agencia[[#This Row],[territorio]]&amp;" para el "&amp;Agencia[[#This Row],[temporalidad]]</f>
        <v>Evolución de Ingreso Promedio Mensual en la Región de La Araucanía para el Periodo 2006-2017</v>
      </c>
      <c r="P21" s="28"/>
      <c r="Q21" s="17" t="str">
        <f>+Q12</f>
        <v>Gráfico Evolución</v>
      </c>
      <c r="R21" s="17" t="str">
        <f>Agencia[[#This Row],[territorio]]&amp;", ingresos, CASEN, mensual, promedio"</f>
        <v>Región de La Araucanía, ingresos, CASEN, mensual, promedio</v>
      </c>
      <c r="S21" s="30" t="s">
        <v>432</v>
      </c>
      <c r="T21" s="31"/>
      <c r="U21" s="34" t="str">
        <f>+U12</f>
        <v>#1774B9</v>
      </c>
      <c r="V21" s="35" t="str">
        <f>+Agencia[[#This Row],[idcoleccion]]&amp;"-"&amp;Agencia[[#This Row],[id]]</f>
        <v>990-0010</v>
      </c>
      <c r="W21" s="35">
        <f>+VLOOKUP(Agencia[[#This Row],[Filtro URL]],Estructura!$X$4:$Y$366,2,0)</f>
        <v>99200009</v>
      </c>
      <c r="X21" s="35" t="str">
        <f>+VLOOKUP(Agencia[[#This Row],[tema]],Estructura!$A$4:$C$18,3,0)</f>
        <v>T-991</v>
      </c>
      <c r="Y21" s="35" t="str">
        <f>+VLOOKUP(Agencia[[#This Row],[contenido]],Estructura!$E$4:$G$18,3,0)</f>
        <v>C-991</v>
      </c>
      <c r="Z21" s="35" t="str">
        <f>+VLOOKUP(Agencia[[#This Row],[Filtro Integrado]],Estructura!$I$4:$K$18,3,0)</f>
        <v>FI-993</v>
      </c>
      <c r="AA21" s="35" t="str">
        <f>+VLOOKUP(Agencia[[#This Row],[Muestra]],Estructura!$M$4:$O$18,3,0)</f>
        <v>M-995</v>
      </c>
      <c r="AC21" s="50" t="s">
        <v>379</v>
      </c>
      <c r="AD21" s="5">
        <f t="shared" si="0"/>
        <v>1</v>
      </c>
      <c r="AE21" s="5">
        <f t="shared" si="1"/>
        <v>4</v>
      </c>
      <c r="AF21" s="5">
        <f t="shared" si="2"/>
        <v>6</v>
      </c>
      <c r="AG21" s="6">
        <f t="shared" si="3"/>
        <v>11</v>
      </c>
      <c r="AH21" s="49">
        <f>AD21+AE21+AF21*30</f>
        <v>185</v>
      </c>
    </row>
    <row r="22" spans="1:34" ht="24" x14ac:dyDescent="0.3">
      <c r="A22" s="29" t="s">
        <v>423</v>
      </c>
      <c r="B22" s="14">
        <f t="shared" si="4"/>
        <v>990</v>
      </c>
      <c r="C22" s="15" t="str">
        <f t="shared" si="5"/>
        <v>Agencia Información</v>
      </c>
      <c r="D22" s="15" t="str">
        <f t="shared" si="6"/>
        <v>Socioeconómico</v>
      </c>
      <c r="E22" s="27">
        <v>10</v>
      </c>
      <c r="F22" s="15" t="str">
        <f t="shared" si="7"/>
        <v>Ingresos regionales</v>
      </c>
      <c r="G22" s="25" t="str">
        <f t="shared" si="8"/>
        <v>Ingresos</v>
      </c>
      <c r="H22" s="61" t="str">
        <f t="shared" si="10"/>
        <v>Región</v>
      </c>
      <c r="I22" s="62" t="s">
        <v>379</v>
      </c>
      <c r="J22" s="14" t="s">
        <v>411</v>
      </c>
      <c r="K22" s="14" t="str">
        <f t="shared" si="9"/>
        <v>Ingresos Promedio Mensual</v>
      </c>
      <c r="L22" s="14" t="str">
        <f t="shared" si="11"/>
        <v>Periodo 2006-2017</v>
      </c>
      <c r="M22" s="14" t="str">
        <f t="shared" si="12"/>
        <v>CLP/mes</v>
      </c>
      <c r="N22" s="14" t="str">
        <f t="shared" si="13"/>
        <v>Encuestas CASEN</v>
      </c>
      <c r="O22" s="17" t="str">
        <f>"Evolución de Ingreso Promedio Mensual en la "&amp;Agencia[[#This Row],[territorio]]&amp;" para el "&amp;Agencia[[#This Row],[temporalidad]]</f>
        <v>Evolución de Ingreso Promedio Mensual en la Región de Los Lagos para el Periodo 2006-2017</v>
      </c>
      <c r="P22" s="28"/>
      <c r="Q22" s="17" t="str">
        <f>+Q12</f>
        <v>Gráfico Evolución</v>
      </c>
      <c r="R22" s="17" t="str">
        <f>Agencia[[#This Row],[territorio]]&amp;", ingresos, CASEN, mensual, promedio"</f>
        <v>Región de Los Lagos, ingresos, CASEN, mensual, promedio</v>
      </c>
      <c r="S22" s="30" t="s">
        <v>432</v>
      </c>
      <c r="T22" s="31"/>
      <c r="U22" s="34" t="str">
        <f>+U12</f>
        <v>#1774B9</v>
      </c>
      <c r="V22" s="35" t="str">
        <f>+Agencia[[#This Row],[idcoleccion]]&amp;"-"&amp;Agencia[[#This Row],[id]]</f>
        <v>990-0011</v>
      </c>
      <c r="W22" s="35">
        <f>+VLOOKUP(Agencia[[#This Row],[Filtro URL]],Estructura!$X$4:$Y$366,2,0)</f>
        <v>99200010</v>
      </c>
      <c r="X22" s="35" t="str">
        <f>+VLOOKUP(Agencia[[#This Row],[tema]],Estructura!$A$4:$C$18,3,0)</f>
        <v>T-991</v>
      </c>
      <c r="Y22" s="35" t="str">
        <f>+VLOOKUP(Agencia[[#This Row],[contenido]],Estructura!$E$4:$G$18,3,0)</f>
        <v>C-991</v>
      </c>
      <c r="Z22" s="35" t="str">
        <f>+VLOOKUP(Agencia[[#This Row],[Filtro Integrado]],Estructura!$I$4:$K$18,3,0)</f>
        <v>FI-993</v>
      </c>
      <c r="AA22" s="35" t="str">
        <f>+VLOOKUP(Agencia[[#This Row],[Muestra]],Estructura!$M$4:$O$18,3,0)</f>
        <v>M-995</v>
      </c>
      <c r="AC22" s="50" t="s">
        <v>380</v>
      </c>
      <c r="AD22" s="5">
        <f t="shared" si="0"/>
        <v>1</v>
      </c>
      <c r="AE22" s="5">
        <f t="shared" si="1"/>
        <v>4</v>
      </c>
      <c r="AF22" s="5">
        <f t="shared" si="2"/>
        <v>6</v>
      </c>
      <c r="AG22" s="6">
        <f t="shared" si="3"/>
        <v>11</v>
      </c>
      <c r="AH22" s="49">
        <f>AD22+AE22+AF22*10</f>
        <v>65</v>
      </c>
    </row>
    <row r="23" spans="1:34" ht="24" x14ac:dyDescent="0.3">
      <c r="A23" s="29" t="s">
        <v>424</v>
      </c>
      <c r="B23" s="14">
        <f t="shared" si="4"/>
        <v>990</v>
      </c>
      <c r="C23" s="15" t="str">
        <f t="shared" si="5"/>
        <v>Agencia Información</v>
      </c>
      <c r="D23" s="15" t="str">
        <f t="shared" si="6"/>
        <v>Socioeconómico</v>
      </c>
      <c r="E23" s="27">
        <v>11</v>
      </c>
      <c r="F23" s="15" t="str">
        <f t="shared" si="7"/>
        <v>Ingresos regionales</v>
      </c>
      <c r="G23" s="25" t="str">
        <f t="shared" si="8"/>
        <v>Ingresos</v>
      </c>
      <c r="H23" s="61" t="str">
        <f t="shared" si="10"/>
        <v>Región</v>
      </c>
      <c r="I23" s="62" t="s">
        <v>380</v>
      </c>
      <c r="J23" s="14" t="s">
        <v>411</v>
      </c>
      <c r="K23" s="14" t="str">
        <f t="shared" si="9"/>
        <v>Ingresos Promedio Mensual</v>
      </c>
      <c r="L23" s="14" t="str">
        <f t="shared" si="11"/>
        <v>Periodo 2006-2017</v>
      </c>
      <c r="M23" s="14" t="str">
        <f t="shared" si="12"/>
        <v>CLP/mes</v>
      </c>
      <c r="N23" s="14" t="str">
        <f t="shared" si="13"/>
        <v>Encuestas CASEN</v>
      </c>
      <c r="O23" s="17" t="str">
        <f>"Evolución de Ingreso Promedio Mensual en la "&amp;Agencia[[#This Row],[territorio]]&amp;" para el "&amp;Agencia[[#This Row],[temporalidad]]</f>
        <v>Evolución de Ingreso Promedio Mensual en la Región de Aysén para el Periodo 2006-2017</v>
      </c>
      <c r="P23" s="28"/>
      <c r="Q23" s="17" t="str">
        <f>+Q12</f>
        <v>Gráfico Evolución</v>
      </c>
      <c r="R23" s="17" t="str">
        <f>Agencia[[#This Row],[territorio]]&amp;", ingresos, CASEN, mensual, promedio"</f>
        <v>Región de Aysén, ingresos, CASEN, mensual, promedio</v>
      </c>
      <c r="S23" s="30" t="s">
        <v>432</v>
      </c>
      <c r="T23" s="31"/>
      <c r="U23" s="34" t="str">
        <f>+U12</f>
        <v>#1774B9</v>
      </c>
      <c r="V23" s="35" t="str">
        <f>+Agencia[[#This Row],[idcoleccion]]&amp;"-"&amp;Agencia[[#This Row],[id]]</f>
        <v>990-0012</v>
      </c>
      <c r="W23" s="35">
        <f>+VLOOKUP(Agencia[[#This Row],[Filtro URL]],Estructura!$X$4:$Y$366,2,0)</f>
        <v>99200011</v>
      </c>
      <c r="X23" s="35" t="str">
        <f>+VLOOKUP(Agencia[[#This Row],[tema]],Estructura!$A$4:$C$18,3,0)</f>
        <v>T-991</v>
      </c>
      <c r="Y23" s="35" t="str">
        <f>+VLOOKUP(Agencia[[#This Row],[contenido]],Estructura!$E$4:$G$18,3,0)</f>
        <v>C-991</v>
      </c>
      <c r="Z23" s="35" t="str">
        <f>+VLOOKUP(Agencia[[#This Row],[Filtro Integrado]],Estructura!$I$4:$K$18,3,0)</f>
        <v>FI-993</v>
      </c>
      <c r="AA23" s="35" t="str">
        <f>+VLOOKUP(Agencia[[#This Row],[Muestra]],Estructura!$M$4:$O$18,3,0)</f>
        <v>M-995</v>
      </c>
      <c r="AC23" s="50" t="s">
        <v>381</v>
      </c>
      <c r="AD23" s="5">
        <f t="shared" si="0"/>
        <v>1</v>
      </c>
      <c r="AE23" s="5">
        <f t="shared" si="1"/>
        <v>4</v>
      </c>
      <c r="AF23" s="5">
        <f t="shared" si="2"/>
        <v>6</v>
      </c>
      <c r="AG23" s="6">
        <f t="shared" si="3"/>
        <v>11</v>
      </c>
      <c r="AH23" s="49">
        <f>AD23+AE23+AF23*11</f>
        <v>71</v>
      </c>
    </row>
    <row r="24" spans="1:34" ht="24" x14ac:dyDescent="0.3">
      <c r="A24" s="29" t="s">
        <v>425</v>
      </c>
      <c r="B24" s="14">
        <f t="shared" si="4"/>
        <v>990</v>
      </c>
      <c r="C24" s="15" t="str">
        <f t="shared" si="5"/>
        <v>Agencia Información</v>
      </c>
      <c r="D24" s="15" t="str">
        <f t="shared" si="6"/>
        <v>Socioeconómico</v>
      </c>
      <c r="E24" s="27">
        <v>12</v>
      </c>
      <c r="F24" s="15" t="str">
        <f t="shared" si="7"/>
        <v>Ingresos regionales</v>
      </c>
      <c r="G24" s="25" t="str">
        <f t="shared" si="8"/>
        <v>Ingresos</v>
      </c>
      <c r="H24" s="61" t="str">
        <f t="shared" si="10"/>
        <v>Región</v>
      </c>
      <c r="I24" s="62" t="s">
        <v>381</v>
      </c>
      <c r="J24" s="14" t="s">
        <v>411</v>
      </c>
      <c r="K24" s="14" t="str">
        <f t="shared" si="9"/>
        <v>Ingresos Promedio Mensual</v>
      </c>
      <c r="L24" s="14" t="str">
        <f t="shared" si="11"/>
        <v>Periodo 2006-2017</v>
      </c>
      <c r="M24" s="14" t="str">
        <f t="shared" si="12"/>
        <v>CLP/mes</v>
      </c>
      <c r="N24" s="14" t="str">
        <f t="shared" si="13"/>
        <v>Encuestas CASEN</v>
      </c>
      <c r="O24" s="17" t="str">
        <f>"Evolución de Ingreso Promedio Mensual en la "&amp;Agencia[[#This Row],[territorio]]&amp;" para el "&amp;Agencia[[#This Row],[temporalidad]]</f>
        <v>Evolución de Ingreso Promedio Mensual en la Región de Magallanes para el Periodo 2006-2017</v>
      </c>
      <c r="P24" s="28"/>
      <c r="Q24" s="17" t="str">
        <f>+Q12</f>
        <v>Gráfico Evolución</v>
      </c>
      <c r="R24" s="17" t="str">
        <f>Agencia[[#This Row],[territorio]]&amp;", ingresos, CASEN, mensual, promedio"</f>
        <v>Región de Magallanes, ingresos, CASEN, mensual, promedio</v>
      </c>
      <c r="S24" s="30" t="s">
        <v>432</v>
      </c>
      <c r="T24" s="31"/>
      <c r="U24" s="34" t="str">
        <f>+U12</f>
        <v>#1774B9</v>
      </c>
      <c r="V24" s="35" t="str">
        <f>+Agencia[[#This Row],[idcoleccion]]&amp;"-"&amp;Agencia[[#This Row],[id]]</f>
        <v>990-0013</v>
      </c>
      <c r="W24" s="35">
        <f>+VLOOKUP(Agencia[[#This Row],[Filtro URL]],Estructura!$X$4:$Y$366,2,0)</f>
        <v>99200012</v>
      </c>
      <c r="X24" s="35" t="str">
        <f>+VLOOKUP(Agencia[[#This Row],[tema]],Estructura!$A$4:$C$18,3,0)</f>
        <v>T-991</v>
      </c>
      <c r="Y24" s="35" t="str">
        <f>+VLOOKUP(Agencia[[#This Row],[contenido]],Estructura!$E$4:$G$18,3,0)</f>
        <v>C-991</v>
      </c>
      <c r="Z24" s="35" t="str">
        <f>+VLOOKUP(Agencia[[#This Row],[Filtro Integrado]],Estructura!$I$4:$K$18,3,0)</f>
        <v>FI-993</v>
      </c>
      <c r="AA24" s="35" t="str">
        <f>+VLOOKUP(Agencia[[#This Row],[Muestra]],Estructura!$M$4:$O$18,3,0)</f>
        <v>M-995</v>
      </c>
      <c r="AC24" s="50" t="s">
        <v>383</v>
      </c>
      <c r="AD24" s="5">
        <f t="shared" si="0"/>
        <v>1</v>
      </c>
      <c r="AE24" s="5">
        <f t="shared" si="1"/>
        <v>4</v>
      </c>
      <c r="AF24" s="5">
        <f t="shared" si="2"/>
        <v>6</v>
      </c>
      <c r="AG24" s="6">
        <f t="shared" si="3"/>
        <v>11</v>
      </c>
      <c r="AH24" s="49">
        <f>AD24+AE24+AF24*12</f>
        <v>77</v>
      </c>
    </row>
    <row r="25" spans="1:34" ht="24" x14ac:dyDescent="0.3">
      <c r="A25" s="29" t="s">
        <v>426</v>
      </c>
      <c r="B25" s="14">
        <f t="shared" si="4"/>
        <v>990</v>
      </c>
      <c r="C25" s="15" t="str">
        <f t="shared" si="5"/>
        <v>Agencia Información</v>
      </c>
      <c r="D25" s="15" t="str">
        <f t="shared" si="6"/>
        <v>Socioeconómico</v>
      </c>
      <c r="E25" s="27">
        <v>13</v>
      </c>
      <c r="F25" s="15" t="str">
        <f t="shared" si="7"/>
        <v>Ingresos regionales</v>
      </c>
      <c r="G25" s="25" t="str">
        <f t="shared" si="8"/>
        <v>Ingresos</v>
      </c>
      <c r="H25" s="61" t="str">
        <f t="shared" si="10"/>
        <v>Región</v>
      </c>
      <c r="I25" s="62" t="s">
        <v>382</v>
      </c>
      <c r="J25" s="14" t="s">
        <v>411</v>
      </c>
      <c r="K25" s="14" t="str">
        <f t="shared" si="9"/>
        <v>Ingresos Promedio Mensual</v>
      </c>
      <c r="L25" s="14" t="str">
        <f t="shared" si="11"/>
        <v>Periodo 2006-2017</v>
      </c>
      <c r="M25" s="14" t="str">
        <f t="shared" si="12"/>
        <v>CLP/mes</v>
      </c>
      <c r="N25" s="14" t="str">
        <f t="shared" si="13"/>
        <v>Encuestas CASEN</v>
      </c>
      <c r="O25" s="17" t="str">
        <f>"Evolución de Ingreso Promedio Mensual en la "&amp;Agencia[[#This Row],[territorio]]&amp;" para el "&amp;Agencia[[#This Row],[temporalidad]]</f>
        <v>Evolución de Ingreso Promedio Mensual en la Región Metropolitana para el Periodo 2006-2017</v>
      </c>
      <c r="P25" s="28"/>
      <c r="Q25" s="17" t="str">
        <f>+Q12</f>
        <v>Gráfico Evolución</v>
      </c>
      <c r="R25" s="17" t="str">
        <f>Agencia[[#This Row],[territorio]]&amp;", ingresos, CASEN, mensual, promedio"</f>
        <v>Región Metropolitana, ingresos, CASEN, mensual, promedio</v>
      </c>
      <c r="S25" s="30" t="s">
        <v>432</v>
      </c>
      <c r="T25" s="31"/>
      <c r="U25" s="34" t="str">
        <f>+U12</f>
        <v>#1774B9</v>
      </c>
      <c r="V25" s="35" t="str">
        <f>+Agencia[[#This Row],[idcoleccion]]&amp;"-"&amp;Agencia[[#This Row],[id]]</f>
        <v>990-0014</v>
      </c>
      <c r="W25" s="35">
        <f>+VLOOKUP(Agencia[[#This Row],[Filtro URL]],Estructura!$X$4:$Y$366,2,0)</f>
        <v>99200013</v>
      </c>
      <c r="X25" s="35" t="str">
        <f>+VLOOKUP(Agencia[[#This Row],[tema]],Estructura!$A$4:$C$18,3,0)</f>
        <v>T-991</v>
      </c>
      <c r="Y25" s="35" t="str">
        <f>+VLOOKUP(Agencia[[#This Row],[contenido]],Estructura!$E$4:$G$18,3,0)</f>
        <v>C-991</v>
      </c>
      <c r="Z25" s="35" t="str">
        <f>+VLOOKUP(Agencia[[#This Row],[Filtro Integrado]],Estructura!$I$4:$K$18,3,0)</f>
        <v>FI-993</v>
      </c>
      <c r="AA25" s="35" t="str">
        <f>+VLOOKUP(Agencia[[#This Row],[Muestra]],Estructura!$M$4:$O$18,3,0)</f>
        <v>M-995</v>
      </c>
      <c r="AC25" s="50" t="s">
        <v>384</v>
      </c>
      <c r="AD25" s="5">
        <f>COUNTIFS($I$12:$I$2118,"Chile",$J$12:$J$2118,"Ninguno")</f>
        <v>1</v>
      </c>
      <c r="AE25" s="5">
        <f t="shared" si="1"/>
        <v>4</v>
      </c>
      <c r="AF25" s="5">
        <f t="shared" si="2"/>
        <v>6</v>
      </c>
      <c r="AG25" s="6">
        <f t="shared" si="3"/>
        <v>11</v>
      </c>
      <c r="AH25" s="49">
        <f>AD25+AE25+AF25*4</f>
        <v>29</v>
      </c>
    </row>
    <row r="26" spans="1:34" ht="24" x14ac:dyDescent="0.3">
      <c r="A26" s="29" t="s">
        <v>427</v>
      </c>
      <c r="B26" s="14">
        <f t="shared" si="4"/>
        <v>990</v>
      </c>
      <c r="C26" s="15" t="str">
        <f t="shared" si="5"/>
        <v>Agencia Información</v>
      </c>
      <c r="D26" s="15" t="str">
        <f t="shared" si="6"/>
        <v>Socioeconómico</v>
      </c>
      <c r="E26" s="27">
        <v>14</v>
      </c>
      <c r="F26" s="15" t="str">
        <f t="shared" si="7"/>
        <v>Ingresos regionales</v>
      </c>
      <c r="G26" s="25" t="str">
        <f t="shared" si="8"/>
        <v>Ingresos</v>
      </c>
      <c r="H26" s="61" t="str">
        <f t="shared" si="10"/>
        <v>Región</v>
      </c>
      <c r="I26" s="62" t="s">
        <v>383</v>
      </c>
      <c r="J26" s="14" t="s">
        <v>411</v>
      </c>
      <c r="K26" s="14" t="str">
        <f t="shared" si="9"/>
        <v>Ingresos Promedio Mensual</v>
      </c>
      <c r="L26" s="14" t="str">
        <f t="shared" si="11"/>
        <v>Periodo 2006-2017</v>
      </c>
      <c r="M26" s="14" t="str">
        <f t="shared" si="12"/>
        <v>CLP/mes</v>
      </c>
      <c r="N26" s="14" t="str">
        <f t="shared" si="13"/>
        <v>Encuestas CASEN</v>
      </c>
      <c r="O26" s="17" t="str">
        <f>"Evolución de Ingreso Promedio Mensual en la "&amp;Agencia[[#This Row],[territorio]]&amp;" para el "&amp;Agencia[[#This Row],[temporalidad]]</f>
        <v>Evolución de Ingreso Promedio Mensual en la Región de Los Ríos para el Periodo 2006-2017</v>
      </c>
      <c r="P26" s="28"/>
      <c r="Q26" s="17" t="str">
        <f>+Q12</f>
        <v>Gráfico Evolución</v>
      </c>
      <c r="R26" s="17" t="str">
        <f>Agencia[[#This Row],[territorio]]&amp;", ingresos, CASEN, mensual, promedio"</f>
        <v>Región de Los Ríos, ingresos, CASEN, mensual, promedio</v>
      </c>
      <c r="S26" s="30" t="s">
        <v>432</v>
      </c>
      <c r="T26" s="31"/>
      <c r="U26" s="34" t="str">
        <f>+U12</f>
        <v>#1774B9</v>
      </c>
      <c r="V26" s="35" t="str">
        <f>+Agencia[[#This Row],[idcoleccion]]&amp;"-"&amp;Agencia[[#This Row],[id]]</f>
        <v>990-0015</v>
      </c>
      <c r="W26" s="35">
        <f>+VLOOKUP(Agencia[[#This Row],[Filtro URL]],Estructura!$X$4:$Y$366,2,0)</f>
        <v>99200014</v>
      </c>
      <c r="X26" s="35" t="str">
        <f>+VLOOKUP(Agencia[[#This Row],[tema]],Estructura!$A$4:$C$18,3,0)</f>
        <v>T-991</v>
      </c>
      <c r="Y26" s="35" t="str">
        <f>+VLOOKUP(Agencia[[#This Row],[contenido]],Estructura!$E$4:$G$18,3,0)</f>
        <v>C-991</v>
      </c>
      <c r="Z26" s="35" t="str">
        <f>+VLOOKUP(Agencia[[#This Row],[Filtro Integrado]],Estructura!$I$4:$K$18,3,0)</f>
        <v>FI-993</v>
      </c>
      <c r="AA26" s="35" t="str">
        <f>+VLOOKUP(Agencia[[#This Row],[Muestra]],Estructura!$M$4:$O$18,3,0)</f>
        <v>M-995</v>
      </c>
      <c r="AC26" s="50" t="s">
        <v>385</v>
      </c>
      <c r="AD26" s="5">
        <f t="shared" si="0"/>
        <v>1</v>
      </c>
      <c r="AE26" s="5">
        <f t="shared" si="1"/>
        <v>4</v>
      </c>
      <c r="AF26" s="5">
        <f t="shared" si="2"/>
        <v>6</v>
      </c>
      <c r="AG26" s="6">
        <f t="shared" si="3"/>
        <v>11</v>
      </c>
      <c r="AH26" s="49">
        <f>AD26+AE26+AF26*21</f>
        <v>131</v>
      </c>
    </row>
    <row r="27" spans="1:34" ht="24" x14ac:dyDescent="0.3">
      <c r="A27" s="29" t="s">
        <v>428</v>
      </c>
      <c r="B27" s="14">
        <f t="shared" si="4"/>
        <v>990</v>
      </c>
      <c r="C27" s="15" t="str">
        <f t="shared" si="5"/>
        <v>Agencia Información</v>
      </c>
      <c r="D27" s="15" t="str">
        <f t="shared" si="6"/>
        <v>Socioeconómico</v>
      </c>
      <c r="E27" s="27">
        <v>15</v>
      </c>
      <c r="F27" s="15" t="str">
        <f t="shared" si="7"/>
        <v>Ingresos regionales</v>
      </c>
      <c r="G27" s="25" t="str">
        <f t="shared" si="8"/>
        <v>Ingresos</v>
      </c>
      <c r="H27" s="61" t="str">
        <f t="shared" si="10"/>
        <v>Región</v>
      </c>
      <c r="I27" s="62" t="s">
        <v>384</v>
      </c>
      <c r="J27" s="14" t="s">
        <v>411</v>
      </c>
      <c r="K27" s="14" t="str">
        <f t="shared" si="9"/>
        <v>Ingresos Promedio Mensual</v>
      </c>
      <c r="L27" s="14" t="str">
        <f t="shared" si="11"/>
        <v>Periodo 2006-2017</v>
      </c>
      <c r="M27" s="14" t="str">
        <f t="shared" si="12"/>
        <v>CLP/mes</v>
      </c>
      <c r="N27" s="14" t="str">
        <f t="shared" si="13"/>
        <v>Encuestas CASEN</v>
      </c>
      <c r="O27" s="17" t="str">
        <f>"Evolución de Ingreso Promedio Mensual en la "&amp;Agencia[[#This Row],[territorio]]&amp;" para el "&amp;Agencia[[#This Row],[temporalidad]]</f>
        <v>Evolución de Ingreso Promedio Mensual en la Región de Arica y Parinacota para el Periodo 2006-2017</v>
      </c>
      <c r="P27" s="28"/>
      <c r="Q27" s="17" t="str">
        <f>+Q12</f>
        <v>Gráfico Evolución</v>
      </c>
      <c r="R27" s="17" t="str">
        <f>Agencia[[#This Row],[territorio]]&amp;", ingresos, CASEN, mensual, promedio"</f>
        <v>Región de Arica y Parinacota, ingresos, CASEN, mensual, promedio</v>
      </c>
      <c r="S27" s="30" t="s">
        <v>432</v>
      </c>
      <c r="T27" s="31"/>
      <c r="U27" s="34" t="str">
        <f>+U12</f>
        <v>#1774B9</v>
      </c>
      <c r="V27" s="35" t="str">
        <f>+Agencia[[#This Row],[idcoleccion]]&amp;"-"&amp;Agencia[[#This Row],[id]]</f>
        <v>990-0016</v>
      </c>
      <c r="W27" s="35">
        <f>+VLOOKUP(Agencia[[#This Row],[Filtro URL]],Estructura!$X$4:$Y$366,2,0)</f>
        <v>99200015</v>
      </c>
      <c r="X27" s="35" t="str">
        <f>+VLOOKUP(Agencia[[#This Row],[tema]],Estructura!$A$4:$C$18,3,0)</f>
        <v>T-991</v>
      </c>
      <c r="Y27" s="35" t="str">
        <f>+VLOOKUP(Agencia[[#This Row],[contenido]],Estructura!$E$4:$G$18,3,0)</f>
        <v>C-991</v>
      </c>
      <c r="Z27" s="35" t="str">
        <f>+VLOOKUP(Agencia[[#This Row],[Filtro Integrado]],Estructura!$I$4:$K$18,3,0)</f>
        <v>FI-993</v>
      </c>
      <c r="AA27" s="35" t="str">
        <f>+VLOOKUP(Agencia[[#This Row],[Muestra]],Estructura!$M$4:$O$18,3,0)</f>
        <v>M-995</v>
      </c>
      <c r="AC27" s="51" t="s">
        <v>501</v>
      </c>
      <c r="AD27" s="52" t="s">
        <v>390</v>
      </c>
      <c r="AE27" s="52" t="s">
        <v>26</v>
      </c>
      <c r="AF27" s="5" t="s">
        <v>27</v>
      </c>
      <c r="AG27" s="52" t="s">
        <v>391</v>
      </c>
      <c r="AH27" s="52" t="s">
        <v>503</v>
      </c>
    </row>
    <row r="28" spans="1:34" ht="24" x14ac:dyDescent="0.3">
      <c r="A28" s="29" t="s">
        <v>429</v>
      </c>
      <c r="B28" s="14">
        <f t="shared" si="4"/>
        <v>990</v>
      </c>
      <c r="C28" s="15" t="str">
        <f t="shared" si="5"/>
        <v>Agencia Información</v>
      </c>
      <c r="D28" s="15" t="str">
        <f t="shared" si="6"/>
        <v>Socioeconómico</v>
      </c>
      <c r="E28" s="27">
        <v>16</v>
      </c>
      <c r="F28" s="15" t="str">
        <f t="shared" si="7"/>
        <v>Ingresos regionales</v>
      </c>
      <c r="G28" s="25" t="str">
        <f t="shared" si="8"/>
        <v>Ingresos</v>
      </c>
      <c r="H28" s="61" t="str">
        <f t="shared" si="10"/>
        <v>Región</v>
      </c>
      <c r="I28" s="62" t="s">
        <v>385</v>
      </c>
      <c r="J28" s="14" t="s">
        <v>411</v>
      </c>
      <c r="K28" s="14" t="str">
        <f t="shared" si="9"/>
        <v>Ingresos Promedio Mensual</v>
      </c>
      <c r="L28" s="14" t="str">
        <f t="shared" si="11"/>
        <v>Periodo 2006-2017</v>
      </c>
      <c r="M28" s="14" t="str">
        <f t="shared" si="12"/>
        <v>CLP/mes</v>
      </c>
      <c r="N28" s="14" t="str">
        <f t="shared" si="13"/>
        <v>Encuestas CASEN</v>
      </c>
      <c r="O28" s="17" t="str">
        <f>"Evolución de Ingreso Promedio Mensual en la "&amp;Agencia[[#This Row],[territorio]]&amp;" para el "&amp;Agencia[[#This Row],[temporalidad]]</f>
        <v>Evolución de Ingreso Promedio Mensual en la Región de Ñuble para el Periodo 2006-2017</v>
      </c>
      <c r="P28" s="28"/>
      <c r="Q28" s="17" t="str">
        <f>+Q12</f>
        <v>Gráfico Evolución</v>
      </c>
      <c r="R28" s="17" t="str">
        <f>Agencia[[#This Row],[territorio]]&amp;", ingresos, CASEN, mensual, promedio"</f>
        <v>Región de Ñuble, ingresos, CASEN, mensual, promedio</v>
      </c>
      <c r="S28" s="30" t="s">
        <v>432</v>
      </c>
      <c r="T28" s="31"/>
      <c r="U28" s="34" t="str">
        <f>+U12</f>
        <v>#1774B9</v>
      </c>
      <c r="V28" s="35" t="str">
        <f>+Agencia[[#This Row],[idcoleccion]]&amp;"-"&amp;Agencia[[#This Row],[id]]</f>
        <v>990-0017</v>
      </c>
      <c r="W28" s="35">
        <f>+VLOOKUP(Agencia[[#This Row],[Filtro URL]],Estructura!$X$4:$Y$366,2,0)</f>
        <v>99200016</v>
      </c>
      <c r="X28" s="35" t="str">
        <f>+VLOOKUP(Agencia[[#This Row],[tema]],Estructura!$A$4:$C$18,3,0)</f>
        <v>T-991</v>
      </c>
      <c r="Y28" s="35" t="str">
        <f>+VLOOKUP(Agencia[[#This Row],[contenido]],Estructura!$E$4:$G$18,3,0)</f>
        <v>C-991</v>
      </c>
      <c r="Z28" s="35" t="str">
        <f>+VLOOKUP(Agencia[[#This Row],[Filtro Integrado]],Estructura!$I$4:$K$18,3,0)</f>
        <v>FI-993</v>
      </c>
      <c r="AA28" s="35" t="str">
        <f>+VLOOKUP(Agencia[[#This Row],[Muestra]],Estructura!$M$4:$O$18,3,0)</f>
        <v>M-995</v>
      </c>
      <c r="AC28" s="50" t="s">
        <v>382</v>
      </c>
      <c r="AD28" s="5">
        <f t="shared" si="0"/>
        <v>1</v>
      </c>
      <c r="AE28" s="5">
        <f>COUNTIFS($I$12:$I$2118,AC28,$J$12:$J$2118,"Ninguno")</f>
        <v>4</v>
      </c>
      <c r="AF28" s="5">
        <f>COUNTIFS($I$12:$I$2118,AC28,$J$12:$J$2118,"Comuna")</f>
        <v>6</v>
      </c>
      <c r="AG28" s="6">
        <f t="shared" si="3"/>
        <v>11</v>
      </c>
      <c r="AH28" s="49">
        <f>AD28+AE28+AF28*52</f>
        <v>317</v>
      </c>
    </row>
    <row r="29" spans="1:34" ht="51" x14ac:dyDescent="0.3">
      <c r="A29" s="26" t="s">
        <v>430</v>
      </c>
      <c r="B29" s="14">
        <f t="shared" si="4"/>
        <v>990</v>
      </c>
      <c r="C29" s="15" t="str">
        <f t="shared" si="5"/>
        <v>Agencia Información</v>
      </c>
      <c r="D29" s="15" t="s">
        <v>14</v>
      </c>
      <c r="E29" s="21">
        <v>0</v>
      </c>
      <c r="F29" s="15" t="s">
        <v>434</v>
      </c>
      <c r="G29" s="25" t="s">
        <v>435</v>
      </c>
      <c r="H29" s="59" t="s">
        <v>20</v>
      </c>
      <c r="I29" s="60" t="s">
        <v>15</v>
      </c>
      <c r="J29" s="14" t="s">
        <v>16</v>
      </c>
      <c r="K29" s="14" t="s">
        <v>654</v>
      </c>
      <c r="L29" s="14" t="s">
        <v>436</v>
      </c>
      <c r="M29" s="14" t="s">
        <v>437</v>
      </c>
      <c r="N29" s="14" t="s">
        <v>442</v>
      </c>
      <c r="O29" s="42" t="s">
        <v>438</v>
      </c>
      <c r="P29" s="42" t="s">
        <v>443</v>
      </c>
      <c r="Q29" s="17" t="str">
        <f>+Q12</f>
        <v>Gráfico Evolución</v>
      </c>
      <c r="R29" s="17" t="str">
        <f>Agencia[[#This Row],[territorio]]&amp;",Educacion,Municipal,PSU,Alumnos,Calidad Educacion,Colegios Municipales"</f>
        <v>Chile,Educacion,Municipal,PSU,Alumnos,Calidad Educacion,Colegios Municipales</v>
      </c>
      <c r="S29" s="30" t="s">
        <v>432</v>
      </c>
      <c r="T29" s="31">
        <v>100200300</v>
      </c>
      <c r="U29" s="32" t="str">
        <f>+U12</f>
        <v>#1774B9</v>
      </c>
      <c r="V29" s="33" t="str">
        <f>+Agencia[[#This Row],[idcoleccion]]&amp;"-"&amp;Agencia[[#This Row],[id]]</f>
        <v>990-0019</v>
      </c>
      <c r="W29" s="33">
        <f>+VLOOKUP(Agencia[[#This Row],[Filtro URL]],Estructura!$X$4:$Y$366,2,0)</f>
        <v>99100000</v>
      </c>
      <c r="X29" s="33" t="str">
        <f>+VLOOKUP(Agencia[[#This Row],[tema]],Estructura!$A$4:$C$18,3,0)</f>
        <v>T-992</v>
      </c>
      <c r="Y29" s="33" t="str">
        <f>+VLOOKUP(Agencia[[#This Row],[contenido]],Estructura!$E$4:$G$18,3,0)</f>
        <v>C-992</v>
      </c>
      <c r="Z29" s="33" t="str">
        <f>+VLOOKUP(Agencia[[#This Row],[Filtro Integrado]],Estructura!$I$4:$K$18,3,0)</f>
        <v>FI-992</v>
      </c>
      <c r="AA29" s="33" t="str">
        <f>+VLOOKUP(Agencia[[#This Row],[Muestra]],Estructura!$M$4:$O$18,3,0)</f>
        <v>M-996</v>
      </c>
      <c r="AC29" s="51" t="s">
        <v>502</v>
      </c>
      <c r="AD29" s="5" t="s">
        <v>390</v>
      </c>
      <c r="AE29" s="5" t="s">
        <v>26</v>
      </c>
      <c r="AF29" s="5" t="s">
        <v>27</v>
      </c>
      <c r="AG29" s="5" t="s">
        <v>391</v>
      </c>
      <c r="AH29" s="52" t="s">
        <v>503</v>
      </c>
    </row>
    <row r="30" spans="1:34" ht="48" x14ac:dyDescent="0.3">
      <c r="A30" s="29" t="s">
        <v>439</v>
      </c>
      <c r="B30" s="39">
        <f>+B29</f>
        <v>990</v>
      </c>
      <c r="C30" s="40" t="str">
        <f>+C29</f>
        <v>Agencia Información</v>
      </c>
      <c r="D30" s="40" t="str">
        <f>+D29</f>
        <v>Educación</v>
      </c>
      <c r="E30" s="27">
        <v>1</v>
      </c>
      <c r="F30" s="40" t="str">
        <f>+F29</f>
        <v>Indicadores de Calidad de Educación Municipal</v>
      </c>
      <c r="G30" s="41" t="str">
        <f>+G29</f>
        <v>Calidad de la Educación</v>
      </c>
      <c r="H30" s="61" t="s">
        <v>16</v>
      </c>
      <c r="I30" s="62" t="s">
        <v>370</v>
      </c>
      <c r="J30" s="39" t="s">
        <v>18</v>
      </c>
      <c r="K30" s="39" t="str">
        <f>+K29</f>
        <v>Proporción alumnos sobre 450 pts PSU</v>
      </c>
      <c r="L30" s="39" t="str">
        <f>+L29</f>
        <v>Periodo 2001-2020</v>
      </c>
      <c r="M30" s="39" t="str">
        <f>+M29</f>
        <v>Porcentaje (%)</v>
      </c>
      <c r="N30" s="39" t="str">
        <f>+N29</f>
        <v>Sistema Nacional de Información Municipal</v>
      </c>
      <c r="O30" s="42" t="str">
        <f>+O29</f>
        <v>Proporción de Alumnos de 4to Medio con más de 450 puntos en la PSU según dependencia de colegios</v>
      </c>
      <c r="P30" s="42"/>
      <c r="Q30" s="43" t="str">
        <f>+Q29</f>
        <v>Gráfico Evolución</v>
      </c>
      <c r="R30" s="17" t="str">
        <f>Agencia[[#This Row],[territorio]]&amp;",Educacion,Municipal,PSU,Alumnos,Calidad Educacion,Colegios Municipales"</f>
        <v>Región de Tarapacá,Educacion,Municipal,PSU,Alumnos,Calidad Educacion,Colegios Municipales</v>
      </c>
      <c r="S30" s="30" t="s">
        <v>432</v>
      </c>
      <c r="T30" s="44"/>
      <c r="U30" s="45" t="str">
        <f>+U29</f>
        <v>#1774B9</v>
      </c>
      <c r="V30" s="46" t="str">
        <f>+Agencia[[#This Row],[idcoleccion]]&amp;"-"&amp;Agencia[[#This Row],[id]]</f>
        <v>990-0020</v>
      </c>
      <c r="W30" s="38">
        <f>+VLOOKUP(Agencia[[#This Row],[Filtro URL]],Estructura!$X$4:$Y$366,2,0)</f>
        <v>99200001</v>
      </c>
      <c r="X30" s="47" t="str">
        <f>+VLOOKUP(Agencia[[#This Row],[tema]],Estructura!$A$4:$C$18,3,0)</f>
        <v>T-992</v>
      </c>
      <c r="Y30" s="47" t="str">
        <f>+VLOOKUP(Agencia[[#This Row],[contenido]],Estructura!$E$4:$G$18,3,0)</f>
        <v>C-992</v>
      </c>
      <c r="Z30" s="47" t="str">
        <f>+VLOOKUP(Agencia[[#This Row],[Filtro Integrado]],Estructura!$I$4:$K$18,3,0)</f>
        <v>FI-991</v>
      </c>
      <c r="AA30" s="47" t="str">
        <f>+VLOOKUP(Agencia[[#This Row],[Muestra]],Estructura!$M$4:$O$18,3,0)</f>
        <v>M-996</v>
      </c>
      <c r="AC30" s="50" t="s">
        <v>15</v>
      </c>
      <c r="AD30" s="5">
        <f>COUNTIFS($I$12:$I$2118,"Chile",$J$12:$J$2118,"Ninguno")</f>
        <v>1</v>
      </c>
      <c r="AE30" s="5">
        <f>COUNTIFS($I$12:$I$2118,AC30,$J$12:$J$2118,"Región")</f>
        <v>5</v>
      </c>
      <c r="AF30" s="5">
        <f>COUNTIFS($I$12:$I$2118,AC30,$J$12:$J$2118,"Comuna")</f>
        <v>5</v>
      </c>
      <c r="AG30" s="6">
        <f t="shared" si="3"/>
        <v>11</v>
      </c>
      <c r="AH30" s="49">
        <f>AD30+AE30+AF30*346</f>
        <v>1736</v>
      </c>
    </row>
    <row r="31" spans="1:34" ht="48" x14ac:dyDescent="0.3">
      <c r="A31" s="29" t="s">
        <v>440</v>
      </c>
      <c r="B31" s="39">
        <f t="shared" ref="B31:B32" si="14">+B30</f>
        <v>990</v>
      </c>
      <c r="C31" s="40" t="str">
        <f t="shared" ref="C31:C32" si="15">+C30</f>
        <v>Agencia Información</v>
      </c>
      <c r="D31" s="40" t="str">
        <f t="shared" ref="D31:D32" si="16">+D30</f>
        <v>Educación</v>
      </c>
      <c r="E31" s="27">
        <v>2</v>
      </c>
      <c r="F31" s="40" t="str">
        <f>+F30</f>
        <v>Indicadores de Calidad de Educación Municipal</v>
      </c>
      <c r="G31" s="41" t="str">
        <f t="shared" ref="G31:G32" si="17">+G30</f>
        <v>Calidad de la Educación</v>
      </c>
      <c r="H31" s="61" t="str">
        <f>+H30</f>
        <v>Región</v>
      </c>
      <c r="I31" s="62" t="s">
        <v>371</v>
      </c>
      <c r="J31" s="39" t="str">
        <f t="shared" ref="J31:J32" si="18">+J30</f>
        <v>Comuna</v>
      </c>
      <c r="K31" s="39" t="str">
        <f t="shared" ref="K31:K32" si="19">+K30</f>
        <v>Proporción alumnos sobre 450 pts PSU</v>
      </c>
      <c r="L31" s="39" t="str">
        <f t="shared" ref="L31:L32" si="20">+L30</f>
        <v>Periodo 2001-2020</v>
      </c>
      <c r="M31" s="39" t="str">
        <f t="shared" ref="M31:M32" si="21">+M30</f>
        <v>Porcentaje (%)</v>
      </c>
      <c r="N31" s="39" t="str">
        <f t="shared" ref="N31:N32" si="22">+N30</f>
        <v>Sistema Nacional de Información Municipal</v>
      </c>
      <c r="O31" s="42" t="str">
        <f t="shared" ref="O31:O45" si="23">+O30</f>
        <v>Proporción de Alumnos de 4to Medio con más de 450 puntos en la PSU según dependencia de colegios</v>
      </c>
      <c r="P31" s="28"/>
      <c r="Q31" s="17" t="str">
        <f>+Q30</f>
        <v>Gráfico Evolución</v>
      </c>
      <c r="R31" s="17" t="str">
        <f>Agencia[[#This Row],[territorio]]&amp;",Educacion,Municipal,PSU,Alumnos,Calidad Educacion,Colegios Municipales"</f>
        <v>Región de Antofagasta,Educacion,Municipal,PSU,Alumnos,Calidad Educacion,Colegios Municipales</v>
      </c>
      <c r="S31" s="30" t="s">
        <v>432</v>
      </c>
      <c r="T31" s="31"/>
      <c r="U31" s="36" t="str">
        <f>+U30</f>
        <v>#1774B9</v>
      </c>
      <c r="V31" s="37" t="str">
        <f>+Agencia[[#This Row],[idcoleccion]]&amp;"-"&amp;Agencia[[#This Row],[id]]</f>
        <v>990-0021</v>
      </c>
      <c r="W31" s="38">
        <f>+VLOOKUP(Agencia[[#This Row],[Filtro URL]],Estructura!$X$4:$Y$366,2,0)</f>
        <v>99200002</v>
      </c>
      <c r="X31" s="35" t="str">
        <f>+VLOOKUP(Agencia[[#This Row],[tema]],Estructura!$A$4:$C$18,3,0)</f>
        <v>T-992</v>
      </c>
      <c r="Y31" s="35" t="str">
        <f>+VLOOKUP(Agencia[[#This Row],[contenido]],Estructura!$E$4:$G$18,3,0)</f>
        <v>C-992</v>
      </c>
      <c r="Z31" s="35" t="str">
        <f>+VLOOKUP(Agencia[[#This Row],[Filtro Integrado]],Estructura!$I$4:$K$18,3,0)</f>
        <v>FI-991</v>
      </c>
      <c r="AA31" s="35" t="str">
        <f>+VLOOKUP(Agencia[[#This Row],[Muestra]],Estructura!$M$4:$O$18,3,0)</f>
        <v>M-996</v>
      </c>
    </row>
    <row r="32" spans="1:34" ht="48" x14ac:dyDescent="0.3">
      <c r="A32" s="29" t="s">
        <v>441</v>
      </c>
      <c r="B32" s="39">
        <f t="shared" si="14"/>
        <v>990</v>
      </c>
      <c r="C32" s="40" t="str">
        <f t="shared" si="15"/>
        <v>Agencia Información</v>
      </c>
      <c r="D32" s="40" t="str">
        <f t="shared" si="16"/>
        <v>Educación</v>
      </c>
      <c r="E32" s="27">
        <v>3</v>
      </c>
      <c r="F32" s="40" t="str">
        <f>+F31</f>
        <v>Indicadores de Calidad de Educación Municipal</v>
      </c>
      <c r="G32" s="41" t="str">
        <f t="shared" si="17"/>
        <v>Calidad de la Educación</v>
      </c>
      <c r="H32" s="61" t="str">
        <f t="shared" ref="H32:H45" si="24">+H31</f>
        <v>Región</v>
      </c>
      <c r="I32" s="62" t="s">
        <v>372</v>
      </c>
      <c r="J32" s="39" t="str">
        <f t="shared" si="18"/>
        <v>Comuna</v>
      </c>
      <c r="K32" s="39" t="str">
        <f t="shared" si="19"/>
        <v>Proporción alumnos sobre 450 pts PSU</v>
      </c>
      <c r="L32" s="39" t="str">
        <f t="shared" si="20"/>
        <v>Periodo 2001-2020</v>
      </c>
      <c r="M32" s="39" t="str">
        <f t="shared" si="21"/>
        <v>Porcentaje (%)</v>
      </c>
      <c r="N32" s="39" t="str">
        <f t="shared" si="22"/>
        <v>Sistema Nacional de Información Municipal</v>
      </c>
      <c r="O32" s="42" t="str">
        <f t="shared" si="23"/>
        <v>Proporción de Alumnos de 4to Medio con más de 450 puntos en la PSU según dependencia de colegios</v>
      </c>
      <c r="P32" s="28"/>
      <c r="Q32" s="17" t="str">
        <f>+Q31</f>
        <v>Gráfico Evolución</v>
      </c>
      <c r="R32" s="17" t="str">
        <f>Agencia[[#This Row],[territorio]]&amp;",Educacion,Municipal,PSU,Alumnos,Calidad Educacion,Colegios Municipales"</f>
        <v>Región de Atacama,Educacion,Municipal,PSU,Alumnos,Calidad Educacion,Colegios Municipales</v>
      </c>
      <c r="S32" s="30" t="s">
        <v>432</v>
      </c>
      <c r="T32" s="31"/>
      <c r="U32" s="36" t="str">
        <f>+U31</f>
        <v>#1774B9</v>
      </c>
      <c r="V32" s="37" t="str">
        <f>+Agencia[[#This Row],[idcoleccion]]&amp;"-"&amp;Agencia[[#This Row],[id]]</f>
        <v>990-0022</v>
      </c>
      <c r="W32" s="38">
        <f>+VLOOKUP(Agencia[[#This Row],[Filtro URL]],Estructura!$X$4:$Y$366,2,0)</f>
        <v>99200003</v>
      </c>
      <c r="X32" s="35" t="str">
        <f>+VLOOKUP(Agencia[[#This Row],[tema]],Estructura!$A$4:$C$18,3,0)</f>
        <v>T-992</v>
      </c>
      <c r="Y32" s="35" t="str">
        <f>+VLOOKUP(Agencia[[#This Row],[contenido]],Estructura!$E$4:$G$18,3,0)</f>
        <v>C-992</v>
      </c>
      <c r="Z32" s="35" t="str">
        <f>+VLOOKUP(Agencia[[#This Row],[Filtro Integrado]],Estructura!$I$4:$K$18,3,0)</f>
        <v>FI-991</v>
      </c>
      <c r="AA32" s="35" t="str">
        <f>+VLOOKUP(Agencia[[#This Row],[Muestra]],Estructura!$M$4:$O$18,3,0)</f>
        <v>M-996</v>
      </c>
    </row>
    <row r="33" spans="1:27" ht="48" x14ac:dyDescent="0.3">
      <c r="A33" s="29" t="s">
        <v>444</v>
      </c>
      <c r="B33" s="39">
        <f t="shared" ref="B33:B45" si="25">+B32</f>
        <v>990</v>
      </c>
      <c r="C33" s="40" t="str">
        <f t="shared" ref="C33:C45" si="26">+C32</f>
        <v>Agencia Información</v>
      </c>
      <c r="D33" s="40" t="str">
        <f t="shared" ref="D33:D45" si="27">+D32</f>
        <v>Educación</v>
      </c>
      <c r="E33" s="27">
        <v>4</v>
      </c>
      <c r="F33" s="40" t="str">
        <f t="shared" ref="F33:F45" si="28">+F32</f>
        <v>Indicadores de Calidad de Educación Municipal</v>
      </c>
      <c r="G33" s="41" t="str">
        <f t="shared" ref="G33:G45" si="29">+G32</f>
        <v>Calidad de la Educación</v>
      </c>
      <c r="H33" s="61" t="str">
        <f t="shared" si="24"/>
        <v>Región</v>
      </c>
      <c r="I33" s="62" t="s">
        <v>373</v>
      </c>
      <c r="J33" s="39" t="str">
        <f t="shared" ref="J33:J45" si="30">+J32</f>
        <v>Comuna</v>
      </c>
      <c r="K33" s="39" t="str">
        <f t="shared" ref="K33:K45" si="31">+K32</f>
        <v>Proporción alumnos sobre 450 pts PSU</v>
      </c>
      <c r="L33" s="39" t="str">
        <f t="shared" ref="L33:L45" si="32">+L32</f>
        <v>Periodo 2001-2020</v>
      </c>
      <c r="M33" s="39" t="str">
        <f t="shared" ref="M33:M45" si="33">+M32</f>
        <v>Porcentaje (%)</v>
      </c>
      <c r="N33" s="39" t="str">
        <f t="shared" ref="N33:N45" si="34">+N32</f>
        <v>Sistema Nacional de Información Municipal</v>
      </c>
      <c r="O33" s="42" t="str">
        <f t="shared" si="23"/>
        <v>Proporción de Alumnos de 4to Medio con más de 450 puntos en la PSU según dependencia de colegios</v>
      </c>
      <c r="P33" s="28"/>
      <c r="Q33" s="17" t="str">
        <f t="shared" ref="Q33:Q34" si="35">+Q32</f>
        <v>Gráfico Evolución</v>
      </c>
      <c r="R33" s="17" t="str">
        <f>Agencia[[#This Row],[territorio]]&amp;",Educacion,Municipal,PSU,Alumnos,Calidad Educacion,Colegios Municipales"</f>
        <v>Región de Coquimbo,Educacion,Municipal,PSU,Alumnos,Calidad Educacion,Colegios Municipales</v>
      </c>
      <c r="S33" s="30" t="s">
        <v>432</v>
      </c>
      <c r="T33" s="31"/>
      <c r="U33" s="36" t="str">
        <f t="shared" ref="U33:U34" si="36">+U32</f>
        <v>#1774B9</v>
      </c>
      <c r="V33" s="37" t="str">
        <f>+Agencia[[#This Row],[idcoleccion]]&amp;"-"&amp;Agencia[[#This Row],[id]]</f>
        <v>990-0023</v>
      </c>
      <c r="W33" s="38">
        <f>+VLOOKUP(Agencia[[#This Row],[Filtro URL]],Estructura!$X$4:$Y$366,2,0)</f>
        <v>99200004</v>
      </c>
      <c r="X33" s="35" t="str">
        <f>+VLOOKUP(Agencia[[#This Row],[tema]],Estructura!$A$4:$C$18,3,0)</f>
        <v>T-992</v>
      </c>
      <c r="Y33" s="35" t="str">
        <f>+VLOOKUP(Agencia[[#This Row],[contenido]],Estructura!$E$4:$G$18,3,0)</f>
        <v>C-992</v>
      </c>
      <c r="Z33" s="35" t="str">
        <f>+VLOOKUP(Agencia[[#This Row],[Filtro Integrado]],Estructura!$I$4:$K$18,3,0)</f>
        <v>FI-991</v>
      </c>
      <c r="AA33" s="35" t="str">
        <f>+VLOOKUP(Agencia[[#This Row],[Muestra]],Estructura!$M$4:$O$18,3,0)</f>
        <v>M-996</v>
      </c>
    </row>
    <row r="34" spans="1:27" ht="48" x14ac:dyDescent="0.3">
      <c r="A34" s="29" t="s">
        <v>445</v>
      </c>
      <c r="B34" s="39">
        <f t="shared" si="25"/>
        <v>990</v>
      </c>
      <c r="C34" s="40" t="str">
        <f t="shared" si="26"/>
        <v>Agencia Información</v>
      </c>
      <c r="D34" s="40" t="str">
        <f t="shared" si="27"/>
        <v>Educación</v>
      </c>
      <c r="E34" s="27">
        <v>5</v>
      </c>
      <c r="F34" s="40" t="str">
        <f t="shared" si="28"/>
        <v>Indicadores de Calidad de Educación Municipal</v>
      </c>
      <c r="G34" s="41" t="str">
        <f t="shared" si="29"/>
        <v>Calidad de la Educación</v>
      </c>
      <c r="H34" s="61" t="str">
        <f t="shared" si="24"/>
        <v>Región</v>
      </c>
      <c r="I34" s="62" t="s">
        <v>374</v>
      </c>
      <c r="J34" s="39" t="str">
        <f t="shared" si="30"/>
        <v>Comuna</v>
      </c>
      <c r="K34" s="39" t="str">
        <f t="shared" si="31"/>
        <v>Proporción alumnos sobre 450 pts PSU</v>
      </c>
      <c r="L34" s="39" t="str">
        <f t="shared" si="32"/>
        <v>Periodo 2001-2020</v>
      </c>
      <c r="M34" s="39" t="str">
        <f t="shared" si="33"/>
        <v>Porcentaje (%)</v>
      </c>
      <c r="N34" s="39" t="str">
        <f t="shared" si="34"/>
        <v>Sistema Nacional de Información Municipal</v>
      </c>
      <c r="O34" s="42" t="str">
        <f t="shared" si="23"/>
        <v>Proporción de Alumnos de 4to Medio con más de 450 puntos en la PSU según dependencia de colegios</v>
      </c>
      <c r="P34" s="42"/>
      <c r="Q34" s="43" t="str">
        <f t="shared" si="35"/>
        <v>Gráfico Evolución</v>
      </c>
      <c r="R34" s="17" t="str">
        <f>Agencia[[#This Row],[territorio]]&amp;",Educacion,Municipal,PSU,Alumnos,Calidad Educacion,Colegios Municipales"</f>
        <v>Región de Valparaíso,Educacion,Municipal,PSU,Alumnos,Calidad Educacion,Colegios Municipales</v>
      </c>
      <c r="S34" s="30" t="s">
        <v>432</v>
      </c>
      <c r="T34" s="44"/>
      <c r="U34" s="45" t="str">
        <f t="shared" si="36"/>
        <v>#1774B9</v>
      </c>
      <c r="V34" s="46" t="str">
        <f>+Agencia[[#This Row],[idcoleccion]]&amp;"-"&amp;Agencia[[#This Row],[id]]</f>
        <v>990-0024</v>
      </c>
      <c r="W34" s="38">
        <f>+VLOOKUP(Agencia[[#This Row],[Filtro URL]],Estructura!$X$4:$Y$366,2,0)</f>
        <v>99200005</v>
      </c>
      <c r="X34" s="47" t="str">
        <f>+VLOOKUP(Agencia[[#This Row],[tema]],Estructura!$A$4:$C$18,3,0)</f>
        <v>T-992</v>
      </c>
      <c r="Y34" s="47" t="str">
        <f>+VLOOKUP(Agencia[[#This Row],[contenido]],Estructura!$E$4:$G$18,3,0)</f>
        <v>C-992</v>
      </c>
      <c r="Z34" s="47" t="str">
        <f>+VLOOKUP(Agencia[[#This Row],[Filtro Integrado]],Estructura!$I$4:$K$18,3,0)</f>
        <v>FI-991</v>
      </c>
      <c r="AA34" s="47" t="str">
        <f>+VLOOKUP(Agencia[[#This Row],[Muestra]],Estructura!$M$4:$O$18,3,0)</f>
        <v>M-996</v>
      </c>
    </row>
    <row r="35" spans="1:27" ht="48" x14ac:dyDescent="0.3">
      <c r="A35" s="29" t="s">
        <v>446</v>
      </c>
      <c r="B35" s="39">
        <f t="shared" si="25"/>
        <v>990</v>
      </c>
      <c r="C35" s="40" t="str">
        <f t="shared" si="26"/>
        <v>Agencia Información</v>
      </c>
      <c r="D35" s="40" t="str">
        <f t="shared" si="27"/>
        <v>Educación</v>
      </c>
      <c r="E35" s="27">
        <v>6</v>
      </c>
      <c r="F35" s="40" t="str">
        <f t="shared" si="28"/>
        <v>Indicadores de Calidad de Educación Municipal</v>
      </c>
      <c r="G35" s="41" t="str">
        <f t="shared" si="29"/>
        <v>Calidad de la Educación</v>
      </c>
      <c r="H35" s="61" t="str">
        <f t="shared" si="24"/>
        <v>Región</v>
      </c>
      <c r="I35" s="62" t="s">
        <v>375</v>
      </c>
      <c r="J35" s="39" t="str">
        <f t="shared" si="30"/>
        <v>Comuna</v>
      </c>
      <c r="K35" s="39" t="str">
        <f t="shared" si="31"/>
        <v>Proporción alumnos sobre 450 pts PSU</v>
      </c>
      <c r="L35" s="39" t="str">
        <f t="shared" si="32"/>
        <v>Periodo 2001-2020</v>
      </c>
      <c r="M35" s="39" t="str">
        <f t="shared" si="33"/>
        <v>Porcentaje (%)</v>
      </c>
      <c r="N35" s="39" t="str">
        <f t="shared" si="34"/>
        <v>Sistema Nacional de Información Municipal</v>
      </c>
      <c r="O35" s="42" t="str">
        <f t="shared" si="23"/>
        <v>Proporción de Alumnos de 4to Medio con más de 450 puntos en la PSU según dependencia de colegios</v>
      </c>
      <c r="P35" s="28"/>
      <c r="Q35" s="17" t="str">
        <f t="shared" ref="Q35:Q45" si="37">+Q34</f>
        <v>Gráfico Evolución</v>
      </c>
      <c r="R35" s="17" t="str">
        <f>Agencia[[#This Row],[territorio]]&amp;",Educacion,Municipal,PSU,Alumnos,Calidad Educacion,Colegios Municipales"</f>
        <v>Región de O'Higgins,Educacion,Municipal,PSU,Alumnos,Calidad Educacion,Colegios Municipales</v>
      </c>
      <c r="S35" s="30" t="s">
        <v>432</v>
      </c>
      <c r="T35" s="31"/>
      <c r="U35" s="36" t="str">
        <f t="shared" ref="U35:U45" si="38">+U34</f>
        <v>#1774B9</v>
      </c>
      <c r="V35" s="37" t="str">
        <f>+Agencia[[#This Row],[idcoleccion]]&amp;"-"&amp;Agencia[[#This Row],[id]]</f>
        <v>990-0025</v>
      </c>
      <c r="W35" s="38">
        <f>+VLOOKUP(Agencia[[#This Row],[Filtro URL]],Estructura!$X$4:$Y$366,2,0)</f>
        <v>99200006</v>
      </c>
      <c r="X35" s="35" t="str">
        <f>+VLOOKUP(Agencia[[#This Row],[tema]],Estructura!$A$4:$C$18,3,0)</f>
        <v>T-992</v>
      </c>
      <c r="Y35" s="35" t="str">
        <f>+VLOOKUP(Agencia[[#This Row],[contenido]],Estructura!$E$4:$G$18,3,0)</f>
        <v>C-992</v>
      </c>
      <c r="Z35" s="35" t="str">
        <f>+VLOOKUP(Agencia[[#This Row],[Filtro Integrado]],Estructura!$I$4:$K$18,3,0)</f>
        <v>FI-991</v>
      </c>
      <c r="AA35" s="35" t="str">
        <f>+VLOOKUP(Agencia[[#This Row],[Muestra]],Estructura!$M$4:$O$18,3,0)</f>
        <v>M-996</v>
      </c>
    </row>
    <row r="36" spans="1:27" ht="48" x14ac:dyDescent="0.3">
      <c r="A36" s="29" t="s">
        <v>447</v>
      </c>
      <c r="B36" s="39">
        <f t="shared" si="25"/>
        <v>990</v>
      </c>
      <c r="C36" s="40" t="str">
        <f t="shared" si="26"/>
        <v>Agencia Información</v>
      </c>
      <c r="D36" s="40" t="str">
        <f t="shared" si="27"/>
        <v>Educación</v>
      </c>
      <c r="E36" s="27">
        <v>7</v>
      </c>
      <c r="F36" s="40" t="str">
        <f t="shared" si="28"/>
        <v>Indicadores de Calidad de Educación Municipal</v>
      </c>
      <c r="G36" s="41" t="str">
        <f t="shared" si="29"/>
        <v>Calidad de la Educación</v>
      </c>
      <c r="H36" s="61" t="str">
        <f t="shared" si="24"/>
        <v>Región</v>
      </c>
      <c r="I36" s="62" t="s">
        <v>376</v>
      </c>
      <c r="J36" s="39" t="str">
        <f t="shared" si="30"/>
        <v>Comuna</v>
      </c>
      <c r="K36" s="39" t="str">
        <f t="shared" si="31"/>
        <v>Proporción alumnos sobre 450 pts PSU</v>
      </c>
      <c r="L36" s="39" t="str">
        <f t="shared" si="32"/>
        <v>Periodo 2001-2020</v>
      </c>
      <c r="M36" s="39" t="str">
        <f t="shared" si="33"/>
        <v>Porcentaje (%)</v>
      </c>
      <c r="N36" s="39" t="str">
        <f t="shared" si="34"/>
        <v>Sistema Nacional de Información Municipal</v>
      </c>
      <c r="O36" s="42" t="str">
        <f t="shared" si="23"/>
        <v>Proporción de Alumnos de 4to Medio con más de 450 puntos en la PSU según dependencia de colegios</v>
      </c>
      <c r="P36" s="28"/>
      <c r="Q36" s="17" t="str">
        <f t="shared" si="37"/>
        <v>Gráfico Evolución</v>
      </c>
      <c r="R36" s="17" t="str">
        <f>Agencia[[#This Row],[territorio]]&amp;",Educacion,Municipal,PSU,Alumnos,Calidad Educacion,Colegios Municipales"</f>
        <v>Región de Maule,Educacion,Municipal,PSU,Alumnos,Calidad Educacion,Colegios Municipales</v>
      </c>
      <c r="S36" s="30" t="s">
        <v>432</v>
      </c>
      <c r="T36" s="31"/>
      <c r="U36" s="36" t="str">
        <f t="shared" si="38"/>
        <v>#1774B9</v>
      </c>
      <c r="V36" s="37" t="str">
        <f>+Agencia[[#This Row],[idcoleccion]]&amp;"-"&amp;Agencia[[#This Row],[id]]</f>
        <v>990-0026</v>
      </c>
      <c r="W36" s="38">
        <f>+VLOOKUP(Agencia[[#This Row],[Filtro URL]],Estructura!$X$4:$Y$366,2,0)</f>
        <v>99200007</v>
      </c>
      <c r="X36" s="35" t="str">
        <f>+VLOOKUP(Agencia[[#This Row],[tema]],Estructura!$A$4:$C$18,3,0)</f>
        <v>T-992</v>
      </c>
      <c r="Y36" s="35" t="str">
        <f>+VLOOKUP(Agencia[[#This Row],[contenido]],Estructura!$E$4:$G$18,3,0)</f>
        <v>C-992</v>
      </c>
      <c r="Z36" s="35" t="str">
        <f>+VLOOKUP(Agencia[[#This Row],[Filtro Integrado]],Estructura!$I$4:$K$18,3,0)</f>
        <v>FI-991</v>
      </c>
      <c r="AA36" s="35" t="str">
        <f>+VLOOKUP(Agencia[[#This Row],[Muestra]],Estructura!$M$4:$O$18,3,0)</f>
        <v>M-996</v>
      </c>
    </row>
    <row r="37" spans="1:27" ht="48" x14ac:dyDescent="0.3">
      <c r="A37" s="29" t="s">
        <v>448</v>
      </c>
      <c r="B37" s="39">
        <f t="shared" si="25"/>
        <v>990</v>
      </c>
      <c r="C37" s="40" t="str">
        <f t="shared" si="26"/>
        <v>Agencia Información</v>
      </c>
      <c r="D37" s="40" t="str">
        <f t="shared" si="27"/>
        <v>Educación</v>
      </c>
      <c r="E37" s="27">
        <v>8</v>
      </c>
      <c r="F37" s="40" t="str">
        <f t="shared" si="28"/>
        <v>Indicadores de Calidad de Educación Municipal</v>
      </c>
      <c r="G37" s="41" t="str">
        <f t="shared" si="29"/>
        <v>Calidad de la Educación</v>
      </c>
      <c r="H37" s="61" t="str">
        <f t="shared" si="24"/>
        <v>Región</v>
      </c>
      <c r="I37" s="62" t="s">
        <v>377</v>
      </c>
      <c r="J37" s="39" t="str">
        <f t="shared" si="30"/>
        <v>Comuna</v>
      </c>
      <c r="K37" s="39" t="str">
        <f t="shared" si="31"/>
        <v>Proporción alumnos sobre 450 pts PSU</v>
      </c>
      <c r="L37" s="39" t="str">
        <f t="shared" si="32"/>
        <v>Periodo 2001-2020</v>
      </c>
      <c r="M37" s="39" t="str">
        <f t="shared" si="33"/>
        <v>Porcentaje (%)</v>
      </c>
      <c r="N37" s="39" t="str">
        <f t="shared" si="34"/>
        <v>Sistema Nacional de Información Municipal</v>
      </c>
      <c r="O37" s="42" t="str">
        <f t="shared" si="23"/>
        <v>Proporción de Alumnos de 4to Medio con más de 450 puntos en la PSU según dependencia de colegios</v>
      </c>
      <c r="P37" s="28"/>
      <c r="Q37" s="17" t="str">
        <f t="shared" si="37"/>
        <v>Gráfico Evolución</v>
      </c>
      <c r="R37" s="17" t="str">
        <f>Agencia[[#This Row],[territorio]]&amp;",Educacion,Municipal,PSU,Alumnos,Calidad Educacion,Colegios Municipales"</f>
        <v>Región del Biobío,Educacion,Municipal,PSU,Alumnos,Calidad Educacion,Colegios Municipales</v>
      </c>
      <c r="S37" s="30" t="s">
        <v>432</v>
      </c>
      <c r="T37" s="31"/>
      <c r="U37" s="36" t="str">
        <f t="shared" si="38"/>
        <v>#1774B9</v>
      </c>
      <c r="V37" s="37" t="str">
        <f>+Agencia[[#This Row],[idcoleccion]]&amp;"-"&amp;Agencia[[#This Row],[id]]</f>
        <v>990-0027</v>
      </c>
      <c r="W37" s="38">
        <f>+VLOOKUP(Agencia[[#This Row],[Filtro URL]],Estructura!$X$4:$Y$366,2,0)</f>
        <v>99200008</v>
      </c>
      <c r="X37" s="35" t="str">
        <f>+VLOOKUP(Agencia[[#This Row],[tema]],Estructura!$A$4:$C$18,3,0)</f>
        <v>T-992</v>
      </c>
      <c r="Y37" s="35" t="str">
        <f>+VLOOKUP(Agencia[[#This Row],[contenido]],Estructura!$E$4:$G$18,3,0)</f>
        <v>C-992</v>
      </c>
      <c r="Z37" s="35" t="str">
        <f>+VLOOKUP(Agencia[[#This Row],[Filtro Integrado]],Estructura!$I$4:$K$18,3,0)</f>
        <v>FI-991</v>
      </c>
      <c r="AA37" s="35" t="str">
        <f>+VLOOKUP(Agencia[[#This Row],[Muestra]],Estructura!$M$4:$O$18,3,0)</f>
        <v>M-996</v>
      </c>
    </row>
    <row r="38" spans="1:27" ht="48" x14ac:dyDescent="0.3">
      <c r="A38" s="29" t="s">
        <v>449</v>
      </c>
      <c r="B38" s="39">
        <f t="shared" si="25"/>
        <v>990</v>
      </c>
      <c r="C38" s="40" t="str">
        <f t="shared" si="26"/>
        <v>Agencia Información</v>
      </c>
      <c r="D38" s="40" t="str">
        <f t="shared" si="27"/>
        <v>Educación</v>
      </c>
      <c r="E38" s="27">
        <v>9</v>
      </c>
      <c r="F38" s="40" t="str">
        <f t="shared" si="28"/>
        <v>Indicadores de Calidad de Educación Municipal</v>
      </c>
      <c r="G38" s="41" t="str">
        <f t="shared" si="29"/>
        <v>Calidad de la Educación</v>
      </c>
      <c r="H38" s="61" t="str">
        <f t="shared" si="24"/>
        <v>Región</v>
      </c>
      <c r="I38" s="62" t="s">
        <v>378</v>
      </c>
      <c r="J38" s="39" t="str">
        <f t="shared" si="30"/>
        <v>Comuna</v>
      </c>
      <c r="K38" s="39" t="str">
        <f t="shared" si="31"/>
        <v>Proporción alumnos sobre 450 pts PSU</v>
      </c>
      <c r="L38" s="39" t="str">
        <f t="shared" si="32"/>
        <v>Periodo 2001-2020</v>
      </c>
      <c r="M38" s="39" t="str">
        <f t="shared" si="33"/>
        <v>Porcentaje (%)</v>
      </c>
      <c r="N38" s="39" t="str">
        <f t="shared" si="34"/>
        <v>Sistema Nacional de Información Municipal</v>
      </c>
      <c r="O38" s="42" t="str">
        <f t="shared" si="23"/>
        <v>Proporción de Alumnos de 4to Medio con más de 450 puntos en la PSU según dependencia de colegios</v>
      </c>
      <c r="P38" s="28"/>
      <c r="Q38" s="17" t="str">
        <f t="shared" si="37"/>
        <v>Gráfico Evolución</v>
      </c>
      <c r="R38" s="17" t="str">
        <f>Agencia[[#This Row],[territorio]]&amp;",Educacion,Municipal,PSU,Alumnos,Calidad Educacion,Colegios Municipales"</f>
        <v>Región de La Araucanía,Educacion,Municipal,PSU,Alumnos,Calidad Educacion,Colegios Municipales</v>
      </c>
      <c r="S38" s="30" t="s">
        <v>432</v>
      </c>
      <c r="T38" s="31"/>
      <c r="U38" s="36" t="str">
        <f t="shared" si="38"/>
        <v>#1774B9</v>
      </c>
      <c r="V38" s="37" t="str">
        <f>+Agencia[[#This Row],[idcoleccion]]&amp;"-"&amp;Agencia[[#This Row],[id]]</f>
        <v>990-0028</v>
      </c>
      <c r="W38" s="38">
        <f>+VLOOKUP(Agencia[[#This Row],[Filtro URL]],Estructura!$X$4:$Y$366,2,0)</f>
        <v>99200009</v>
      </c>
      <c r="X38" s="35" t="str">
        <f>+VLOOKUP(Agencia[[#This Row],[tema]],Estructura!$A$4:$C$18,3,0)</f>
        <v>T-992</v>
      </c>
      <c r="Y38" s="35" t="str">
        <f>+VLOOKUP(Agencia[[#This Row],[contenido]],Estructura!$E$4:$G$18,3,0)</f>
        <v>C-992</v>
      </c>
      <c r="Z38" s="35" t="str">
        <f>+VLOOKUP(Agencia[[#This Row],[Filtro Integrado]],Estructura!$I$4:$K$18,3,0)</f>
        <v>FI-991</v>
      </c>
      <c r="AA38" s="35" t="str">
        <f>+VLOOKUP(Agencia[[#This Row],[Muestra]],Estructura!$M$4:$O$18,3,0)</f>
        <v>M-996</v>
      </c>
    </row>
    <row r="39" spans="1:27" ht="48" x14ac:dyDescent="0.3">
      <c r="A39" s="29" t="s">
        <v>450</v>
      </c>
      <c r="B39" s="39">
        <f t="shared" si="25"/>
        <v>990</v>
      </c>
      <c r="C39" s="40" t="str">
        <f t="shared" si="26"/>
        <v>Agencia Información</v>
      </c>
      <c r="D39" s="40" t="str">
        <f t="shared" si="27"/>
        <v>Educación</v>
      </c>
      <c r="E39" s="27">
        <v>10</v>
      </c>
      <c r="F39" s="40" t="str">
        <f t="shared" si="28"/>
        <v>Indicadores de Calidad de Educación Municipal</v>
      </c>
      <c r="G39" s="41" t="str">
        <f t="shared" si="29"/>
        <v>Calidad de la Educación</v>
      </c>
      <c r="H39" s="61" t="str">
        <f t="shared" si="24"/>
        <v>Región</v>
      </c>
      <c r="I39" s="62" t="s">
        <v>379</v>
      </c>
      <c r="J39" s="39" t="str">
        <f t="shared" si="30"/>
        <v>Comuna</v>
      </c>
      <c r="K39" s="39" t="str">
        <f t="shared" si="31"/>
        <v>Proporción alumnos sobre 450 pts PSU</v>
      </c>
      <c r="L39" s="39" t="str">
        <f t="shared" si="32"/>
        <v>Periodo 2001-2020</v>
      </c>
      <c r="M39" s="39" t="str">
        <f t="shared" si="33"/>
        <v>Porcentaje (%)</v>
      </c>
      <c r="N39" s="39" t="str">
        <f t="shared" si="34"/>
        <v>Sistema Nacional de Información Municipal</v>
      </c>
      <c r="O39" s="42" t="str">
        <f t="shared" si="23"/>
        <v>Proporción de Alumnos de 4to Medio con más de 450 puntos en la PSU según dependencia de colegios</v>
      </c>
      <c r="P39" s="28"/>
      <c r="Q39" s="17" t="str">
        <f t="shared" si="37"/>
        <v>Gráfico Evolución</v>
      </c>
      <c r="R39" s="17" t="str">
        <f>Agencia[[#This Row],[territorio]]&amp;",Educacion,Municipal,PSU,Alumnos,Calidad Educacion,Colegios Municipales"</f>
        <v>Región de Los Lagos,Educacion,Municipal,PSU,Alumnos,Calidad Educacion,Colegios Municipales</v>
      </c>
      <c r="S39" s="30" t="s">
        <v>432</v>
      </c>
      <c r="T39" s="31"/>
      <c r="U39" s="36" t="str">
        <f t="shared" si="38"/>
        <v>#1774B9</v>
      </c>
      <c r="V39" s="37" t="str">
        <f>+Agencia[[#This Row],[idcoleccion]]&amp;"-"&amp;Agencia[[#This Row],[id]]</f>
        <v>990-0029</v>
      </c>
      <c r="W39" s="38">
        <f>+VLOOKUP(Agencia[[#This Row],[Filtro URL]],Estructura!$X$4:$Y$366,2,0)</f>
        <v>99200010</v>
      </c>
      <c r="X39" s="35" t="str">
        <f>+VLOOKUP(Agencia[[#This Row],[tema]],Estructura!$A$4:$C$18,3,0)</f>
        <v>T-992</v>
      </c>
      <c r="Y39" s="35" t="str">
        <f>+VLOOKUP(Agencia[[#This Row],[contenido]],Estructura!$E$4:$G$18,3,0)</f>
        <v>C-992</v>
      </c>
      <c r="Z39" s="35" t="str">
        <f>+VLOOKUP(Agencia[[#This Row],[Filtro Integrado]],Estructura!$I$4:$K$18,3,0)</f>
        <v>FI-991</v>
      </c>
      <c r="AA39" s="35" t="str">
        <f>+VLOOKUP(Agencia[[#This Row],[Muestra]],Estructura!$M$4:$O$18,3,0)</f>
        <v>M-996</v>
      </c>
    </row>
    <row r="40" spans="1:27" ht="48" x14ac:dyDescent="0.3">
      <c r="A40" s="29" t="s">
        <v>451</v>
      </c>
      <c r="B40" s="39">
        <f t="shared" si="25"/>
        <v>990</v>
      </c>
      <c r="C40" s="40" t="str">
        <f t="shared" si="26"/>
        <v>Agencia Información</v>
      </c>
      <c r="D40" s="40" t="str">
        <f t="shared" si="27"/>
        <v>Educación</v>
      </c>
      <c r="E40" s="27">
        <v>11</v>
      </c>
      <c r="F40" s="40" t="str">
        <f t="shared" si="28"/>
        <v>Indicadores de Calidad de Educación Municipal</v>
      </c>
      <c r="G40" s="41" t="str">
        <f t="shared" si="29"/>
        <v>Calidad de la Educación</v>
      </c>
      <c r="H40" s="61" t="str">
        <f t="shared" si="24"/>
        <v>Región</v>
      </c>
      <c r="I40" s="62" t="s">
        <v>380</v>
      </c>
      <c r="J40" s="39" t="str">
        <f t="shared" si="30"/>
        <v>Comuna</v>
      </c>
      <c r="K40" s="39" t="str">
        <f t="shared" si="31"/>
        <v>Proporción alumnos sobre 450 pts PSU</v>
      </c>
      <c r="L40" s="39" t="str">
        <f t="shared" si="32"/>
        <v>Periodo 2001-2020</v>
      </c>
      <c r="M40" s="39" t="str">
        <f t="shared" si="33"/>
        <v>Porcentaje (%)</v>
      </c>
      <c r="N40" s="39" t="str">
        <f t="shared" si="34"/>
        <v>Sistema Nacional de Información Municipal</v>
      </c>
      <c r="O40" s="42" t="str">
        <f t="shared" si="23"/>
        <v>Proporción de Alumnos de 4to Medio con más de 450 puntos en la PSU según dependencia de colegios</v>
      </c>
      <c r="P40" s="28"/>
      <c r="Q40" s="17" t="str">
        <f t="shared" si="37"/>
        <v>Gráfico Evolución</v>
      </c>
      <c r="R40" s="17" t="str">
        <f>Agencia[[#This Row],[territorio]]&amp;",Educacion,Municipal,PSU,Alumnos,Calidad Educacion,Colegios Municipales"</f>
        <v>Región de Aysén,Educacion,Municipal,PSU,Alumnos,Calidad Educacion,Colegios Municipales</v>
      </c>
      <c r="S40" s="30" t="s">
        <v>432</v>
      </c>
      <c r="T40" s="31"/>
      <c r="U40" s="36" t="str">
        <f t="shared" si="38"/>
        <v>#1774B9</v>
      </c>
      <c r="V40" s="37" t="str">
        <f>+Agencia[[#This Row],[idcoleccion]]&amp;"-"&amp;Agencia[[#This Row],[id]]</f>
        <v>990-0030</v>
      </c>
      <c r="W40" s="38">
        <f>+VLOOKUP(Agencia[[#This Row],[Filtro URL]],Estructura!$X$4:$Y$366,2,0)</f>
        <v>99200011</v>
      </c>
      <c r="X40" s="35" t="str">
        <f>+VLOOKUP(Agencia[[#This Row],[tema]],Estructura!$A$4:$C$18,3,0)</f>
        <v>T-992</v>
      </c>
      <c r="Y40" s="35" t="str">
        <f>+VLOOKUP(Agencia[[#This Row],[contenido]],Estructura!$E$4:$G$18,3,0)</f>
        <v>C-992</v>
      </c>
      <c r="Z40" s="35" t="str">
        <f>+VLOOKUP(Agencia[[#This Row],[Filtro Integrado]],Estructura!$I$4:$K$18,3,0)</f>
        <v>FI-991</v>
      </c>
      <c r="AA40" s="35" t="str">
        <f>+VLOOKUP(Agencia[[#This Row],[Muestra]],Estructura!$M$4:$O$18,3,0)</f>
        <v>M-996</v>
      </c>
    </row>
    <row r="41" spans="1:27" ht="48" x14ac:dyDescent="0.3">
      <c r="A41" s="29" t="s">
        <v>452</v>
      </c>
      <c r="B41" s="39">
        <f t="shared" si="25"/>
        <v>990</v>
      </c>
      <c r="C41" s="40" t="str">
        <f t="shared" si="26"/>
        <v>Agencia Información</v>
      </c>
      <c r="D41" s="40" t="str">
        <f t="shared" si="27"/>
        <v>Educación</v>
      </c>
      <c r="E41" s="27">
        <v>12</v>
      </c>
      <c r="F41" s="40" t="str">
        <f t="shared" si="28"/>
        <v>Indicadores de Calidad de Educación Municipal</v>
      </c>
      <c r="G41" s="41" t="str">
        <f t="shared" si="29"/>
        <v>Calidad de la Educación</v>
      </c>
      <c r="H41" s="61" t="str">
        <f t="shared" si="24"/>
        <v>Región</v>
      </c>
      <c r="I41" s="62" t="s">
        <v>381</v>
      </c>
      <c r="J41" s="39" t="str">
        <f t="shared" si="30"/>
        <v>Comuna</v>
      </c>
      <c r="K41" s="39" t="str">
        <f t="shared" si="31"/>
        <v>Proporción alumnos sobre 450 pts PSU</v>
      </c>
      <c r="L41" s="39" t="str">
        <f t="shared" si="32"/>
        <v>Periodo 2001-2020</v>
      </c>
      <c r="M41" s="39" t="str">
        <f t="shared" si="33"/>
        <v>Porcentaje (%)</v>
      </c>
      <c r="N41" s="39" t="str">
        <f t="shared" si="34"/>
        <v>Sistema Nacional de Información Municipal</v>
      </c>
      <c r="O41" s="42" t="str">
        <f t="shared" si="23"/>
        <v>Proporción de Alumnos de 4to Medio con más de 450 puntos en la PSU según dependencia de colegios</v>
      </c>
      <c r="P41" s="28"/>
      <c r="Q41" s="17" t="str">
        <f t="shared" si="37"/>
        <v>Gráfico Evolución</v>
      </c>
      <c r="R41" s="17" t="str">
        <f>Agencia[[#This Row],[territorio]]&amp;",Educacion,Municipal,PSU,Alumnos,Calidad Educacion,Colegios Municipales"</f>
        <v>Región de Magallanes,Educacion,Municipal,PSU,Alumnos,Calidad Educacion,Colegios Municipales</v>
      </c>
      <c r="S41" s="30" t="s">
        <v>432</v>
      </c>
      <c r="T41" s="31"/>
      <c r="U41" s="36" t="str">
        <f t="shared" si="38"/>
        <v>#1774B9</v>
      </c>
      <c r="V41" s="37" t="str">
        <f>+Agencia[[#This Row],[idcoleccion]]&amp;"-"&amp;Agencia[[#This Row],[id]]</f>
        <v>990-0031</v>
      </c>
      <c r="W41" s="38">
        <f>+VLOOKUP(Agencia[[#This Row],[Filtro URL]],Estructura!$X$4:$Y$366,2,0)</f>
        <v>99200012</v>
      </c>
      <c r="X41" s="35" t="str">
        <f>+VLOOKUP(Agencia[[#This Row],[tema]],Estructura!$A$4:$C$18,3,0)</f>
        <v>T-992</v>
      </c>
      <c r="Y41" s="35" t="str">
        <f>+VLOOKUP(Agencia[[#This Row],[contenido]],Estructura!$E$4:$G$18,3,0)</f>
        <v>C-992</v>
      </c>
      <c r="Z41" s="35" t="str">
        <f>+VLOOKUP(Agencia[[#This Row],[Filtro Integrado]],Estructura!$I$4:$K$18,3,0)</f>
        <v>FI-991</v>
      </c>
      <c r="AA41" s="35" t="str">
        <f>+VLOOKUP(Agencia[[#This Row],[Muestra]],Estructura!$M$4:$O$18,3,0)</f>
        <v>M-996</v>
      </c>
    </row>
    <row r="42" spans="1:27" ht="48" x14ac:dyDescent="0.3">
      <c r="A42" s="29" t="s">
        <v>453</v>
      </c>
      <c r="B42" s="39">
        <f t="shared" si="25"/>
        <v>990</v>
      </c>
      <c r="C42" s="40" t="str">
        <f t="shared" si="26"/>
        <v>Agencia Información</v>
      </c>
      <c r="D42" s="40" t="str">
        <f t="shared" si="27"/>
        <v>Educación</v>
      </c>
      <c r="E42" s="27">
        <v>13</v>
      </c>
      <c r="F42" s="40" t="str">
        <f t="shared" si="28"/>
        <v>Indicadores de Calidad de Educación Municipal</v>
      </c>
      <c r="G42" s="41" t="str">
        <f t="shared" si="29"/>
        <v>Calidad de la Educación</v>
      </c>
      <c r="H42" s="61" t="str">
        <f t="shared" si="24"/>
        <v>Región</v>
      </c>
      <c r="I42" s="62" t="s">
        <v>382</v>
      </c>
      <c r="J42" s="39" t="str">
        <f t="shared" si="30"/>
        <v>Comuna</v>
      </c>
      <c r="K42" s="39" t="str">
        <f t="shared" si="31"/>
        <v>Proporción alumnos sobre 450 pts PSU</v>
      </c>
      <c r="L42" s="39" t="str">
        <f t="shared" si="32"/>
        <v>Periodo 2001-2020</v>
      </c>
      <c r="M42" s="39" t="str">
        <f t="shared" si="33"/>
        <v>Porcentaje (%)</v>
      </c>
      <c r="N42" s="39" t="str">
        <f t="shared" si="34"/>
        <v>Sistema Nacional de Información Municipal</v>
      </c>
      <c r="O42" s="42" t="str">
        <f t="shared" si="23"/>
        <v>Proporción de Alumnos de 4to Medio con más de 450 puntos en la PSU según dependencia de colegios</v>
      </c>
      <c r="P42" s="28"/>
      <c r="Q42" s="17" t="str">
        <f t="shared" si="37"/>
        <v>Gráfico Evolución</v>
      </c>
      <c r="R42" s="17" t="str">
        <f>Agencia[[#This Row],[territorio]]&amp;",Educacion,Municipal,PSU,Alumnos,Calidad Educacion,Colegios Municipales"</f>
        <v>Región Metropolitana,Educacion,Municipal,PSU,Alumnos,Calidad Educacion,Colegios Municipales</v>
      </c>
      <c r="S42" s="30" t="s">
        <v>432</v>
      </c>
      <c r="T42" s="31"/>
      <c r="U42" s="36" t="str">
        <f t="shared" si="38"/>
        <v>#1774B9</v>
      </c>
      <c r="V42" s="37" t="str">
        <f>+Agencia[[#This Row],[idcoleccion]]&amp;"-"&amp;Agencia[[#This Row],[id]]</f>
        <v>990-0032</v>
      </c>
      <c r="W42" s="38">
        <f>+VLOOKUP(Agencia[[#This Row],[Filtro URL]],Estructura!$X$4:$Y$366,2,0)</f>
        <v>99200013</v>
      </c>
      <c r="X42" s="35" t="str">
        <f>+VLOOKUP(Agencia[[#This Row],[tema]],Estructura!$A$4:$C$18,3,0)</f>
        <v>T-992</v>
      </c>
      <c r="Y42" s="35" t="str">
        <f>+VLOOKUP(Agencia[[#This Row],[contenido]],Estructura!$E$4:$G$18,3,0)</f>
        <v>C-992</v>
      </c>
      <c r="Z42" s="35" t="str">
        <f>+VLOOKUP(Agencia[[#This Row],[Filtro Integrado]],Estructura!$I$4:$K$18,3,0)</f>
        <v>FI-991</v>
      </c>
      <c r="AA42" s="35" t="str">
        <f>+VLOOKUP(Agencia[[#This Row],[Muestra]],Estructura!$M$4:$O$18,3,0)</f>
        <v>M-996</v>
      </c>
    </row>
    <row r="43" spans="1:27" ht="48" x14ac:dyDescent="0.3">
      <c r="A43" s="29" t="s">
        <v>454</v>
      </c>
      <c r="B43" s="39">
        <f t="shared" si="25"/>
        <v>990</v>
      </c>
      <c r="C43" s="40" t="str">
        <f t="shared" si="26"/>
        <v>Agencia Información</v>
      </c>
      <c r="D43" s="40" t="str">
        <f t="shared" si="27"/>
        <v>Educación</v>
      </c>
      <c r="E43" s="27">
        <v>14</v>
      </c>
      <c r="F43" s="40" t="str">
        <f t="shared" si="28"/>
        <v>Indicadores de Calidad de Educación Municipal</v>
      </c>
      <c r="G43" s="41" t="str">
        <f t="shared" si="29"/>
        <v>Calidad de la Educación</v>
      </c>
      <c r="H43" s="61" t="str">
        <f t="shared" si="24"/>
        <v>Región</v>
      </c>
      <c r="I43" s="62" t="s">
        <v>383</v>
      </c>
      <c r="J43" s="39" t="str">
        <f t="shared" si="30"/>
        <v>Comuna</v>
      </c>
      <c r="K43" s="39" t="str">
        <f t="shared" si="31"/>
        <v>Proporción alumnos sobre 450 pts PSU</v>
      </c>
      <c r="L43" s="39" t="str">
        <f t="shared" si="32"/>
        <v>Periodo 2001-2020</v>
      </c>
      <c r="M43" s="39" t="str">
        <f t="shared" si="33"/>
        <v>Porcentaje (%)</v>
      </c>
      <c r="N43" s="39" t="str">
        <f t="shared" si="34"/>
        <v>Sistema Nacional de Información Municipal</v>
      </c>
      <c r="O43" s="42" t="str">
        <f t="shared" si="23"/>
        <v>Proporción de Alumnos de 4to Medio con más de 450 puntos en la PSU según dependencia de colegios</v>
      </c>
      <c r="P43" s="28"/>
      <c r="Q43" s="17" t="str">
        <f t="shared" si="37"/>
        <v>Gráfico Evolución</v>
      </c>
      <c r="R43" s="17" t="str">
        <f>Agencia[[#This Row],[territorio]]&amp;",Educacion,Municipal,PSU,Alumnos,Calidad Educacion,Colegios Municipales"</f>
        <v>Región de Los Ríos,Educacion,Municipal,PSU,Alumnos,Calidad Educacion,Colegios Municipales</v>
      </c>
      <c r="S43" s="30" t="s">
        <v>432</v>
      </c>
      <c r="T43" s="31"/>
      <c r="U43" s="36" t="str">
        <f t="shared" si="38"/>
        <v>#1774B9</v>
      </c>
      <c r="V43" s="37" t="str">
        <f>+Agencia[[#This Row],[idcoleccion]]&amp;"-"&amp;Agencia[[#This Row],[id]]</f>
        <v>990-0033</v>
      </c>
      <c r="W43" s="38">
        <f>+VLOOKUP(Agencia[[#This Row],[Filtro URL]],Estructura!$X$4:$Y$366,2,0)</f>
        <v>99200014</v>
      </c>
      <c r="X43" s="35" t="str">
        <f>+VLOOKUP(Agencia[[#This Row],[tema]],Estructura!$A$4:$C$18,3,0)</f>
        <v>T-992</v>
      </c>
      <c r="Y43" s="35" t="str">
        <f>+VLOOKUP(Agencia[[#This Row],[contenido]],Estructura!$E$4:$G$18,3,0)</f>
        <v>C-992</v>
      </c>
      <c r="Z43" s="35" t="str">
        <f>+VLOOKUP(Agencia[[#This Row],[Filtro Integrado]],Estructura!$I$4:$K$18,3,0)</f>
        <v>FI-991</v>
      </c>
      <c r="AA43" s="35" t="str">
        <f>+VLOOKUP(Agencia[[#This Row],[Muestra]],Estructura!$M$4:$O$18,3,0)</f>
        <v>M-996</v>
      </c>
    </row>
    <row r="44" spans="1:27" ht="48" x14ac:dyDescent="0.3">
      <c r="A44" s="29" t="s">
        <v>455</v>
      </c>
      <c r="B44" s="39">
        <f t="shared" si="25"/>
        <v>990</v>
      </c>
      <c r="C44" s="40" t="str">
        <f t="shared" si="26"/>
        <v>Agencia Información</v>
      </c>
      <c r="D44" s="40" t="str">
        <f t="shared" si="27"/>
        <v>Educación</v>
      </c>
      <c r="E44" s="27">
        <v>15</v>
      </c>
      <c r="F44" s="40" t="str">
        <f t="shared" si="28"/>
        <v>Indicadores de Calidad de Educación Municipal</v>
      </c>
      <c r="G44" s="41" t="str">
        <f t="shared" si="29"/>
        <v>Calidad de la Educación</v>
      </c>
      <c r="H44" s="61" t="str">
        <f t="shared" si="24"/>
        <v>Región</v>
      </c>
      <c r="I44" s="62" t="s">
        <v>384</v>
      </c>
      <c r="J44" s="39" t="str">
        <f t="shared" si="30"/>
        <v>Comuna</v>
      </c>
      <c r="K44" s="39" t="str">
        <f t="shared" si="31"/>
        <v>Proporción alumnos sobre 450 pts PSU</v>
      </c>
      <c r="L44" s="39" t="str">
        <f t="shared" si="32"/>
        <v>Periodo 2001-2020</v>
      </c>
      <c r="M44" s="39" t="str">
        <f t="shared" si="33"/>
        <v>Porcentaje (%)</v>
      </c>
      <c r="N44" s="39" t="str">
        <f t="shared" si="34"/>
        <v>Sistema Nacional de Información Municipal</v>
      </c>
      <c r="O44" s="42" t="str">
        <f t="shared" si="23"/>
        <v>Proporción de Alumnos de 4to Medio con más de 450 puntos en la PSU según dependencia de colegios</v>
      </c>
      <c r="P44" s="28"/>
      <c r="Q44" s="17" t="str">
        <f t="shared" si="37"/>
        <v>Gráfico Evolución</v>
      </c>
      <c r="R44" s="17" t="str">
        <f>Agencia[[#This Row],[territorio]]&amp;",Educacion,Municipal,PSU,Alumnos,Calidad Educacion,Colegios Municipales"</f>
        <v>Región de Arica y Parinacota,Educacion,Municipal,PSU,Alumnos,Calidad Educacion,Colegios Municipales</v>
      </c>
      <c r="S44" s="30" t="s">
        <v>432</v>
      </c>
      <c r="T44" s="31"/>
      <c r="U44" s="36" t="str">
        <f t="shared" si="38"/>
        <v>#1774B9</v>
      </c>
      <c r="V44" s="37" t="str">
        <f>+Agencia[[#This Row],[idcoleccion]]&amp;"-"&amp;Agencia[[#This Row],[id]]</f>
        <v>990-0034</v>
      </c>
      <c r="W44" s="38">
        <f>+VLOOKUP(Agencia[[#This Row],[Filtro URL]],Estructura!$X$4:$Y$366,2,0)</f>
        <v>99200015</v>
      </c>
      <c r="X44" s="35" t="str">
        <f>+VLOOKUP(Agencia[[#This Row],[tema]],Estructura!$A$4:$C$18,3,0)</f>
        <v>T-992</v>
      </c>
      <c r="Y44" s="35" t="str">
        <f>+VLOOKUP(Agencia[[#This Row],[contenido]],Estructura!$E$4:$G$18,3,0)</f>
        <v>C-992</v>
      </c>
      <c r="Z44" s="35" t="str">
        <f>+VLOOKUP(Agencia[[#This Row],[Filtro Integrado]],Estructura!$I$4:$K$18,3,0)</f>
        <v>FI-991</v>
      </c>
      <c r="AA44" s="35" t="str">
        <f>+VLOOKUP(Agencia[[#This Row],[Muestra]],Estructura!$M$4:$O$18,3,0)</f>
        <v>M-996</v>
      </c>
    </row>
    <row r="45" spans="1:27" ht="48" x14ac:dyDescent="0.3">
      <c r="A45" s="29" t="s">
        <v>456</v>
      </c>
      <c r="B45" s="39">
        <f t="shared" si="25"/>
        <v>990</v>
      </c>
      <c r="C45" s="40" t="str">
        <f t="shared" si="26"/>
        <v>Agencia Información</v>
      </c>
      <c r="D45" s="40" t="str">
        <f t="shared" si="27"/>
        <v>Educación</v>
      </c>
      <c r="E45" s="27">
        <v>16</v>
      </c>
      <c r="F45" s="40" t="str">
        <f t="shared" si="28"/>
        <v>Indicadores de Calidad de Educación Municipal</v>
      </c>
      <c r="G45" s="41" t="str">
        <f t="shared" si="29"/>
        <v>Calidad de la Educación</v>
      </c>
      <c r="H45" s="61" t="str">
        <f t="shared" si="24"/>
        <v>Región</v>
      </c>
      <c r="I45" s="62" t="s">
        <v>385</v>
      </c>
      <c r="J45" s="39" t="str">
        <f t="shared" si="30"/>
        <v>Comuna</v>
      </c>
      <c r="K45" s="39" t="str">
        <f t="shared" si="31"/>
        <v>Proporción alumnos sobre 450 pts PSU</v>
      </c>
      <c r="L45" s="39" t="str">
        <f t="shared" si="32"/>
        <v>Periodo 2001-2020</v>
      </c>
      <c r="M45" s="39" t="str">
        <f t="shared" si="33"/>
        <v>Porcentaje (%)</v>
      </c>
      <c r="N45" s="39" t="str">
        <f t="shared" si="34"/>
        <v>Sistema Nacional de Información Municipal</v>
      </c>
      <c r="O45" s="42" t="str">
        <f t="shared" si="23"/>
        <v>Proporción de Alumnos de 4to Medio con más de 450 puntos en la PSU según dependencia de colegios</v>
      </c>
      <c r="P45" s="28"/>
      <c r="Q45" s="17" t="str">
        <f t="shared" si="37"/>
        <v>Gráfico Evolución</v>
      </c>
      <c r="R45" s="17" t="str">
        <f>Agencia[[#This Row],[territorio]]&amp;",Educacion,Municipal,PSU,Alumnos,Calidad Educacion,Colegios Municipales"</f>
        <v>Región de Ñuble,Educacion,Municipal,PSU,Alumnos,Calidad Educacion,Colegios Municipales</v>
      </c>
      <c r="S45" s="30" t="s">
        <v>432</v>
      </c>
      <c r="T45" s="31"/>
      <c r="U45" s="36" t="str">
        <f t="shared" si="38"/>
        <v>#1774B9</v>
      </c>
      <c r="V45" s="37" t="str">
        <f>+Agencia[[#This Row],[idcoleccion]]&amp;"-"&amp;Agencia[[#This Row],[id]]</f>
        <v>990-0035</v>
      </c>
      <c r="W45" s="38">
        <f>+VLOOKUP(Agencia[[#This Row],[Filtro URL]],Estructura!$X$4:$Y$366,2,0)</f>
        <v>99200016</v>
      </c>
      <c r="X45" s="35" t="str">
        <f>+VLOOKUP(Agencia[[#This Row],[tema]],Estructura!$A$4:$C$18,3,0)</f>
        <v>T-992</v>
      </c>
      <c r="Y45" s="35" t="str">
        <f>+VLOOKUP(Agencia[[#This Row],[contenido]],Estructura!$E$4:$G$18,3,0)</f>
        <v>C-992</v>
      </c>
      <c r="Z45" s="35" t="str">
        <f>+VLOOKUP(Agencia[[#This Row],[Filtro Integrado]],Estructura!$I$4:$K$18,3,0)</f>
        <v>FI-991</v>
      </c>
      <c r="AA45" s="35" t="str">
        <f>+VLOOKUP(Agencia[[#This Row],[Muestra]],Estructura!$M$4:$O$18,3,0)</f>
        <v>M-996</v>
      </c>
    </row>
    <row r="46" spans="1:27" ht="96" x14ac:dyDescent="0.3">
      <c r="A46" s="26" t="s">
        <v>457</v>
      </c>
      <c r="B46" s="39">
        <f t="shared" ref="B46:B58" si="39">+B45</f>
        <v>990</v>
      </c>
      <c r="C46" s="40" t="str">
        <f t="shared" ref="C46:C58" si="40">+C45</f>
        <v>Agencia Información</v>
      </c>
      <c r="D46" s="40" t="s">
        <v>473</v>
      </c>
      <c r="E46" s="21">
        <v>0</v>
      </c>
      <c r="F46" s="40" t="s">
        <v>475</v>
      </c>
      <c r="G46" s="41" t="s">
        <v>474</v>
      </c>
      <c r="H46" s="59" t="s">
        <v>20</v>
      </c>
      <c r="I46" s="60" t="s">
        <v>15</v>
      </c>
      <c r="J46" s="39" t="str">
        <f t="shared" ref="J46:J58" si="41">+J45</f>
        <v>Comuna</v>
      </c>
      <c r="K46" s="39" t="s">
        <v>655</v>
      </c>
      <c r="L46" s="39" t="s">
        <v>471</v>
      </c>
      <c r="M46" s="39" t="s">
        <v>472</v>
      </c>
      <c r="N46" s="39" t="s">
        <v>470</v>
      </c>
      <c r="O46" s="28" t="str">
        <f>+"Distribución comunal de denuncias por violación en "&amp;I46&amp;" en el "&amp;Agencia[[#This Row],[temporalidad]]</f>
        <v>Distribución comunal de denuncias por violación en Chile en el Año 2020</v>
      </c>
      <c r="P46" s="28"/>
      <c r="Q46" s="17" t="s">
        <v>500</v>
      </c>
      <c r="R46" s="28" t="str">
        <f>Agencia[[#This Row],[territorio]]&amp;",comunas,violencia,mujer,violacion,denuncias"</f>
        <v>Chile,comunas,violencia,mujer,violacion,denuncias</v>
      </c>
      <c r="S46" s="30" t="s">
        <v>432</v>
      </c>
      <c r="T46" s="31"/>
      <c r="U46" s="36" t="str">
        <f t="shared" ref="U46:U58" si="42">+U45</f>
        <v>#1774B9</v>
      </c>
      <c r="V46" s="37" t="str">
        <f>+Agencia[[#This Row],[idcoleccion]]&amp;"-"&amp;Agencia[[#This Row],[id]]</f>
        <v>990-0036</v>
      </c>
      <c r="W46" s="38">
        <f>+VLOOKUP(Agencia[[#This Row],[Filtro URL]],Estructura!$X$4:$Y$366,2,0)</f>
        <v>99100000</v>
      </c>
      <c r="X46" s="35" t="str">
        <f>+VLOOKUP(Agencia[[#This Row],[tema]],Estructura!$A$4:$C$18,3,0)</f>
        <v>T-993</v>
      </c>
      <c r="Y46" s="35" t="str">
        <f>+VLOOKUP(Agencia[[#This Row],[contenido]],Estructura!$E$4:$G$18,3,0)</f>
        <v>C-993</v>
      </c>
      <c r="Z46" s="35" t="str">
        <f>+VLOOKUP(Agencia[[#This Row],[Filtro Integrado]],Estructura!$I$4:$K$18,3,0)</f>
        <v>FI-991</v>
      </c>
      <c r="AA46" s="35" t="str">
        <f>+VLOOKUP(Agencia[[#This Row],[Muestra]],Estructura!$M$4:$O$18,3,0)</f>
        <v>M-997</v>
      </c>
    </row>
    <row r="47" spans="1:27" ht="96" x14ac:dyDescent="0.3">
      <c r="A47" s="29" t="s">
        <v>458</v>
      </c>
      <c r="B47" s="39">
        <f t="shared" si="39"/>
        <v>990</v>
      </c>
      <c r="C47" s="40" t="str">
        <f t="shared" si="40"/>
        <v>Agencia Información</v>
      </c>
      <c r="D47" s="40" t="str">
        <f t="shared" ref="D47:D58" si="43">+D46</f>
        <v>Mujeres</v>
      </c>
      <c r="E47" s="27">
        <v>1</v>
      </c>
      <c r="F47" s="40" t="str">
        <f t="shared" ref="F47:F58" si="44">+F46</f>
        <v>Denuncias</v>
      </c>
      <c r="G47" s="41" t="str">
        <f t="shared" ref="G47:G58" si="45">+G46</f>
        <v>Violaciones</v>
      </c>
      <c r="H47" s="61" t="s">
        <v>16</v>
      </c>
      <c r="I47" s="62" t="s">
        <v>370</v>
      </c>
      <c r="J47" s="39" t="str">
        <f t="shared" si="41"/>
        <v>Comuna</v>
      </c>
      <c r="K47" s="39" t="str">
        <f t="shared" ref="K47:K58" si="46">+K46</f>
        <v>Denuncias por violación</v>
      </c>
      <c r="L47" s="39" t="str">
        <f t="shared" ref="L47:L58" si="47">+L46</f>
        <v>Año 2020</v>
      </c>
      <c r="M47" s="39" t="str">
        <f t="shared" ref="M47:M58" si="48">+M46</f>
        <v>Número de Denuncias</v>
      </c>
      <c r="N47" s="39" t="str">
        <f t="shared" ref="N47:N58" si="49">+N46</f>
        <v>Centro de Estudios y Análisis del Delito (CEAD) de la Subsecretaría de Prevención del Delito</v>
      </c>
      <c r="O47" s="28" t="str">
        <f>+"Distribución comunal de denuncias por violación en la "&amp;I47&amp;" en el "&amp;Agencia[[#This Row],[temporalidad]]</f>
        <v>Distribución comunal de denuncias por violación en la Región de Tarapacá en el Año 2020</v>
      </c>
      <c r="P47" s="28"/>
      <c r="Q47" s="17" t="str">
        <f t="shared" ref="Q47:Q58" si="50">+Q46</f>
        <v xml:space="preserve">Gráfico  </v>
      </c>
      <c r="R47" s="28" t="str">
        <f>Agencia[[#This Row],[territorio]]&amp;",comunas,violencia,mujer,violacion,denuncias"</f>
        <v>Región de Tarapacá,comunas,violencia,mujer,violacion,denuncias</v>
      </c>
      <c r="S47" s="30" t="s">
        <v>432</v>
      </c>
      <c r="T47" s="31"/>
      <c r="U47" s="36" t="str">
        <f t="shared" si="42"/>
        <v>#1774B9</v>
      </c>
      <c r="V47" s="37" t="str">
        <f>+Agencia[[#This Row],[idcoleccion]]&amp;"-"&amp;Agencia[[#This Row],[id]]</f>
        <v>990-0037</v>
      </c>
      <c r="W47" s="38">
        <f>+VLOOKUP(Agencia[[#This Row],[Filtro URL]],Estructura!$X$4:$Y$366,2,0)</f>
        <v>99200001</v>
      </c>
      <c r="X47" s="35" t="str">
        <f>+VLOOKUP(Agencia[[#This Row],[tema]],Estructura!$A$4:$C$18,3,0)</f>
        <v>T-993</v>
      </c>
      <c r="Y47" s="35" t="str">
        <f>+VLOOKUP(Agencia[[#This Row],[contenido]],Estructura!$E$4:$G$18,3,0)</f>
        <v>C-993</v>
      </c>
      <c r="Z47" s="35" t="str">
        <f>+VLOOKUP(Agencia[[#This Row],[Filtro Integrado]],Estructura!$I$4:$K$18,3,0)</f>
        <v>FI-991</v>
      </c>
      <c r="AA47" s="35" t="str">
        <f>+VLOOKUP(Agencia[[#This Row],[Muestra]],Estructura!$M$4:$O$18,3,0)</f>
        <v>M-997</v>
      </c>
    </row>
    <row r="48" spans="1:27" ht="96" x14ac:dyDescent="0.3">
      <c r="A48" s="29" t="s">
        <v>459</v>
      </c>
      <c r="B48" s="39">
        <f t="shared" si="39"/>
        <v>990</v>
      </c>
      <c r="C48" s="40" t="str">
        <f t="shared" si="40"/>
        <v>Agencia Información</v>
      </c>
      <c r="D48" s="40" t="str">
        <f t="shared" si="43"/>
        <v>Mujeres</v>
      </c>
      <c r="E48" s="27">
        <v>2</v>
      </c>
      <c r="F48" s="40" t="str">
        <f t="shared" si="44"/>
        <v>Denuncias</v>
      </c>
      <c r="G48" s="41" t="str">
        <f t="shared" si="45"/>
        <v>Violaciones</v>
      </c>
      <c r="H48" s="61" t="s">
        <v>16</v>
      </c>
      <c r="I48" s="62" t="s">
        <v>371</v>
      </c>
      <c r="J48" s="39" t="str">
        <f t="shared" si="41"/>
        <v>Comuna</v>
      </c>
      <c r="K48" s="39" t="str">
        <f t="shared" si="46"/>
        <v>Denuncias por violación</v>
      </c>
      <c r="L48" s="39" t="str">
        <f t="shared" si="47"/>
        <v>Año 2020</v>
      </c>
      <c r="M48" s="39" t="str">
        <f t="shared" si="48"/>
        <v>Número de Denuncias</v>
      </c>
      <c r="N48" s="39" t="str">
        <f t="shared" si="49"/>
        <v>Centro de Estudios y Análisis del Delito (CEAD) de la Subsecretaría de Prevención del Delito</v>
      </c>
      <c r="O48" s="28" t="str">
        <f>+"Distribución comunal de denuncias por violación en la "&amp;I48&amp;" en el "&amp;Agencia[[#This Row],[temporalidad]]</f>
        <v>Distribución comunal de denuncias por violación en la Región de Antofagasta en el Año 2020</v>
      </c>
      <c r="P48" s="28"/>
      <c r="Q48" s="17" t="str">
        <f t="shared" si="50"/>
        <v xml:space="preserve">Gráfico  </v>
      </c>
      <c r="R48" s="28" t="str">
        <f>Agencia[[#This Row],[territorio]]&amp;",comunas,violencia,mujer,violacion,denuncias"</f>
        <v>Región de Antofagasta,comunas,violencia,mujer,violacion,denuncias</v>
      </c>
      <c r="S48" s="30" t="s">
        <v>432</v>
      </c>
      <c r="T48" s="31"/>
      <c r="U48" s="36" t="str">
        <f t="shared" si="42"/>
        <v>#1774B9</v>
      </c>
      <c r="V48" s="37" t="str">
        <f>+Agencia[[#This Row],[idcoleccion]]&amp;"-"&amp;Agencia[[#This Row],[id]]</f>
        <v>990-0038</v>
      </c>
      <c r="W48" s="38">
        <f>+VLOOKUP(Agencia[[#This Row],[Filtro URL]],Estructura!$X$4:$Y$366,2,0)</f>
        <v>99200002</v>
      </c>
      <c r="X48" s="35" t="str">
        <f>+VLOOKUP(Agencia[[#This Row],[tema]],Estructura!$A$4:$C$18,3,0)</f>
        <v>T-993</v>
      </c>
      <c r="Y48" s="35" t="str">
        <f>+VLOOKUP(Agencia[[#This Row],[contenido]],Estructura!$E$4:$G$18,3,0)</f>
        <v>C-993</v>
      </c>
      <c r="Z48" s="35" t="str">
        <f>+VLOOKUP(Agencia[[#This Row],[Filtro Integrado]],Estructura!$I$4:$K$18,3,0)</f>
        <v>FI-991</v>
      </c>
      <c r="AA48" s="35" t="str">
        <f>+VLOOKUP(Agencia[[#This Row],[Muestra]],Estructura!$M$4:$O$18,3,0)</f>
        <v>M-997</v>
      </c>
    </row>
    <row r="49" spans="1:27" ht="96" x14ac:dyDescent="0.3">
      <c r="A49" s="29" t="s">
        <v>460</v>
      </c>
      <c r="B49" s="39">
        <f t="shared" si="39"/>
        <v>990</v>
      </c>
      <c r="C49" s="40" t="str">
        <f t="shared" si="40"/>
        <v>Agencia Información</v>
      </c>
      <c r="D49" s="40" t="str">
        <f t="shared" si="43"/>
        <v>Mujeres</v>
      </c>
      <c r="E49" s="27">
        <v>3</v>
      </c>
      <c r="F49" s="40" t="str">
        <f t="shared" si="44"/>
        <v>Denuncias</v>
      </c>
      <c r="G49" s="41" t="str">
        <f t="shared" si="45"/>
        <v>Violaciones</v>
      </c>
      <c r="H49" s="61" t="s">
        <v>16</v>
      </c>
      <c r="I49" s="62" t="s">
        <v>372</v>
      </c>
      <c r="J49" s="39" t="str">
        <f t="shared" si="41"/>
        <v>Comuna</v>
      </c>
      <c r="K49" s="39" t="str">
        <f t="shared" si="46"/>
        <v>Denuncias por violación</v>
      </c>
      <c r="L49" s="39" t="str">
        <f t="shared" si="47"/>
        <v>Año 2020</v>
      </c>
      <c r="M49" s="39" t="str">
        <f t="shared" si="48"/>
        <v>Número de Denuncias</v>
      </c>
      <c r="N49" s="39" t="str">
        <f t="shared" si="49"/>
        <v>Centro de Estudios y Análisis del Delito (CEAD) de la Subsecretaría de Prevención del Delito</v>
      </c>
      <c r="O49" s="28" t="str">
        <f>+"Distribución comunal de denuncias por violación en la "&amp;I49&amp;" en el "&amp;Agencia[[#This Row],[temporalidad]]</f>
        <v>Distribución comunal de denuncias por violación en la Región de Atacama en el Año 2020</v>
      </c>
      <c r="P49" s="28"/>
      <c r="Q49" s="17" t="str">
        <f t="shared" si="50"/>
        <v xml:space="preserve">Gráfico  </v>
      </c>
      <c r="R49" s="28" t="str">
        <f>Agencia[[#This Row],[territorio]]&amp;",comunas,violencia,mujer,violacion,denuncias"</f>
        <v>Región de Atacama,comunas,violencia,mujer,violacion,denuncias</v>
      </c>
      <c r="S49" s="30" t="s">
        <v>432</v>
      </c>
      <c r="T49" s="31"/>
      <c r="U49" s="36" t="str">
        <f t="shared" si="42"/>
        <v>#1774B9</v>
      </c>
      <c r="V49" s="37" t="str">
        <f>+Agencia[[#This Row],[idcoleccion]]&amp;"-"&amp;Agencia[[#This Row],[id]]</f>
        <v>990-0039</v>
      </c>
      <c r="W49" s="38">
        <f>+VLOOKUP(Agencia[[#This Row],[Filtro URL]],Estructura!$X$4:$Y$366,2,0)</f>
        <v>99200003</v>
      </c>
      <c r="X49" s="35" t="str">
        <f>+VLOOKUP(Agencia[[#This Row],[tema]],Estructura!$A$4:$C$18,3,0)</f>
        <v>T-993</v>
      </c>
      <c r="Y49" s="35" t="str">
        <f>+VLOOKUP(Agencia[[#This Row],[contenido]],Estructura!$E$4:$G$18,3,0)</f>
        <v>C-993</v>
      </c>
      <c r="Z49" s="35" t="str">
        <f>+VLOOKUP(Agencia[[#This Row],[Filtro Integrado]],Estructura!$I$4:$K$18,3,0)</f>
        <v>FI-991</v>
      </c>
      <c r="AA49" s="35" t="str">
        <f>+VLOOKUP(Agencia[[#This Row],[Muestra]],Estructura!$M$4:$O$18,3,0)</f>
        <v>M-997</v>
      </c>
    </row>
    <row r="50" spans="1:27" ht="96" x14ac:dyDescent="0.3">
      <c r="A50" s="29" t="s">
        <v>461</v>
      </c>
      <c r="B50" s="39">
        <f t="shared" si="39"/>
        <v>990</v>
      </c>
      <c r="C50" s="40" t="str">
        <f t="shared" si="40"/>
        <v>Agencia Información</v>
      </c>
      <c r="D50" s="40" t="str">
        <f t="shared" si="43"/>
        <v>Mujeres</v>
      </c>
      <c r="E50" s="27">
        <v>4</v>
      </c>
      <c r="F50" s="40" t="str">
        <f t="shared" si="44"/>
        <v>Denuncias</v>
      </c>
      <c r="G50" s="41" t="str">
        <f t="shared" si="45"/>
        <v>Violaciones</v>
      </c>
      <c r="H50" s="61" t="s">
        <v>16</v>
      </c>
      <c r="I50" s="62" t="s">
        <v>373</v>
      </c>
      <c r="J50" s="39" t="str">
        <f t="shared" si="41"/>
        <v>Comuna</v>
      </c>
      <c r="K50" s="39" t="str">
        <f t="shared" si="46"/>
        <v>Denuncias por violación</v>
      </c>
      <c r="L50" s="39" t="str">
        <f t="shared" si="47"/>
        <v>Año 2020</v>
      </c>
      <c r="M50" s="39" t="str">
        <f t="shared" si="48"/>
        <v>Número de Denuncias</v>
      </c>
      <c r="N50" s="39" t="str">
        <f t="shared" si="49"/>
        <v>Centro de Estudios y Análisis del Delito (CEAD) de la Subsecretaría de Prevención del Delito</v>
      </c>
      <c r="O50" s="28" t="str">
        <f>+"Distribución comunal de denuncias por violación en la "&amp;I50&amp;" en el "&amp;Agencia[[#This Row],[temporalidad]]</f>
        <v>Distribución comunal de denuncias por violación en la Región de Coquimbo en el Año 2020</v>
      </c>
      <c r="P50" s="28"/>
      <c r="Q50" s="17" t="str">
        <f t="shared" si="50"/>
        <v xml:space="preserve">Gráfico  </v>
      </c>
      <c r="R50" s="28" t="str">
        <f>Agencia[[#This Row],[territorio]]&amp;",comunas,violencia,mujer,violacion,denuncias"</f>
        <v>Región de Coquimbo,comunas,violencia,mujer,violacion,denuncias</v>
      </c>
      <c r="S50" s="30" t="s">
        <v>432</v>
      </c>
      <c r="T50" s="31"/>
      <c r="U50" s="36" t="str">
        <f t="shared" si="42"/>
        <v>#1774B9</v>
      </c>
      <c r="V50" s="37" t="str">
        <f>+Agencia[[#This Row],[idcoleccion]]&amp;"-"&amp;Agencia[[#This Row],[id]]</f>
        <v>990-0040</v>
      </c>
      <c r="W50" s="38">
        <f>+VLOOKUP(Agencia[[#This Row],[Filtro URL]],Estructura!$X$4:$Y$366,2,0)</f>
        <v>99200004</v>
      </c>
      <c r="X50" s="35" t="str">
        <f>+VLOOKUP(Agencia[[#This Row],[tema]],Estructura!$A$4:$C$18,3,0)</f>
        <v>T-993</v>
      </c>
      <c r="Y50" s="35" t="str">
        <f>+VLOOKUP(Agencia[[#This Row],[contenido]],Estructura!$E$4:$G$18,3,0)</f>
        <v>C-993</v>
      </c>
      <c r="Z50" s="35" t="str">
        <f>+VLOOKUP(Agencia[[#This Row],[Filtro Integrado]],Estructura!$I$4:$K$18,3,0)</f>
        <v>FI-991</v>
      </c>
      <c r="AA50" s="35" t="str">
        <f>+VLOOKUP(Agencia[[#This Row],[Muestra]],Estructura!$M$4:$O$18,3,0)</f>
        <v>M-997</v>
      </c>
    </row>
    <row r="51" spans="1:27" ht="96" x14ac:dyDescent="0.3">
      <c r="A51" s="29" t="s">
        <v>462</v>
      </c>
      <c r="B51" s="39">
        <f t="shared" si="39"/>
        <v>990</v>
      </c>
      <c r="C51" s="40" t="str">
        <f t="shared" si="40"/>
        <v>Agencia Información</v>
      </c>
      <c r="D51" s="40" t="str">
        <f t="shared" si="43"/>
        <v>Mujeres</v>
      </c>
      <c r="E51" s="27">
        <v>5</v>
      </c>
      <c r="F51" s="40" t="str">
        <f t="shared" si="44"/>
        <v>Denuncias</v>
      </c>
      <c r="G51" s="41" t="str">
        <f t="shared" si="45"/>
        <v>Violaciones</v>
      </c>
      <c r="H51" s="61" t="s">
        <v>16</v>
      </c>
      <c r="I51" s="62" t="s">
        <v>374</v>
      </c>
      <c r="J51" s="39" t="str">
        <f t="shared" si="41"/>
        <v>Comuna</v>
      </c>
      <c r="K51" s="39" t="str">
        <f t="shared" si="46"/>
        <v>Denuncias por violación</v>
      </c>
      <c r="L51" s="39" t="str">
        <f t="shared" si="47"/>
        <v>Año 2020</v>
      </c>
      <c r="M51" s="39" t="str">
        <f t="shared" si="48"/>
        <v>Número de Denuncias</v>
      </c>
      <c r="N51" s="39" t="str">
        <f t="shared" si="49"/>
        <v>Centro de Estudios y Análisis del Delito (CEAD) de la Subsecretaría de Prevención del Delito</v>
      </c>
      <c r="O51" s="28" t="str">
        <f>+"Distribución comunal de denuncias por violación en la "&amp;I51&amp;" en el "&amp;Agencia[[#This Row],[temporalidad]]</f>
        <v>Distribución comunal de denuncias por violación en la Región de Valparaíso en el Año 2020</v>
      </c>
      <c r="P51" s="28"/>
      <c r="Q51" s="17" t="str">
        <f t="shared" si="50"/>
        <v xml:space="preserve">Gráfico  </v>
      </c>
      <c r="R51" s="28" t="str">
        <f>Agencia[[#This Row],[territorio]]&amp;",comunas,violencia,mujer,violacion,denuncias"</f>
        <v>Región de Valparaíso,comunas,violencia,mujer,violacion,denuncias</v>
      </c>
      <c r="S51" s="30" t="s">
        <v>432</v>
      </c>
      <c r="T51" s="31"/>
      <c r="U51" s="36" t="str">
        <f t="shared" si="42"/>
        <v>#1774B9</v>
      </c>
      <c r="V51" s="37" t="str">
        <f>+Agencia[[#This Row],[idcoleccion]]&amp;"-"&amp;Agencia[[#This Row],[id]]</f>
        <v>990-0041</v>
      </c>
      <c r="W51" s="38">
        <f>+VLOOKUP(Agencia[[#This Row],[Filtro URL]],Estructura!$X$4:$Y$366,2,0)</f>
        <v>99200005</v>
      </c>
      <c r="X51" s="35" t="str">
        <f>+VLOOKUP(Agencia[[#This Row],[tema]],Estructura!$A$4:$C$18,3,0)</f>
        <v>T-993</v>
      </c>
      <c r="Y51" s="35" t="str">
        <f>+VLOOKUP(Agencia[[#This Row],[contenido]],Estructura!$E$4:$G$18,3,0)</f>
        <v>C-993</v>
      </c>
      <c r="Z51" s="35" t="str">
        <f>+VLOOKUP(Agencia[[#This Row],[Filtro Integrado]],Estructura!$I$4:$K$18,3,0)</f>
        <v>FI-991</v>
      </c>
      <c r="AA51" s="35" t="str">
        <f>+VLOOKUP(Agencia[[#This Row],[Muestra]],Estructura!$M$4:$O$18,3,0)</f>
        <v>M-997</v>
      </c>
    </row>
    <row r="52" spans="1:27" ht="96" x14ac:dyDescent="0.3">
      <c r="A52" s="29" t="s">
        <v>463</v>
      </c>
      <c r="B52" s="39">
        <f t="shared" si="39"/>
        <v>990</v>
      </c>
      <c r="C52" s="40" t="str">
        <f t="shared" si="40"/>
        <v>Agencia Información</v>
      </c>
      <c r="D52" s="40" t="str">
        <f t="shared" si="43"/>
        <v>Mujeres</v>
      </c>
      <c r="E52" s="27">
        <v>6</v>
      </c>
      <c r="F52" s="40" t="str">
        <f t="shared" si="44"/>
        <v>Denuncias</v>
      </c>
      <c r="G52" s="41" t="str">
        <f t="shared" si="45"/>
        <v>Violaciones</v>
      </c>
      <c r="H52" s="61" t="s">
        <v>16</v>
      </c>
      <c r="I52" s="62" t="s">
        <v>375</v>
      </c>
      <c r="J52" s="39" t="str">
        <f t="shared" si="41"/>
        <v>Comuna</v>
      </c>
      <c r="K52" s="39" t="str">
        <f t="shared" si="46"/>
        <v>Denuncias por violación</v>
      </c>
      <c r="L52" s="39" t="str">
        <f t="shared" si="47"/>
        <v>Año 2020</v>
      </c>
      <c r="M52" s="39" t="str">
        <f t="shared" si="48"/>
        <v>Número de Denuncias</v>
      </c>
      <c r="N52" s="39" t="str">
        <f t="shared" si="49"/>
        <v>Centro de Estudios y Análisis del Delito (CEAD) de la Subsecretaría de Prevención del Delito</v>
      </c>
      <c r="O52" s="28" t="str">
        <f>+"Distribución comunal de denuncias por violación en la "&amp;I52&amp;" en el "&amp;Agencia[[#This Row],[temporalidad]]</f>
        <v>Distribución comunal de denuncias por violación en la Región de O'Higgins en el Año 2020</v>
      </c>
      <c r="P52" s="28"/>
      <c r="Q52" s="17" t="str">
        <f t="shared" si="50"/>
        <v xml:space="preserve">Gráfico  </v>
      </c>
      <c r="R52" s="28" t="str">
        <f>Agencia[[#This Row],[territorio]]&amp;",comunas,violencia,mujer,violacion,denuncias"</f>
        <v>Región de O'Higgins,comunas,violencia,mujer,violacion,denuncias</v>
      </c>
      <c r="S52" s="30" t="s">
        <v>432</v>
      </c>
      <c r="T52" s="31"/>
      <c r="U52" s="36" t="str">
        <f t="shared" si="42"/>
        <v>#1774B9</v>
      </c>
      <c r="V52" s="37" t="str">
        <f>+Agencia[[#This Row],[idcoleccion]]&amp;"-"&amp;Agencia[[#This Row],[id]]</f>
        <v>990-0042</v>
      </c>
      <c r="W52" s="38">
        <f>+VLOOKUP(Agencia[[#This Row],[Filtro URL]],Estructura!$X$4:$Y$366,2,0)</f>
        <v>99200006</v>
      </c>
      <c r="X52" s="35" t="str">
        <f>+VLOOKUP(Agencia[[#This Row],[tema]],Estructura!$A$4:$C$18,3,0)</f>
        <v>T-993</v>
      </c>
      <c r="Y52" s="35" t="str">
        <f>+VLOOKUP(Agencia[[#This Row],[contenido]],Estructura!$E$4:$G$18,3,0)</f>
        <v>C-993</v>
      </c>
      <c r="Z52" s="35" t="str">
        <f>+VLOOKUP(Agencia[[#This Row],[Filtro Integrado]],Estructura!$I$4:$K$18,3,0)</f>
        <v>FI-991</v>
      </c>
      <c r="AA52" s="35" t="str">
        <f>+VLOOKUP(Agencia[[#This Row],[Muestra]],Estructura!$M$4:$O$18,3,0)</f>
        <v>M-997</v>
      </c>
    </row>
    <row r="53" spans="1:27" ht="96" x14ac:dyDescent="0.3">
      <c r="A53" s="29" t="s">
        <v>464</v>
      </c>
      <c r="B53" s="39">
        <f t="shared" si="39"/>
        <v>990</v>
      </c>
      <c r="C53" s="40" t="str">
        <f t="shared" si="40"/>
        <v>Agencia Información</v>
      </c>
      <c r="D53" s="40" t="str">
        <f t="shared" si="43"/>
        <v>Mujeres</v>
      </c>
      <c r="E53" s="27">
        <v>7</v>
      </c>
      <c r="F53" s="40" t="str">
        <f t="shared" si="44"/>
        <v>Denuncias</v>
      </c>
      <c r="G53" s="41" t="str">
        <f t="shared" si="45"/>
        <v>Violaciones</v>
      </c>
      <c r="H53" s="61" t="s">
        <v>16</v>
      </c>
      <c r="I53" s="62" t="s">
        <v>376</v>
      </c>
      <c r="J53" s="39" t="str">
        <f t="shared" si="41"/>
        <v>Comuna</v>
      </c>
      <c r="K53" s="39" t="str">
        <f t="shared" si="46"/>
        <v>Denuncias por violación</v>
      </c>
      <c r="L53" s="39" t="str">
        <f t="shared" si="47"/>
        <v>Año 2020</v>
      </c>
      <c r="M53" s="39" t="str">
        <f t="shared" si="48"/>
        <v>Número de Denuncias</v>
      </c>
      <c r="N53" s="39" t="str">
        <f t="shared" si="49"/>
        <v>Centro de Estudios y Análisis del Delito (CEAD) de la Subsecretaría de Prevención del Delito</v>
      </c>
      <c r="O53" s="28" t="str">
        <f>+"Distribución comunal de denuncias por violación en la "&amp;I53&amp;" en el "&amp;Agencia[[#This Row],[temporalidad]]</f>
        <v>Distribución comunal de denuncias por violación en la Región de Maule en el Año 2020</v>
      </c>
      <c r="P53" s="28"/>
      <c r="Q53" s="17" t="str">
        <f t="shared" si="50"/>
        <v xml:space="preserve">Gráfico  </v>
      </c>
      <c r="R53" s="28" t="str">
        <f>Agencia[[#This Row],[territorio]]&amp;",comunas,violencia,mujer,violacion,denuncias"</f>
        <v>Región de Maule,comunas,violencia,mujer,violacion,denuncias</v>
      </c>
      <c r="S53" s="30" t="s">
        <v>432</v>
      </c>
      <c r="T53" s="31"/>
      <c r="U53" s="36" t="str">
        <f t="shared" si="42"/>
        <v>#1774B9</v>
      </c>
      <c r="V53" s="37" t="str">
        <f>+Agencia[[#This Row],[idcoleccion]]&amp;"-"&amp;Agencia[[#This Row],[id]]</f>
        <v>990-0043</v>
      </c>
      <c r="W53" s="38">
        <f>+VLOOKUP(Agencia[[#This Row],[Filtro URL]],Estructura!$X$4:$Y$366,2,0)</f>
        <v>99200007</v>
      </c>
      <c r="X53" s="35" t="str">
        <f>+VLOOKUP(Agencia[[#This Row],[tema]],Estructura!$A$4:$C$18,3,0)</f>
        <v>T-993</v>
      </c>
      <c r="Y53" s="35" t="str">
        <f>+VLOOKUP(Agencia[[#This Row],[contenido]],Estructura!$E$4:$G$18,3,0)</f>
        <v>C-993</v>
      </c>
      <c r="Z53" s="35" t="str">
        <f>+VLOOKUP(Agencia[[#This Row],[Filtro Integrado]],Estructura!$I$4:$K$18,3,0)</f>
        <v>FI-991</v>
      </c>
      <c r="AA53" s="35" t="str">
        <f>+VLOOKUP(Agencia[[#This Row],[Muestra]],Estructura!$M$4:$O$18,3,0)</f>
        <v>M-997</v>
      </c>
    </row>
    <row r="54" spans="1:27" ht="96" x14ac:dyDescent="0.3">
      <c r="A54" s="29" t="s">
        <v>465</v>
      </c>
      <c r="B54" s="39">
        <f t="shared" si="39"/>
        <v>990</v>
      </c>
      <c r="C54" s="40" t="str">
        <f t="shared" si="40"/>
        <v>Agencia Información</v>
      </c>
      <c r="D54" s="40" t="str">
        <f t="shared" si="43"/>
        <v>Mujeres</v>
      </c>
      <c r="E54" s="27">
        <v>8</v>
      </c>
      <c r="F54" s="40" t="str">
        <f t="shared" si="44"/>
        <v>Denuncias</v>
      </c>
      <c r="G54" s="41" t="str">
        <f t="shared" si="45"/>
        <v>Violaciones</v>
      </c>
      <c r="H54" s="61" t="s">
        <v>16</v>
      </c>
      <c r="I54" s="62" t="s">
        <v>377</v>
      </c>
      <c r="J54" s="39" t="str">
        <f t="shared" si="41"/>
        <v>Comuna</v>
      </c>
      <c r="K54" s="39" t="str">
        <f t="shared" si="46"/>
        <v>Denuncias por violación</v>
      </c>
      <c r="L54" s="39" t="str">
        <f t="shared" si="47"/>
        <v>Año 2020</v>
      </c>
      <c r="M54" s="39" t="str">
        <f t="shared" si="48"/>
        <v>Número de Denuncias</v>
      </c>
      <c r="N54" s="39" t="str">
        <f t="shared" si="49"/>
        <v>Centro de Estudios y Análisis del Delito (CEAD) de la Subsecretaría de Prevención del Delito</v>
      </c>
      <c r="O54" s="28" t="str">
        <f>+"Distribución comunal de denuncias por violación en la "&amp;I54&amp;" en el "&amp;Agencia[[#This Row],[temporalidad]]</f>
        <v>Distribución comunal de denuncias por violación en la Región del Biobío en el Año 2020</v>
      </c>
      <c r="P54" s="28"/>
      <c r="Q54" s="17" t="str">
        <f t="shared" si="50"/>
        <v xml:space="preserve">Gráfico  </v>
      </c>
      <c r="R54" s="28" t="str">
        <f>Agencia[[#This Row],[territorio]]&amp;",comunas,violencia,mujer,violacion,denuncias"</f>
        <v>Región del Biobío,comunas,violencia,mujer,violacion,denuncias</v>
      </c>
      <c r="S54" s="30" t="s">
        <v>432</v>
      </c>
      <c r="T54" s="31"/>
      <c r="U54" s="36" t="str">
        <f t="shared" si="42"/>
        <v>#1774B9</v>
      </c>
      <c r="V54" s="37" t="str">
        <f>+Agencia[[#This Row],[idcoleccion]]&amp;"-"&amp;Agencia[[#This Row],[id]]</f>
        <v>990-0044</v>
      </c>
      <c r="W54" s="38">
        <f>+VLOOKUP(Agencia[[#This Row],[Filtro URL]],Estructura!$X$4:$Y$366,2,0)</f>
        <v>99200008</v>
      </c>
      <c r="X54" s="35" t="str">
        <f>+VLOOKUP(Agencia[[#This Row],[tema]],Estructura!$A$4:$C$18,3,0)</f>
        <v>T-993</v>
      </c>
      <c r="Y54" s="35" t="str">
        <f>+VLOOKUP(Agencia[[#This Row],[contenido]],Estructura!$E$4:$G$18,3,0)</f>
        <v>C-993</v>
      </c>
      <c r="Z54" s="35" t="str">
        <f>+VLOOKUP(Agencia[[#This Row],[Filtro Integrado]],Estructura!$I$4:$K$18,3,0)</f>
        <v>FI-991</v>
      </c>
      <c r="AA54" s="35" t="str">
        <f>+VLOOKUP(Agencia[[#This Row],[Muestra]],Estructura!$M$4:$O$18,3,0)</f>
        <v>M-997</v>
      </c>
    </row>
    <row r="55" spans="1:27" ht="96" x14ac:dyDescent="0.3">
      <c r="A55" s="29" t="s">
        <v>466</v>
      </c>
      <c r="B55" s="39">
        <f t="shared" si="39"/>
        <v>990</v>
      </c>
      <c r="C55" s="40" t="str">
        <f t="shared" si="40"/>
        <v>Agencia Información</v>
      </c>
      <c r="D55" s="40" t="str">
        <f t="shared" si="43"/>
        <v>Mujeres</v>
      </c>
      <c r="E55" s="27">
        <v>9</v>
      </c>
      <c r="F55" s="40" t="str">
        <f t="shared" si="44"/>
        <v>Denuncias</v>
      </c>
      <c r="G55" s="41" t="str">
        <f t="shared" si="45"/>
        <v>Violaciones</v>
      </c>
      <c r="H55" s="61" t="s">
        <v>16</v>
      </c>
      <c r="I55" s="62" t="s">
        <v>378</v>
      </c>
      <c r="J55" s="39" t="str">
        <f t="shared" si="41"/>
        <v>Comuna</v>
      </c>
      <c r="K55" s="39" t="str">
        <f t="shared" si="46"/>
        <v>Denuncias por violación</v>
      </c>
      <c r="L55" s="39" t="str">
        <f t="shared" si="47"/>
        <v>Año 2020</v>
      </c>
      <c r="M55" s="39" t="str">
        <f t="shared" si="48"/>
        <v>Número de Denuncias</v>
      </c>
      <c r="N55" s="39" t="str">
        <f t="shared" si="49"/>
        <v>Centro de Estudios y Análisis del Delito (CEAD) de la Subsecretaría de Prevención del Delito</v>
      </c>
      <c r="O55" s="28" t="str">
        <f>+"Distribución comunal de denuncias por violación en la "&amp;I55&amp;" en el "&amp;Agencia[[#This Row],[temporalidad]]</f>
        <v>Distribución comunal de denuncias por violación en la Región de La Araucanía en el Año 2020</v>
      </c>
      <c r="P55" s="28"/>
      <c r="Q55" s="17" t="str">
        <f t="shared" si="50"/>
        <v xml:space="preserve">Gráfico  </v>
      </c>
      <c r="R55" s="28" t="str">
        <f>Agencia[[#This Row],[territorio]]&amp;",comunas,violencia,mujer,violacion,denuncias"</f>
        <v>Región de La Araucanía,comunas,violencia,mujer,violacion,denuncias</v>
      </c>
      <c r="S55" s="30" t="s">
        <v>432</v>
      </c>
      <c r="T55" s="31"/>
      <c r="U55" s="36" t="str">
        <f t="shared" si="42"/>
        <v>#1774B9</v>
      </c>
      <c r="V55" s="37" t="str">
        <f>+Agencia[[#This Row],[idcoleccion]]&amp;"-"&amp;Agencia[[#This Row],[id]]</f>
        <v>990-0045</v>
      </c>
      <c r="W55" s="38">
        <f>+VLOOKUP(Agencia[[#This Row],[Filtro URL]],Estructura!$X$4:$Y$366,2,0)</f>
        <v>99200009</v>
      </c>
      <c r="X55" s="35" t="str">
        <f>+VLOOKUP(Agencia[[#This Row],[tema]],Estructura!$A$4:$C$18,3,0)</f>
        <v>T-993</v>
      </c>
      <c r="Y55" s="35" t="str">
        <f>+VLOOKUP(Agencia[[#This Row],[contenido]],Estructura!$E$4:$G$18,3,0)</f>
        <v>C-993</v>
      </c>
      <c r="Z55" s="35" t="str">
        <f>+VLOOKUP(Agencia[[#This Row],[Filtro Integrado]],Estructura!$I$4:$K$18,3,0)</f>
        <v>FI-991</v>
      </c>
      <c r="AA55" s="35" t="str">
        <f>+VLOOKUP(Agencia[[#This Row],[Muestra]],Estructura!$M$4:$O$18,3,0)</f>
        <v>M-997</v>
      </c>
    </row>
    <row r="56" spans="1:27" ht="96" x14ac:dyDescent="0.3">
      <c r="A56" s="29" t="s">
        <v>467</v>
      </c>
      <c r="B56" s="39">
        <f t="shared" si="39"/>
        <v>990</v>
      </c>
      <c r="C56" s="40" t="str">
        <f t="shared" si="40"/>
        <v>Agencia Información</v>
      </c>
      <c r="D56" s="40" t="str">
        <f t="shared" si="43"/>
        <v>Mujeres</v>
      </c>
      <c r="E56" s="27">
        <v>10</v>
      </c>
      <c r="F56" s="40" t="str">
        <f t="shared" si="44"/>
        <v>Denuncias</v>
      </c>
      <c r="G56" s="41" t="str">
        <f t="shared" si="45"/>
        <v>Violaciones</v>
      </c>
      <c r="H56" s="61" t="s">
        <v>16</v>
      </c>
      <c r="I56" s="62" t="s">
        <v>379</v>
      </c>
      <c r="J56" s="39" t="str">
        <f t="shared" si="41"/>
        <v>Comuna</v>
      </c>
      <c r="K56" s="39" t="str">
        <f t="shared" si="46"/>
        <v>Denuncias por violación</v>
      </c>
      <c r="L56" s="39" t="str">
        <f t="shared" si="47"/>
        <v>Año 2020</v>
      </c>
      <c r="M56" s="39" t="str">
        <f t="shared" si="48"/>
        <v>Número de Denuncias</v>
      </c>
      <c r="N56" s="39" t="str">
        <f t="shared" si="49"/>
        <v>Centro de Estudios y Análisis del Delito (CEAD) de la Subsecretaría de Prevención del Delito</v>
      </c>
      <c r="O56" s="28" t="str">
        <f>+"Distribución comunal de denuncias por violación en la "&amp;I56&amp;" en el "&amp;Agencia[[#This Row],[temporalidad]]</f>
        <v>Distribución comunal de denuncias por violación en la Región de Los Lagos en el Año 2020</v>
      </c>
      <c r="P56" s="28"/>
      <c r="Q56" s="17" t="str">
        <f t="shared" si="50"/>
        <v xml:space="preserve">Gráfico  </v>
      </c>
      <c r="R56" s="28" t="str">
        <f>Agencia[[#This Row],[territorio]]&amp;",comunas,violencia,mujer,violacion,denuncias"</f>
        <v>Región de Los Lagos,comunas,violencia,mujer,violacion,denuncias</v>
      </c>
      <c r="S56" s="30" t="s">
        <v>432</v>
      </c>
      <c r="T56" s="31"/>
      <c r="U56" s="36" t="str">
        <f t="shared" si="42"/>
        <v>#1774B9</v>
      </c>
      <c r="V56" s="37" t="str">
        <f>+Agencia[[#This Row],[idcoleccion]]&amp;"-"&amp;Agencia[[#This Row],[id]]</f>
        <v>990-0046</v>
      </c>
      <c r="W56" s="38">
        <f>+VLOOKUP(Agencia[[#This Row],[Filtro URL]],Estructura!$X$4:$Y$366,2,0)</f>
        <v>99200010</v>
      </c>
      <c r="X56" s="35" t="str">
        <f>+VLOOKUP(Agencia[[#This Row],[tema]],Estructura!$A$4:$C$18,3,0)</f>
        <v>T-993</v>
      </c>
      <c r="Y56" s="35" t="str">
        <f>+VLOOKUP(Agencia[[#This Row],[contenido]],Estructura!$E$4:$G$18,3,0)</f>
        <v>C-993</v>
      </c>
      <c r="Z56" s="35" t="str">
        <f>+VLOOKUP(Agencia[[#This Row],[Filtro Integrado]],Estructura!$I$4:$K$18,3,0)</f>
        <v>FI-991</v>
      </c>
      <c r="AA56" s="35" t="str">
        <f>+VLOOKUP(Agencia[[#This Row],[Muestra]],Estructura!$M$4:$O$18,3,0)</f>
        <v>M-997</v>
      </c>
    </row>
    <row r="57" spans="1:27" ht="96" x14ac:dyDescent="0.3">
      <c r="A57" s="29" t="s">
        <v>468</v>
      </c>
      <c r="B57" s="39">
        <f t="shared" si="39"/>
        <v>990</v>
      </c>
      <c r="C57" s="40" t="str">
        <f t="shared" si="40"/>
        <v>Agencia Información</v>
      </c>
      <c r="D57" s="40" t="str">
        <f t="shared" si="43"/>
        <v>Mujeres</v>
      </c>
      <c r="E57" s="27">
        <v>11</v>
      </c>
      <c r="F57" s="40" t="str">
        <f t="shared" si="44"/>
        <v>Denuncias</v>
      </c>
      <c r="G57" s="41" t="str">
        <f t="shared" si="45"/>
        <v>Violaciones</v>
      </c>
      <c r="H57" s="61" t="s">
        <v>16</v>
      </c>
      <c r="I57" s="62" t="s">
        <v>380</v>
      </c>
      <c r="J57" s="39" t="str">
        <f t="shared" si="41"/>
        <v>Comuna</v>
      </c>
      <c r="K57" s="39" t="str">
        <f t="shared" si="46"/>
        <v>Denuncias por violación</v>
      </c>
      <c r="L57" s="39" t="str">
        <f t="shared" si="47"/>
        <v>Año 2020</v>
      </c>
      <c r="M57" s="39" t="str">
        <f t="shared" si="48"/>
        <v>Número de Denuncias</v>
      </c>
      <c r="N57" s="39" t="str">
        <f t="shared" si="49"/>
        <v>Centro de Estudios y Análisis del Delito (CEAD) de la Subsecretaría de Prevención del Delito</v>
      </c>
      <c r="O57" s="28" t="str">
        <f>+"Distribución comunal de denuncias por violación en la "&amp;I57&amp;" en el "&amp;Agencia[[#This Row],[temporalidad]]</f>
        <v>Distribución comunal de denuncias por violación en la Región de Aysén en el Año 2020</v>
      </c>
      <c r="P57" s="28"/>
      <c r="Q57" s="17" t="str">
        <f t="shared" si="50"/>
        <v xml:space="preserve">Gráfico  </v>
      </c>
      <c r="R57" s="28" t="str">
        <f>Agencia[[#This Row],[territorio]]&amp;",comunas,violencia,mujer,violacion,denuncias"</f>
        <v>Región de Aysén,comunas,violencia,mujer,violacion,denuncias</v>
      </c>
      <c r="S57" s="30" t="s">
        <v>432</v>
      </c>
      <c r="T57" s="31"/>
      <c r="U57" s="36" t="str">
        <f t="shared" si="42"/>
        <v>#1774B9</v>
      </c>
      <c r="V57" s="37" t="str">
        <f>+Agencia[[#This Row],[idcoleccion]]&amp;"-"&amp;Agencia[[#This Row],[id]]</f>
        <v>990-0047</v>
      </c>
      <c r="W57" s="38">
        <f>+VLOOKUP(Agencia[[#This Row],[Filtro URL]],Estructura!$X$4:$Y$366,2,0)</f>
        <v>99200011</v>
      </c>
      <c r="X57" s="35" t="str">
        <f>+VLOOKUP(Agencia[[#This Row],[tema]],Estructura!$A$4:$C$18,3,0)</f>
        <v>T-993</v>
      </c>
      <c r="Y57" s="35" t="str">
        <f>+VLOOKUP(Agencia[[#This Row],[contenido]],Estructura!$E$4:$G$18,3,0)</f>
        <v>C-993</v>
      </c>
      <c r="Z57" s="35" t="str">
        <f>+VLOOKUP(Agencia[[#This Row],[Filtro Integrado]],Estructura!$I$4:$K$18,3,0)</f>
        <v>FI-991</v>
      </c>
      <c r="AA57" s="35" t="str">
        <f>+VLOOKUP(Agencia[[#This Row],[Muestra]],Estructura!$M$4:$O$18,3,0)</f>
        <v>M-997</v>
      </c>
    </row>
    <row r="58" spans="1:27" ht="96" x14ac:dyDescent="0.3">
      <c r="A58" s="29" t="s">
        <v>469</v>
      </c>
      <c r="B58" s="39">
        <f t="shared" si="39"/>
        <v>990</v>
      </c>
      <c r="C58" s="40" t="str">
        <f t="shared" si="40"/>
        <v>Agencia Información</v>
      </c>
      <c r="D58" s="40" t="str">
        <f t="shared" si="43"/>
        <v>Mujeres</v>
      </c>
      <c r="E58" s="27">
        <v>12</v>
      </c>
      <c r="F58" s="40" t="str">
        <f t="shared" si="44"/>
        <v>Denuncias</v>
      </c>
      <c r="G58" s="41" t="str">
        <f t="shared" si="45"/>
        <v>Violaciones</v>
      </c>
      <c r="H58" s="61" t="s">
        <v>16</v>
      </c>
      <c r="I58" s="62" t="s">
        <v>381</v>
      </c>
      <c r="J58" s="39" t="str">
        <f t="shared" si="41"/>
        <v>Comuna</v>
      </c>
      <c r="K58" s="39" t="str">
        <f t="shared" si="46"/>
        <v>Denuncias por violación</v>
      </c>
      <c r="L58" s="39" t="str">
        <f t="shared" si="47"/>
        <v>Año 2020</v>
      </c>
      <c r="M58" s="39" t="str">
        <f t="shared" si="48"/>
        <v>Número de Denuncias</v>
      </c>
      <c r="N58" s="39" t="str">
        <f t="shared" si="49"/>
        <v>Centro de Estudios y Análisis del Delito (CEAD) de la Subsecretaría de Prevención del Delito</v>
      </c>
      <c r="O58" s="28" t="str">
        <f>+"Distribución comunal de denuncias por violación en la "&amp;I58&amp;" en el "&amp;Agencia[[#This Row],[temporalidad]]</f>
        <v>Distribución comunal de denuncias por violación en la Región de Magallanes en el Año 2020</v>
      </c>
      <c r="P58" s="42"/>
      <c r="Q58" s="43" t="str">
        <f t="shared" si="50"/>
        <v xml:space="preserve">Gráfico  </v>
      </c>
      <c r="R58" s="28" t="str">
        <f>Agencia[[#This Row],[territorio]]&amp;",comunas,violencia,mujer,violacion,denuncias"</f>
        <v>Región de Magallanes,comunas,violencia,mujer,violacion,denuncias</v>
      </c>
      <c r="S58" s="30" t="s">
        <v>432</v>
      </c>
      <c r="T58" s="44"/>
      <c r="U58" s="45" t="str">
        <f t="shared" si="42"/>
        <v>#1774B9</v>
      </c>
      <c r="V58" s="46" t="str">
        <f>+Agencia[[#This Row],[idcoleccion]]&amp;"-"&amp;Agencia[[#This Row],[id]]</f>
        <v>990-0048</v>
      </c>
      <c r="W58" s="38">
        <f>+VLOOKUP(Agencia[[#This Row],[Filtro URL]],Estructura!$X$4:$Y$366,2,0)</f>
        <v>99200012</v>
      </c>
      <c r="X58" s="47" t="str">
        <f>+VLOOKUP(Agencia[[#This Row],[tema]],Estructura!$A$4:$C$18,3,0)</f>
        <v>T-993</v>
      </c>
      <c r="Y58" s="47" t="str">
        <f>+VLOOKUP(Agencia[[#This Row],[contenido]],Estructura!$E$4:$G$18,3,0)</f>
        <v>C-993</v>
      </c>
      <c r="Z58" s="47" t="str">
        <f>+VLOOKUP(Agencia[[#This Row],[Filtro Integrado]],Estructura!$I$4:$K$18,3,0)</f>
        <v>FI-991</v>
      </c>
      <c r="AA58" s="47" t="str">
        <f>+VLOOKUP(Agencia[[#This Row],[Muestra]],Estructura!$M$4:$O$18,3,0)</f>
        <v>M-997</v>
      </c>
    </row>
    <row r="59" spans="1:27" ht="96" x14ac:dyDescent="0.3">
      <c r="A59" s="29" t="s">
        <v>477</v>
      </c>
      <c r="B59" s="39">
        <f t="shared" ref="B59:B63" si="51">+B58</f>
        <v>990</v>
      </c>
      <c r="C59" s="40" t="str">
        <f t="shared" ref="C59:C63" si="52">+C58</f>
        <v>Agencia Información</v>
      </c>
      <c r="D59" s="40" t="str">
        <f t="shared" ref="D59:D62" si="53">+D58</f>
        <v>Mujeres</v>
      </c>
      <c r="E59" s="27">
        <v>13</v>
      </c>
      <c r="F59" s="40" t="str">
        <f t="shared" ref="F59:F62" si="54">+F58</f>
        <v>Denuncias</v>
      </c>
      <c r="G59" s="41" t="str">
        <f t="shared" ref="G59:G62" si="55">+G58</f>
        <v>Violaciones</v>
      </c>
      <c r="H59" s="61" t="s">
        <v>16</v>
      </c>
      <c r="I59" s="62" t="s">
        <v>382</v>
      </c>
      <c r="J59" s="39" t="str">
        <f t="shared" ref="J59:J62" si="56">+J58</f>
        <v>Comuna</v>
      </c>
      <c r="K59" s="39" t="str">
        <f t="shared" ref="K59:K62" si="57">+K58</f>
        <v>Denuncias por violación</v>
      </c>
      <c r="L59" s="39" t="str">
        <f t="shared" ref="L59:L62" si="58">+L58</f>
        <v>Año 2020</v>
      </c>
      <c r="M59" s="39" t="str">
        <f t="shared" ref="M59:M62" si="59">+M58</f>
        <v>Número de Denuncias</v>
      </c>
      <c r="N59" s="39" t="str">
        <f t="shared" ref="N59:N62" si="60">+N58</f>
        <v>Centro de Estudios y Análisis del Delito (CEAD) de la Subsecretaría de Prevención del Delito</v>
      </c>
      <c r="O59" s="28" t="str">
        <f>+"Distribución comunal de denuncias por violación en la "&amp;I59&amp;" en el "&amp;Agencia[[#This Row],[temporalidad]]</f>
        <v>Distribución comunal de denuncias por violación en la Región Metropolitana en el Año 2020</v>
      </c>
      <c r="P59" s="28" t="s">
        <v>476</v>
      </c>
      <c r="Q59" s="17" t="str">
        <f t="shared" ref="Q59:Q62" si="61">+Q58</f>
        <v xml:space="preserve">Gráfico  </v>
      </c>
      <c r="R59" s="28" t="str">
        <f>Agencia[[#This Row],[territorio]]&amp;",comunas,violencia,mujer,violacion,denuncias"</f>
        <v>Región Metropolitana,comunas,violencia,mujer,violacion,denuncias</v>
      </c>
      <c r="S59" s="58" t="s">
        <v>504</v>
      </c>
      <c r="T59" s="31"/>
      <c r="U59" s="36" t="str">
        <f t="shared" ref="U59:U62" si="62">+U58</f>
        <v>#1774B9</v>
      </c>
      <c r="V59" s="37" t="str">
        <f>+Agencia[[#This Row],[idcoleccion]]&amp;"-"&amp;Agencia[[#This Row],[id]]</f>
        <v>990-0049</v>
      </c>
      <c r="W59" s="38">
        <f>+VLOOKUP(Agencia[[#This Row],[Filtro URL]],Estructura!$X$4:$Y$366,2,0)</f>
        <v>99200013</v>
      </c>
      <c r="X59" s="35" t="str">
        <f>+VLOOKUP(Agencia[[#This Row],[tema]],Estructura!$A$4:$C$18,3,0)</f>
        <v>T-993</v>
      </c>
      <c r="Y59" s="35" t="str">
        <f>+VLOOKUP(Agencia[[#This Row],[contenido]],Estructura!$E$4:$G$18,3,0)</f>
        <v>C-993</v>
      </c>
      <c r="Z59" s="35" t="str">
        <f>+VLOOKUP(Agencia[[#This Row],[Filtro Integrado]],Estructura!$I$4:$K$18,3,0)</f>
        <v>FI-991</v>
      </c>
      <c r="AA59" s="35" t="str">
        <f>+VLOOKUP(Agencia[[#This Row],[Muestra]],Estructura!$M$4:$O$18,3,0)</f>
        <v>M-997</v>
      </c>
    </row>
    <row r="60" spans="1:27" ht="96" x14ac:dyDescent="0.3">
      <c r="A60" s="29" t="s">
        <v>478</v>
      </c>
      <c r="B60" s="39">
        <f t="shared" si="51"/>
        <v>990</v>
      </c>
      <c r="C60" s="40" t="str">
        <f t="shared" si="52"/>
        <v>Agencia Información</v>
      </c>
      <c r="D60" s="40" t="str">
        <f t="shared" si="53"/>
        <v>Mujeres</v>
      </c>
      <c r="E60" s="27">
        <v>14</v>
      </c>
      <c r="F60" s="40" t="str">
        <f t="shared" si="54"/>
        <v>Denuncias</v>
      </c>
      <c r="G60" s="41" t="str">
        <f t="shared" si="55"/>
        <v>Violaciones</v>
      </c>
      <c r="H60" s="61" t="s">
        <v>16</v>
      </c>
      <c r="I60" s="62" t="s">
        <v>383</v>
      </c>
      <c r="J60" s="39" t="str">
        <f t="shared" si="56"/>
        <v>Comuna</v>
      </c>
      <c r="K60" s="39" t="str">
        <f t="shared" si="57"/>
        <v>Denuncias por violación</v>
      </c>
      <c r="L60" s="39" t="str">
        <f t="shared" si="58"/>
        <v>Año 2020</v>
      </c>
      <c r="M60" s="39" t="str">
        <f t="shared" si="59"/>
        <v>Número de Denuncias</v>
      </c>
      <c r="N60" s="39" t="str">
        <f t="shared" si="60"/>
        <v>Centro de Estudios y Análisis del Delito (CEAD) de la Subsecretaría de Prevención del Delito</v>
      </c>
      <c r="O60" s="28" t="str">
        <f>+"Distribución comunal de denuncias por violación en la "&amp;I60&amp;" en el "&amp;Agencia[[#This Row],[temporalidad]]</f>
        <v>Distribución comunal de denuncias por violación en la Región de Los Ríos en el Año 2020</v>
      </c>
      <c r="P60" s="28"/>
      <c r="Q60" s="17" t="str">
        <f t="shared" si="61"/>
        <v xml:space="preserve">Gráfico  </v>
      </c>
      <c r="R60" s="28" t="str">
        <f>Agencia[[#This Row],[territorio]]&amp;",comunas,violencia,mujer,violacion,denuncias"</f>
        <v>Región de Los Ríos,comunas,violencia,mujer,violacion,denuncias</v>
      </c>
      <c r="S60" s="30" t="s">
        <v>432</v>
      </c>
      <c r="T60" s="31"/>
      <c r="U60" s="36" t="str">
        <f t="shared" si="62"/>
        <v>#1774B9</v>
      </c>
      <c r="V60" s="37" t="str">
        <f>+Agencia[[#This Row],[idcoleccion]]&amp;"-"&amp;Agencia[[#This Row],[id]]</f>
        <v>990-0050</v>
      </c>
      <c r="W60" s="38">
        <f>+VLOOKUP(Agencia[[#This Row],[Filtro URL]],Estructura!$X$4:$Y$366,2,0)</f>
        <v>99200014</v>
      </c>
      <c r="X60" s="35" t="str">
        <f>+VLOOKUP(Agencia[[#This Row],[tema]],Estructura!$A$4:$C$18,3,0)</f>
        <v>T-993</v>
      </c>
      <c r="Y60" s="35" t="str">
        <f>+VLOOKUP(Agencia[[#This Row],[contenido]],Estructura!$E$4:$G$18,3,0)</f>
        <v>C-993</v>
      </c>
      <c r="Z60" s="35" t="str">
        <f>+VLOOKUP(Agencia[[#This Row],[Filtro Integrado]],Estructura!$I$4:$K$18,3,0)</f>
        <v>FI-991</v>
      </c>
      <c r="AA60" s="35" t="str">
        <f>+VLOOKUP(Agencia[[#This Row],[Muestra]],Estructura!$M$4:$O$18,3,0)</f>
        <v>M-997</v>
      </c>
    </row>
    <row r="61" spans="1:27" ht="96" x14ac:dyDescent="0.3">
      <c r="A61" s="29" t="s">
        <v>479</v>
      </c>
      <c r="B61" s="39">
        <f t="shared" si="51"/>
        <v>990</v>
      </c>
      <c r="C61" s="40" t="str">
        <f t="shared" si="52"/>
        <v>Agencia Información</v>
      </c>
      <c r="D61" s="40" t="str">
        <f t="shared" si="53"/>
        <v>Mujeres</v>
      </c>
      <c r="E61" s="27">
        <v>15</v>
      </c>
      <c r="F61" s="40" t="str">
        <f t="shared" si="54"/>
        <v>Denuncias</v>
      </c>
      <c r="G61" s="41" t="str">
        <f t="shared" si="55"/>
        <v>Violaciones</v>
      </c>
      <c r="H61" s="61" t="s">
        <v>16</v>
      </c>
      <c r="I61" s="62" t="s">
        <v>384</v>
      </c>
      <c r="J61" s="39" t="str">
        <f t="shared" si="56"/>
        <v>Comuna</v>
      </c>
      <c r="K61" s="39" t="str">
        <f t="shared" si="57"/>
        <v>Denuncias por violación</v>
      </c>
      <c r="L61" s="39" t="str">
        <f t="shared" si="58"/>
        <v>Año 2020</v>
      </c>
      <c r="M61" s="39" t="str">
        <f t="shared" si="59"/>
        <v>Número de Denuncias</v>
      </c>
      <c r="N61" s="39" t="str">
        <f t="shared" si="60"/>
        <v>Centro de Estudios y Análisis del Delito (CEAD) de la Subsecretaría de Prevención del Delito</v>
      </c>
      <c r="O61" s="28" t="str">
        <f>+"Distribución comunal de denuncias por violación en la "&amp;I61&amp;" en el "&amp;Agencia[[#This Row],[temporalidad]]</f>
        <v>Distribución comunal de denuncias por violación en la Región de Arica y Parinacota en el Año 2020</v>
      </c>
      <c r="P61" s="28"/>
      <c r="Q61" s="17" t="str">
        <f t="shared" si="61"/>
        <v xml:space="preserve">Gráfico  </v>
      </c>
      <c r="R61" s="28" t="str">
        <f>Agencia[[#This Row],[territorio]]&amp;",comunas,violencia,mujer,violacion,denuncias"</f>
        <v>Región de Arica y Parinacota,comunas,violencia,mujer,violacion,denuncias</v>
      </c>
      <c r="S61" s="30" t="s">
        <v>432</v>
      </c>
      <c r="T61" s="31"/>
      <c r="U61" s="36" t="str">
        <f t="shared" si="62"/>
        <v>#1774B9</v>
      </c>
      <c r="V61" s="37" t="str">
        <f>+Agencia[[#This Row],[idcoleccion]]&amp;"-"&amp;Agencia[[#This Row],[id]]</f>
        <v>990-0051</v>
      </c>
      <c r="W61" s="38">
        <f>+VLOOKUP(Agencia[[#This Row],[Filtro URL]],Estructura!$X$4:$Y$366,2,0)</f>
        <v>99200015</v>
      </c>
      <c r="X61" s="35" t="str">
        <f>+VLOOKUP(Agencia[[#This Row],[tema]],Estructura!$A$4:$C$18,3,0)</f>
        <v>T-993</v>
      </c>
      <c r="Y61" s="35" t="str">
        <f>+VLOOKUP(Agencia[[#This Row],[contenido]],Estructura!$E$4:$G$18,3,0)</f>
        <v>C-993</v>
      </c>
      <c r="Z61" s="35" t="str">
        <f>+VLOOKUP(Agencia[[#This Row],[Filtro Integrado]],Estructura!$I$4:$K$18,3,0)</f>
        <v>FI-991</v>
      </c>
      <c r="AA61" s="35" t="str">
        <f>+VLOOKUP(Agencia[[#This Row],[Muestra]],Estructura!$M$4:$O$18,3,0)</f>
        <v>M-997</v>
      </c>
    </row>
    <row r="62" spans="1:27" ht="96" x14ac:dyDescent="0.3">
      <c r="A62" s="29" t="s">
        <v>480</v>
      </c>
      <c r="B62" s="39">
        <f t="shared" si="51"/>
        <v>990</v>
      </c>
      <c r="C62" s="40" t="str">
        <f t="shared" si="52"/>
        <v>Agencia Información</v>
      </c>
      <c r="D62" s="40" t="str">
        <f t="shared" si="53"/>
        <v>Mujeres</v>
      </c>
      <c r="E62" s="27">
        <v>16</v>
      </c>
      <c r="F62" s="40" t="str">
        <f t="shared" si="54"/>
        <v>Denuncias</v>
      </c>
      <c r="G62" s="41" t="str">
        <f t="shared" si="55"/>
        <v>Violaciones</v>
      </c>
      <c r="H62" s="61" t="s">
        <v>16</v>
      </c>
      <c r="I62" s="62" t="s">
        <v>385</v>
      </c>
      <c r="J62" s="39" t="str">
        <f t="shared" si="56"/>
        <v>Comuna</v>
      </c>
      <c r="K62" s="39" t="str">
        <f t="shared" si="57"/>
        <v>Denuncias por violación</v>
      </c>
      <c r="L62" s="39" t="str">
        <f t="shared" si="58"/>
        <v>Año 2020</v>
      </c>
      <c r="M62" s="39" t="str">
        <f t="shared" si="59"/>
        <v>Número de Denuncias</v>
      </c>
      <c r="N62" s="39" t="str">
        <f t="shared" si="60"/>
        <v>Centro de Estudios y Análisis del Delito (CEAD) de la Subsecretaría de Prevención del Delito</v>
      </c>
      <c r="O62" s="28" t="str">
        <f>+"Distribución comunal de denuncias por violación en la "&amp;I62&amp;" en el "&amp;Agencia[[#This Row],[temporalidad]]</f>
        <v>Distribución comunal de denuncias por violación en la Región de Ñuble en el Año 2020</v>
      </c>
      <c r="P62" s="28"/>
      <c r="Q62" s="17" t="str">
        <f t="shared" si="61"/>
        <v xml:space="preserve">Gráfico  </v>
      </c>
      <c r="R62" s="28" t="str">
        <f>Agencia[[#This Row],[territorio]]&amp;",comunas,violencia,mujer,violacion,denuncias"</f>
        <v>Región de Ñuble,comunas,violencia,mujer,violacion,denuncias</v>
      </c>
      <c r="S62" s="30" t="s">
        <v>432</v>
      </c>
      <c r="T62" s="31"/>
      <c r="U62" s="36" t="str">
        <f t="shared" si="62"/>
        <v>#1774B9</v>
      </c>
      <c r="V62" s="37" t="str">
        <f>+Agencia[[#This Row],[idcoleccion]]&amp;"-"&amp;Agencia[[#This Row],[id]]</f>
        <v>990-0052</v>
      </c>
      <c r="W62" s="38">
        <f>+VLOOKUP(Agencia[[#This Row],[Filtro URL]],Estructura!$X$4:$Y$366,2,0)</f>
        <v>99200016</v>
      </c>
      <c r="X62" s="35" t="str">
        <f>+VLOOKUP(Agencia[[#This Row],[tema]],Estructura!$A$4:$C$18,3,0)</f>
        <v>T-993</v>
      </c>
      <c r="Y62" s="35" t="str">
        <f>+VLOOKUP(Agencia[[#This Row],[contenido]],Estructura!$E$4:$G$18,3,0)</f>
        <v>C-993</v>
      </c>
      <c r="Z62" s="35" t="str">
        <f>+VLOOKUP(Agencia[[#This Row],[Filtro Integrado]],Estructura!$I$4:$K$18,3,0)</f>
        <v>FI-991</v>
      </c>
      <c r="AA62" s="35" t="str">
        <f>+VLOOKUP(Agencia[[#This Row],[Muestra]],Estructura!$M$4:$O$18,3,0)</f>
        <v>M-997</v>
      </c>
    </row>
    <row r="63" spans="1:27" ht="51" x14ac:dyDescent="0.3">
      <c r="A63" s="26" t="s">
        <v>481</v>
      </c>
      <c r="B63" s="39">
        <f t="shared" si="51"/>
        <v>990</v>
      </c>
      <c r="C63" s="40" t="str">
        <f t="shared" si="52"/>
        <v>Agencia Información</v>
      </c>
      <c r="D63" s="40" t="s">
        <v>412</v>
      </c>
      <c r="E63" s="21">
        <v>0</v>
      </c>
      <c r="F63" s="40" t="s">
        <v>505</v>
      </c>
      <c r="G63" s="41" t="s">
        <v>407</v>
      </c>
      <c r="H63" s="59" t="s">
        <v>20</v>
      </c>
      <c r="I63" s="60" t="s">
        <v>15</v>
      </c>
      <c r="J63" s="14" t="s">
        <v>18</v>
      </c>
      <c r="K63" s="14" t="s">
        <v>431</v>
      </c>
      <c r="L63" s="56" t="s">
        <v>508</v>
      </c>
      <c r="M63" s="14" t="s">
        <v>653</v>
      </c>
      <c r="N63" s="14" t="s">
        <v>507</v>
      </c>
      <c r="O63" s="57" t="str">
        <f>+"Ingresos promedios mensuales en "&amp;I63&amp;" en el "&amp;Agencia[[#This Row],[temporalidad]]</f>
        <v>Ingresos promedios mensuales en Chile en el POR DEFINIR</v>
      </c>
      <c r="P63" s="28" t="s">
        <v>509</v>
      </c>
      <c r="Q63" s="17" t="str">
        <f>+Q62</f>
        <v xml:space="preserve">Gráfico  </v>
      </c>
      <c r="R63" s="57" t="str">
        <f>Agencia[[#This Row],[territorio]]&amp;",CASEN,ingresos,promedio,etnia,comuna"</f>
        <v>Chile,CASEN,ingresos,promedio,etnia,comuna</v>
      </c>
      <c r="S63" s="48" t="s">
        <v>510</v>
      </c>
      <c r="T63" s="31"/>
      <c r="U63" s="36" t="str">
        <f>+U62</f>
        <v>#1774B9</v>
      </c>
      <c r="V63" s="37" t="str">
        <f>+Agencia[[#This Row],[idcoleccion]]&amp;"-"&amp;Agencia[[#This Row],[id]]</f>
        <v>990-0053</v>
      </c>
      <c r="W63" s="38">
        <f>+VLOOKUP(Agencia[[#This Row],[Filtro URL]],Estructura!$X$4:$Y$366,2,0)</f>
        <v>99100000</v>
      </c>
      <c r="X63" s="35" t="str">
        <f>+VLOOKUP(Agencia[[#This Row],[tema]],Estructura!$A$4:$C$18,3,0)</f>
        <v>T-994</v>
      </c>
      <c r="Y63" s="35" t="str">
        <f>+VLOOKUP(Agencia[[#This Row],[contenido]],Estructura!$E$4:$G$18,3,0)</f>
        <v>C-991</v>
      </c>
      <c r="Z63" s="35" t="str">
        <f>+VLOOKUP(Agencia[[#This Row],[Filtro Integrado]],Estructura!$I$4:$K$18,3,0)</f>
        <v>FI-991</v>
      </c>
      <c r="AA63" s="35" t="str">
        <f>+VLOOKUP(Agencia[[#This Row],[Muestra]],Estructura!$M$4:$O$18,3,0)</f>
        <v>M-993</v>
      </c>
    </row>
    <row r="64" spans="1:27" ht="30.6" x14ac:dyDescent="0.3">
      <c r="A64" s="29" t="s">
        <v>482</v>
      </c>
      <c r="B64" s="39">
        <f t="shared" ref="B64:C114" si="63">+B63</f>
        <v>990</v>
      </c>
      <c r="C64" s="40" t="str">
        <f t="shared" ref="C64:D113" si="64">+C63</f>
        <v>Agencia Información</v>
      </c>
      <c r="D64" s="40" t="str">
        <f t="shared" ref="D64:D96" si="65">+D63</f>
        <v>Socioeconómico</v>
      </c>
      <c r="E64" s="27">
        <v>1</v>
      </c>
      <c r="F64" s="40" t="str">
        <f t="shared" ref="F64:F96" si="66">+F63</f>
        <v>Ingresos promedio</v>
      </c>
      <c r="G64" s="41" t="str">
        <f t="shared" ref="G64:G96" si="67">+G63</f>
        <v>Ingresos</v>
      </c>
      <c r="H64" s="61" t="s">
        <v>16</v>
      </c>
      <c r="I64" s="62" t="s">
        <v>370</v>
      </c>
      <c r="J64" s="14" t="str">
        <f>+J63</f>
        <v>Comuna</v>
      </c>
      <c r="K64" s="14" t="str">
        <f>+K63</f>
        <v>Ingresos Promedio Mensual (CLP/mes)</v>
      </c>
      <c r="L64" s="56" t="str">
        <f>+L63</f>
        <v>POR DEFINIR</v>
      </c>
      <c r="M64" s="14" t="str">
        <f>+M63</f>
        <v>CLP/mes</v>
      </c>
      <c r="N64" s="14" t="str">
        <f>+N63</f>
        <v>CASEN 2017</v>
      </c>
      <c r="O64" s="57" t="str">
        <f>+"Ingresos promedios mensuales en "&amp;I64&amp;" en el "&amp;Agencia[[#This Row],[temporalidad]]</f>
        <v>Ingresos promedios mensuales en Región de Tarapacá en el POR DEFINIR</v>
      </c>
      <c r="P64" s="28"/>
      <c r="Q64" s="17" t="str">
        <f t="shared" ref="Q64:Q81" si="68">+Q63</f>
        <v xml:space="preserve">Gráfico  </v>
      </c>
      <c r="R64" s="57" t="str">
        <f>Agencia[[#This Row],[territorio]]&amp;",CASEN,ingresos,promedio,etnia,comuna"</f>
        <v>Región de Tarapacá,CASEN,ingresos,promedio,etnia,comuna</v>
      </c>
      <c r="S64" s="30" t="s">
        <v>432</v>
      </c>
      <c r="T64" s="31"/>
      <c r="U64" s="36" t="str">
        <f t="shared" ref="U64:U81" si="69">+U63</f>
        <v>#1774B9</v>
      </c>
      <c r="V64" s="37" t="str">
        <f>+Agencia[[#This Row],[idcoleccion]]&amp;"-"&amp;Agencia[[#This Row],[id]]</f>
        <v>990-0054</v>
      </c>
      <c r="W64" s="38">
        <f>+VLOOKUP(Agencia[[#This Row],[Filtro URL]],Estructura!$X$4:$Y$366,2,0)</f>
        <v>99200001</v>
      </c>
      <c r="X64" s="35" t="str">
        <f>+VLOOKUP(Agencia[[#This Row],[tema]],Estructura!$A$4:$C$18,3,0)</f>
        <v>T-994</v>
      </c>
      <c r="Y64" s="35" t="str">
        <f>+VLOOKUP(Agencia[[#This Row],[contenido]],Estructura!$E$4:$G$18,3,0)</f>
        <v>C-991</v>
      </c>
      <c r="Z64" s="35" t="str">
        <f>+VLOOKUP(Agencia[[#This Row],[Filtro Integrado]],Estructura!$I$4:$K$18,3,0)</f>
        <v>FI-991</v>
      </c>
      <c r="AA64" s="35" t="str">
        <f>+VLOOKUP(Agencia[[#This Row],[Muestra]],Estructura!$M$4:$O$18,3,0)</f>
        <v>M-993</v>
      </c>
    </row>
    <row r="65" spans="1:27" ht="30.6" x14ac:dyDescent="0.3">
      <c r="A65" s="29" t="s">
        <v>483</v>
      </c>
      <c r="B65" s="39">
        <f t="shared" si="63"/>
        <v>990</v>
      </c>
      <c r="C65" s="40" t="str">
        <f t="shared" si="64"/>
        <v>Agencia Información</v>
      </c>
      <c r="D65" s="40" t="str">
        <f t="shared" si="65"/>
        <v>Socioeconómico</v>
      </c>
      <c r="E65" s="27">
        <v>2</v>
      </c>
      <c r="F65" s="40" t="str">
        <f t="shared" si="66"/>
        <v>Ingresos promedio</v>
      </c>
      <c r="G65" s="41" t="str">
        <f t="shared" si="67"/>
        <v>Ingresos</v>
      </c>
      <c r="H65" s="61" t="s">
        <v>16</v>
      </c>
      <c r="I65" s="62" t="s">
        <v>371</v>
      </c>
      <c r="J65" s="14" t="str">
        <f t="shared" ref="J65:J81" si="70">+J64</f>
        <v>Comuna</v>
      </c>
      <c r="K65" s="14" t="str">
        <f t="shared" ref="K65:K81" si="71">+K64</f>
        <v>Ingresos Promedio Mensual (CLP/mes)</v>
      </c>
      <c r="L65" s="56" t="str">
        <f t="shared" ref="L65:L81" si="72">+L64</f>
        <v>POR DEFINIR</v>
      </c>
      <c r="M65" s="14" t="str">
        <f t="shared" ref="M65:M81" si="73">+M64</f>
        <v>CLP/mes</v>
      </c>
      <c r="N65" s="14" t="str">
        <f t="shared" ref="N65:N81" si="74">+N64</f>
        <v>CASEN 2017</v>
      </c>
      <c r="O65" s="57" t="str">
        <f>+"Ingresos promedios mensuales en "&amp;I65&amp;" en el "&amp;Agencia[[#This Row],[temporalidad]]</f>
        <v>Ingresos promedios mensuales en Región de Antofagasta en el POR DEFINIR</v>
      </c>
      <c r="P65" s="28"/>
      <c r="Q65" s="17" t="str">
        <f t="shared" si="68"/>
        <v xml:space="preserve">Gráfico  </v>
      </c>
      <c r="R65" s="57" t="str">
        <f>Agencia[[#This Row],[territorio]]&amp;",CASEN,ingresos,promedio,etnia,comuna"</f>
        <v>Región de Antofagasta,CASEN,ingresos,promedio,etnia,comuna</v>
      </c>
      <c r="S65" s="30" t="s">
        <v>432</v>
      </c>
      <c r="T65" s="31"/>
      <c r="U65" s="36" t="str">
        <f t="shared" si="69"/>
        <v>#1774B9</v>
      </c>
      <c r="V65" s="37" t="str">
        <f>+Agencia[[#This Row],[idcoleccion]]&amp;"-"&amp;Agencia[[#This Row],[id]]</f>
        <v>990-0055</v>
      </c>
      <c r="W65" s="38">
        <f>+VLOOKUP(Agencia[[#This Row],[Filtro URL]],Estructura!$X$4:$Y$366,2,0)</f>
        <v>99200002</v>
      </c>
      <c r="X65" s="35" t="str">
        <f>+VLOOKUP(Agencia[[#This Row],[tema]],Estructura!$A$4:$C$18,3,0)</f>
        <v>T-994</v>
      </c>
      <c r="Y65" s="35" t="str">
        <f>+VLOOKUP(Agencia[[#This Row],[contenido]],Estructura!$E$4:$G$18,3,0)</f>
        <v>C-991</v>
      </c>
      <c r="Z65" s="35" t="str">
        <f>+VLOOKUP(Agencia[[#This Row],[Filtro Integrado]],Estructura!$I$4:$K$18,3,0)</f>
        <v>FI-991</v>
      </c>
      <c r="AA65" s="35" t="str">
        <f>+VLOOKUP(Agencia[[#This Row],[Muestra]],Estructura!$M$4:$O$18,3,0)</f>
        <v>M-993</v>
      </c>
    </row>
    <row r="66" spans="1:27" ht="24" x14ac:dyDescent="0.3">
      <c r="A66" s="29" t="s">
        <v>484</v>
      </c>
      <c r="B66" s="39">
        <f t="shared" si="63"/>
        <v>990</v>
      </c>
      <c r="C66" s="40" t="str">
        <f t="shared" si="64"/>
        <v>Agencia Información</v>
      </c>
      <c r="D66" s="40" t="str">
        <f t="shared" si="65"/>
        <v>Socioeconómico</v>
      </c>
      <c r="E66" s="27">
        <v>3</v>
      </c>
      <c r="F66" s="40" t="str">
        <f t="shared" si="66"/>
        <v>Ingresos promedio</v>
      </c>
      <c r="G66" s="41" t="str">
        <f t="shared" si="67"/>
        <v>Ingresos</v>
      </c>
      <c r="H66" s="61" t="s">
        <v>16</v>
      </c>
      <c r="I66" s="62" t="s">
        <v>372</v>
      </c>
      <c r="J66" s="14" t="str">
        <f t="shared" si="70"/>
        <v>Comuna</v>
      </c>
      <c r="K66" s="14" t="str">
        <f t="shared" si="71"/>
        <v>Ingresos Promedio Mensual (CLP/mes)</v>
      </c>
      <c r="L66" s="56" t="str">
        <f t="shared" si="72"/>
        <v>POR DEFINIR</v>
      </c>
      <c r="M66" s="14" t="str">
        <f t="shared" si="73"/>
        <v>CLP/mes</v>
      </c>
      <c r="N66" s="14" t="str">
        <f t="shared" si="74"/>
        <v>CASEN 2017</v>
      </c>
      <c r="O66" s="57" t="str">
        <f>+"Ingresos promedios mensuales en "&amp;I66&amp;" en el "&amp;Agencia[[#This Row],[temporalidad]]</f>
        <v>Ingresos promedios mensuales en Región de Atacama en el POR DEFINIR</v>
      </c>
      <c r="P66" s="28"/>
      <c r="Q66" s="17" t="str">
        <f t="shared" si="68"/>
        <v xml:space="preserve">Gráfico  </v>
      </c>
      <c r="R66" s="57" t="str">
        <f>Agencia[[#This Row],[territorio]]&amp;",CASEN,ingresos,promedio,etnia,comuna"</f>
        <v>Región de Atacama,CASEN,ingresos,promedio,etnia,comuna</v>
      </c>
      <c r="S66" s="30" t="s">
        <v>432</v>
      </c>
      <c r="T66" s="31"/>
      <c r="U66" s="36" t="str">
        <f t="shared" si="69"/>
        <v>#1774B9</v>
      </c>
      <c r="V66" s="37" t="str">
        <f>+Agencia[[#This Row],[idcoleccion]]&amp;"-"&amp;Agencia[[#This Row],[id]]</f>
        <v>990-0056</v>
      </c>
      <c r="W66" s="38">
        <f>+VLOOKUP(Agencia[[#This Row],[Filtro URL]],Estructura!$X$4:$Y$366,2,0)</f>
        <v>99200003</v>
      </c>
      <c r="X66" s="35" t="str">
        <f>+VLOOKUP(Agencia[[#This Row],[tema]],Estructura!$A$4:$C$18,3,0)</f>
        <v>T-994</v>
      </c>
      <c r="Y66" s="35" t="str">
        <f>+VLOOKUP(Agencia[[#This Row],[contenido]],Estructura!$E$4:$G$18,3,0)</f>
        <v>C-991</v>
      </c>
      <c r="Z66" s="35" t="str">
        <f>+VLOOKUP(Agencia[[#This Row],[Filtro Integrado]],Estructura!$I$4:$K$18,3,0)</f>
        <v>FI-991</v>
      </c>
      <c r="AA66" s="35" t="str">
        <f>+VLOOKUP(Agencia[[#This Row],[Muestra]],Estructura!$M$4:$O$18,3,0)</f>
        <v>M-993</v>
      </c>
    </row>
    <row r="67" spans="1:27" ht="30.6" x14ac:dyDescent="0.3">
      <c r="A67" s="29" t="s">
        <v>485</v>
      </c>
      <c r="B67" s="39">
        <f t="shared" si="63"/>
        <v>990</v>
      </c>
      <c r="C67" s="40" t="str">
        <f t="shared" si="64"/>
        <v>Agencia Información</v>
      </c>
      <c r="D67" s="40" t="str">
        <f t="shared" si="65"/>
        <v>Socioeconómico</v>
      </c>
      <c r="E67" s="27">
        <v>4</v>
      </c>
      <c r="F67" s="40" t="str">
        <f t="shared" si="66"/>
        <v>Ingresos promedio</v>
      </c>
      <c r="G67" s="41" t="str">
        <f t="shared" si="67"/>
        <v>Ingresos</v>
      </c>
      <c r="H67" s="61" t="s">
        <v>16</v>
      </c>
      <c r="I67" s="62" t="s">
        <v>373</v>
      </c>
      <c r="J67" s="14" t="str">
        <f t="shared" si="70"/>
        <v>Comuna</v>
      </c>
      <c r="K67" s="14" t="str">
        <f t="shared" si="71"/>
        <v>Ingresos Promedio Mensual (CLP/mes)</v>
      </c>
      <c r="L67" s="56" t="str">
        <f t="shared" si="72"/>
        <v>POR DEFINIR</v>
      </c>
      <c r="M67" s="14" t="str">
        <f t="shared" si="73"/>
        <v>CLP/mes</v>
      </c>
      <c r="N67" s="14" t="str">
        <f t="shared" si="74"/>
        <v>CASEN 2017</v>
      </c>
      <c r="O67" s="57" t="str">
        <f>+"Ingresos promedios mensuales en "&amp;I67&amp;" en el "&amp;Agencia[[#This Row],[temporalidad]]</f>
        <v>Ingresos promedios mensuales en Región de Coquimbo en el POR DEFINIR</v>
      </c>
      <c r="P67" s="28"/>
      <c r="Q67" s="17" t="str">
        <f t="shared" si="68"/>
        <v xml:space="preserve">Gráfico  </v>
      </c>
      <c r="R67" s="57" t="str">
        <f>Agencia[[#This Row],[territorio]]&amp;",CASEN,ingresos,promedio,etnia,comuna"</f>
        <v>Región de Coquimbo,CASEN,ingresos,promedio,etnia,comuna</v>
      </c>
      <c r="S67" s="30" t="s">
        <v>432</v>
      </c>
      <c r="T67" s="31"/>
      <c r="U67" s="36" t="str">
        <f t="shared" si="69"/>
        <v>#1774B9</v>
      </c>
      <c r="V67" s="37" t="str">
        <f>+Agencia[[#This Row],[idcoleccion]]&amp;"-"&amp;Agencia[[#This Row],[id]]</f>
        <v>990-0057</v>
      </c>
      <c r="W67" s="38">
        <f>+VLOOKUP(Agencia[[#This Row],[Filtro URL]],Estructura!$X$4:$Y$366,2,0)</f>
        <v>99200004</v>
      </c>
      <c r="X67" s="35" t="str">
        <f>+VLOOKUP(Agencia[[#This Row],[tema]],Estructura!$A$4:$C$18,3,0)</f>
        <v>T-994</v>
      </c>
      <c r="Y67" s="35" t="str">
        <f>+VLOOKUP(Agencia[[#This Row],[contenido]],Estructura!$E$4:$G$18,3,0)</f>
        <v>C-991</v>
      </c>
      <c r="Z67" s="35" t="str">
        <f>+VLOOKUP(Agencia[[#This Row],[Filtro Integrado]],Estructura!$I$4:$K$18,3,0)</f>
        <v>FI-991</v>
      </c>
      <c r="AA67" s="35" t="str">
        <f>+VLOOKUP(Agencia[[#This Row],[Muestra]],Estructura!$M$4:$O$18,3,0)</f>
        <v>M-993</v>
      </c>
    </row>
    <row r="68" spans="1:27" ht="30.6" x14ac:dyDescent="0.3">
      <c r="A68" s="29" t="s">
        <v>486</v>
      </c>
      <c r="B68" s="39">
        <f t="shared" si="63"/>
        <v>990</v>
      </c>
      <c r="C68" s="40" t="str">
        <f t="shared" si="64"/>
        <v>Agencia Información</v>
      </c>
      <c r="D68" s="40" t="str">
        <f t="shared" si="65"/>
        <v>Socioeconómico</v>
      </c>
      <c r="E68" s="27">
        <v>5</v>
      </c>
      <c r="F68" s="40" t="str">
        <f t="shared" si="66"/>
        <v>Ingresos promedio</v>
      </c>
      <c r="G68" s="41" t="str">
        <f t="shared" si="67"/>
        <v>Ingresos</v>
      </c>
      <c r="H68" s="61" t="s">
        <v>16</v>
      </c>
      <c r="I68" s="62" t="s">
        <v>374</v>
      </c>
      <c r="J68" s="14" t="str">
        <f t="shared" si="70"/>
        <v>Comuna</v>
      </c>
      <c r="K68" s="14" t="str">
        <f t="shared" si="71"/>
        <v>Ingresos Promedio Mensual (CLP/mes)</v>
      </c>
      <c r="L68" s="56" t="str">
        <f t="shared" si="72"/>
        <v>POR DEFINIR</v>
      </c>
      <c r="M68" s="14" t="str">
        <f t="shared" si="73"/>
        <v>CLP/mes</v>
      </c>
      <c r="N68" s="14" t="str">
        <f t="shared" si="74"/>
        <v>CASEN 2017</v>
      </c>
      <c r="O68" s="57" t="str">
        <f>+"Ingresos promedios mensuales en "&amp;I68&amp;" en el "&amp;Agencia[[#This Row],[temporalidad]]</f>
        <v>Ingresos promedios mensuales en Región de Valparaíso en el POR DEFINIR</v>
      </c>
      <c r="P68" s="28"/>
      <c r="Q68" s="17" t="str">
        <f t="shared" si="68"/>
        <v xml:space="preserve">Gráfico  </v>
      </c>
      <c r="R68" s="57" t="str">
        <f>Agencia[[#This Row],[territorio]]&amp;",CASEN,ingresos,promedio,etnia,comuna"</f>
        <v>Región de Valparaíso,CASEN,ingresos,promedio,etnia,comuna</v>
      </c>
      <c r="S68" s="30" t="s">
        <v>432</v>
      </c>
      <c r="T68" s="31"/>
      <c r="U68" s="36" t="str">
        <f t="shared" si="69"/>
        <v>#1774B9</v>
      </c>
      <c r="V68" s="37" t="str">
        <f>+Agencia[[#This Row],[idcoleccion]]&amp;"-"&amp;Agencia[[#This Row],[id]]</f>
        <v>990-0058</v>
      </c>
      <c r="W68" s="38">
        <f>+VLOOKUP(Agencia[[#This Row],[Filtro URL]],Estructura!$X$4:$Y$366,2,0)</f>
        <v>99200005</v>
      </c>
      <c r="X68" s="35" t="str">
        <f>+VLOOKUP(Agencia[[#This Row],[tema]],Estructura!$A$4:$C$18,3,0)</f>
        <v>T-994</v>
      </c>
      <c r="Y68" s="35" t="str">
        <f>+VLOOKUP(Agencia[[#This Row],[contenido]],Estructura!$E$4:$G$18,3,0)</f>
        <v>C-991</v>
      </c>
      <c r="Z68" s="35" t="str">
        <f>+VLOOKUP(Agencia[[#This Row],[Filtro Integrado]],Estructura!$I$4:$K$18,3,0)</f>
        <v>FI-991</v>
      </c>
      <c r="AA68" s="35" t="str">
        <f>+VLOOKUP(Agencia[[#This Row],[Muestra]],Estructura!$M$4:$O$18,3,0)</f>
        <v>M-993</v>
      </c>
    </row>
    <row r="69" spans="1:27" ht="30.6" x14ac:dyDescent="0.3">
      <c r="A69" s="29" t="s">
        <v>487</v>
      </c>
      <c r="B69" s="39">
        <f t="shared" si="63"/>
        <v>990</v>
      </c>
      <c r="C69" s="40" t="str">
        <f t="shared" si="64"/>
        <v>Agencia Información</v>
      </c>
      <c r="D69" s="40" t="str">
        <f t="shared" si="65"/>
        <v>Socioeconómico</v>
      </c>
      <c r="E69" s="27">
        <v>6</v>
      </c>
      <c r="F69" s="40" t="str">
        <f t="shared" si="66"/>
        <v>Ingresos promedio</v>
      </c>
      <c r="G69" s="41" t="str">
        <f t="shared" si="67"/>
        <v>Ingresos</v>
      </c>
      <c r="H69" s="61" t="s">
        <v>16</v>
      </c>
      <c r="I69" s="62" t="s">
        <v>375</v>
      </c>
      <c r="J69" s="14" t="str">
        <f t="shared" si="70"/>
        <v>Comuna</v>
      </c>
      <c r="K69" s="14" t="str">
        <f t="shared" si="71"/>
        <v>Ingresos Promedio Mensual (CLP/mes)</v>
      </c>
      <c r="L69" s="56" t="str">
        <f t="shared" si="72"/>
        <v>POR DEFINIR</v>
      </c>
      <c r="M69" s="14" t="str">
        <f t="shared" si="73"/>
        <v>CLP/mes</v>
      </c>
      <c r="N69" s="14" t="str">
        <f t="shared" si="74"/>
        <v>CASEN 2017</v>
      </c>
      <c r="O69" s="57" t="str">
        <f>+"Ingresos promedios mensuales en "&amp;I69&amp;" en el "&amp;Agencia[[#This Row],[temporalidad]]</f>
        <v>Ingresos promedios mensuales en Región de O'Higgins en el POR DEFINIR</v>
      </c>
      <c r="P69" s="28"/>
      <c r="Q69" s="17" t="str">
        <f t="shared" si="68"/>
        <v xml:space="preserve">Gráfico  </v>
      </c>
      <c r="R69" s="57" t="str">
        <f>Agencia[[#This Row],[territorio]]&amp;",CASEN,ingresos,promedio,etnia,comuna"</f>
        <v>Región de O'Higgins,CASEN,ingresos,promedio,etnia,comuna</v>
      </c>
      <c r="S69" s="30" t="s">
        <v>432</v>
      </c>
      <c r="T69" s="31"/>
      <c r="U69" s="36" t="str">
        <f t="shared" si="69"/>
        <v>#1774B9</v>
      </c>
      <c r="V69" s="37" t="str">
        <f>+Agencia[[#This Row],[idcoleccion]]&amp;"-"&amp;Agencia[[#This Row],[id]]</f>
        <v>990-0059</v>
      </c>
      <c r="W69" s="38">
        <f>+VLOOKUP(Agencia[[#This Row],[Filtro URL]],Estructura!$X$4:$Y$366,2,0)</f>
        <v>99200006</v>
      </c>
      <c r="X69" s="35" t="str">
        <f>+VLOOKUP(Agencia[[#This Row],[tema]],Estructura!$A$4:$C$18,3,0)</f>
        <v>T-994</v>
      </c>
      <c r="Y69" s="35" t="str">
        <f>+VLOOKUP(Agencia[[#This Row],[contenido]],Estructura!$E$4:$G$18,3,0)</f>
        <v>C-991</v>
      </c>
      <c r="Z69" s="35" t="str">
        <f>+VLOOKUP(Agencia[[#This Row],[Filtro Integrado]],Estructura!$I$4:$K$18,3,0)</f>
        <v>FI-991</v>
      </c>
      <c r="AA69" s="35" t="str">
        <f>+VLOOKUP(Agencia[[#This Row],[Muestra]],Estructura!$M$4:$O$18,3,0)</f>
        <v>M-993</v>
      </c>
    </row>
    <row r="70" spans="1:27" ht="24" x14ac:dyDescent="0.3">
      <c r="A70" s="29" t="s">
        <v>488</v>
      </c>
      <c r="B70" s="39">
        <f t="shared" si="63"/>
        <v>990</v>
      </c>
      <c r="C70" s="40" t="str">
        <f t="shared" si="64"/>
        <v>Agencia Información</v>
      </c>
      <c r="D70" s="40" t="str">
        <f t="shared" si="65"/>
        <v>Socioeconómico</v>
      </c>
      <c r="E70" s="27">
        <v>7</v>
      </c>
      <c r="F70" s="40" t="str">
        <f t="shared" si="66"/>
        <v>Ingresos promedio</v>
      </c>
      <c r="G70" s="41" t="str">
        <f t="shared" si="67"/>
        <v>Ingresos</v>
      </c>
      <c r="H70" s="61" t="s">
        <v>16</v>
      </c>
      <c r="I70" s="62" t="s">
        <v>376</v>
      </c>
      <c r="J70" s="14" t="str">
        <f t="shared" si="70"/>
        <v>Comuna</v>
      </c>
      <c r="K70" s="14" t="str">
        <f t="shared" si="71"/>
        <v>Ingresos Promedio Mensual (CLP/mes)</v>
      </c>
      <c r="L70" s="56" t="str">
        <f t="shared" si="72"/>
        <v>POR DEFINIR</v>
      </c>
      <c r="M70" s="14" t="str">
        <f t="shared" si="73"/>
        <v>CLP/mes</v>
      </c>
      <c r="N70" s="14" t="str">
        <f t="shared" si="74"/>
        <v>CASEN 2017</v>
      </c>
      <c r="O70" s="57" t="str">
        <f>+"Ingresos promedios mensuales en "&amp;I70&amp;" en el "&amp;Agencia[[#This Row],[temporalidad]]</f>
        <v>Ingresos promedios mensuales en Región de Maule en el POR DEFINIR</v>
      </c>
      <c r="P70" s="28"/>
      <c r="Q70" s="17" t="str">
        <f t="shared" si="68"/>
        <v xml:space="preserve">Gráfico  </v>
      </c>
      <c r="R70" s="57" t="str">
        <f>Agencia[[#This Row],[territorio]]&amp;",CASEN,ingresos,promedio,etnia,comuna"</f>
        <v>Región de Maule,CASEN,ingresos,promedio,etnia,comuna</v>
      </c>
      <c r="S70" s="30" t="s">
        <v>432</v>
      </c>
      <c r="T70" s="31"/>
      <c r="U70" s="36" t="str">
        <f t="shared" si="69"/>
        <v>#1774B9</v>
      </c>
      <c r="V70" s="37" t="str">
        <f>+Agencia[[#This Row],[idcoleccion]]&amp;"-"&amp;Agencia[[#This Row],[id]]</f>
        <v>990-0060</v>
      </c>
      <c r="W70" s="38">
        <f>+VLOOKUP(Agencia[[#This Row],[Filtro URL]],Estructura!$X$4:$Y$366,2,0)</f>
        <v>99200007</v>
      </c>
      <c r="X70" s="35" t="str">
        <f>+VLOOKUP(Agencia[[#This Row],[tema]],Estructura!$A$4:$C$18,3,0)</f>
        <v>T-994</v>
      </c>
      <c r="Y70" s="35" t="str">
        <f>+VLOOKUP(Agencia[[#This Row],[contenido]],Estructura!$E$4:$G$18,3,0)</f>
        <v>C-991</v>
      </c>
      <c r="Z70" s="35" t="str">
        <f>+VLOOKUP(Agencia[[#This Row],[Filtro Integrado]],Estructura!$I$4:$K$18,3,0)</f>
        <v>FI-991</v>
      </c>
      <c r="AA70" s="35" t="str">
        <f>+VLOOKUP(Agencia[[#This Row],[Muestra]],Estructura!$M$4:$O$18,3,0)</f>
        <v>M-993</v>
      </c>
    </row>
    <row r="71" spans="1:27" ht="24" x14ac:dyDescent="0.3">
      <c r="A71" s="29" t="s">
        <v>489</v>
      </c>
      <c r="B71" s="39">
        <f t="shared" si="63"/>
        <v>990</v>
      </c>
      <c r="C71" s="40" t="str">
        <f t="shared" si="64"/>
        <v>Agencia Información</v>
      </c>
      <c r="D71" s="40" t="str">
        <f t="shared" si="65"/>
        <v>Socioeconómico</v>
      </c>
      <c r="E71" s="27">
        <v>8</v>
      </c>
      <c r="F71" s="40" t="str">
        <f t="shared" si="66"/>
        <v>Ingresos promedio</v>
      </c>
      <c r="G71" s="41" t="str">
        <f t="shared" si="67"/>
        <v>Ingresos</v>
      </c>
      <c r="H71" s="61" t="s">
        <v>16</v>
      </c>
      <c r="I71" s="62" t="s">
        <v>377</v>
      </c>
      <c r="J71" s="14" t="str">
        <f t="shared" si="70"/>
        <v>Comuna</v>
      </c>
      <c r="K71" s="14" t="str">
        <f t="shared" si="71"/>
        <v>Ingresos Promedio Mensual (CLP/mes)</v>
      </c>
      <c r="L71" s="56" t="str">
        <f t="shared" si="72"/>
        <v>POR DEFINIR</v>
      </c>
      <c r="M71" s="14" t="str">
        <f t="shared" si="73"/>
        <v>CLP/mes</v>
      </c>
      <c r="N71" s="14" t="str">
        <f t="shared" si="74"/>
        <v>CASEN 2017</v>
      </c>
      <c r="O71" s="57" t="str">
        <f>+"Ingresos promedios mensuales en "&amp;I71&amp;" en el "&amp;Agencia[[#This Row],[temporalidad]]</f>
        <v>Ingresos promedios mensuales en Región del Biobío en el POR DEFINIR</v>
      </c>
      <c r="P71" s="28"/>
      <c r="Q71" s="17" t="str">
        <f t="shared" si="68"/>
        <v xml:space="preserve">Gráfico  </v>
      </c>
      <c r="R71" s="57" t="str">
        <f>Agencia[[#This Row],[territorio]]&amp;",CASEN,ingresos,promedio,etnia,comuna"</f>
        <v>Región del Biobío,CASEN,ingresos,promedio,etnia,comuna</v>
      </c>
      <c r="S71" s="30" t="s">
        <v>432</v>
      </c>
      <c r="T71" s="31"/>
      <c r="U71" s="36" t="str">
        <f t="shared" si="69"/>
        <v>#1774B9</v>
      </c>
      <c r="V71" s="37" t="str">
        <f>+Agencia[[#This Row],[idcoleccion]]&amp;"-"&amp;Agencia[[#This Row],[id]]</f>
        <v>990-0061</v>
      </c>
      <c r="W71" s="38">
        <f>+VLOOKUP(Agencia[[#This Row],[Filtro URL]],Estructura!$X$4:$Y$366,2,0)</f>
        <v>99200008</v>
      </c>
      <c r="X71" s="35" t="str">
        <f>+VLOOKUP(Agencia[[#This Row],[tema]],Estructura!$A$4:$C$18,3,0)</f>
        <v>T-994</v>
      </c>
      <c r="Y71" s="35" t="str">
        <f>+VLOOKUP(Agencia[[#This Row],[contenido]],Estructura!$E$4:$G$18,3,0)</f>
        <v>C-991</v>
      </c>
      <c r="Z71" s="35" t="str">
        <f>+VLOOKUP(Agencia[[#This Row],[Filtro Integrado]],Estructura!$I$4:$K$18,3,0)</f>
        <v>FI-991</v>
      </c>
      <c r="AA71" s="35" t="str">
        <f>+VLOOKUP(Agencia[[#This Row],[Muestra]],Estructura!$M$4:$O$18,3,0)</f>
        <v>M-993</v>
      </c>
    </row>
    <row r="72" spans="1:27" ht="30.6" x14ac:dyDescent="0.3">
      <c r="A72" s="29" t="s">
        <v>490</v>
      </c>
      <c r="B72" s="39">
        <f t="shared" si="63"/>
        <v>990</v>
      </c>
      <c r="C72" s="40" t="str">
        <f t="shared" si="64"/>
        <v>Agencia Información</v>
      </c>
      <c r="D72" s="40" t="str">
        <f t="shared" si="65"/>
        <v>Socioeconómico</v>
      </c>
      <c r="E72" s="27">
        <v>9</v>
      </c>
      <c r="F72" s="40" t="str">
        <f t="shared" si="66"/>
        <v>Ingresos promedio</v>
      </c>
      <c r="G72" s="41" t="str">
        <f t="shared" si="67"/>
        <v>Ingresos</v>
      </c>
      <c r="H72" s="61" t="s">
        <v>16</v>
      </c>
      <c r="I72" s="62" t="s">
        <v>378</v>
      </c>
      <c r="J72" s="14" t="str">
        <f t="shared" si="70"/>
        <v>Comuna</v>
      </c>
      <c r="K72" s="14" t="str">
        <f t="shared" si="71"/>
        <v>Ingresos Promedio Mensual (CLP/mes)</v>
      </c>
      <c r="L72" s="56" t="str">
        <f t="shared" si="72"/>
        <v>POR DEFINIR</v>
      </c>
      <c r="M72" s="14" t="str">
        <f t="shared" si="73"/>
        <v>CLP/mes</v>
      </c>
      <c r="N72" s="14" t="str">
        <f t="shared" si="74"/>
        <v>CASEN 2017</v>
      </c>
      <c r="O72" s="57" t="str">
        <f>+"Ingresos promedios mensuales en "&amp;I72&amp;" en el "&amp;Agencia[[#This Row],[temporalidad]]</f>
        <v>Ingresos promedios mensuales en Región de La Araucanía en el POR DEFINIR</v>
      </c>
      <c r="P72" s="28"/>
      <c r="Q72" s="17" t="str">
        <f t="shared" si="68"/>
        <v xml:space="preserve">Gráfico  </v>
      </c>
      <c r="R72" s="57" t="str">
        <f>Agencia[[#This Row],[territorio]]&amp;",CASEN,ingresos,promedio,etnia,comuna"</f>
        <v>Región de La Araucanía,CASEN,ingresos,promedio,etnia,comuna</v>
      </c>
      <c r="S72" s="30" t="s">
        <v>432</v>
      </c>
      <c r="T72" s="31"/>
      <c r="U72" s="36" t="str">
        <f t="shared" si="69"/>
        <v>#1774B9</v>
      </c>
      <c r="V72" s="37" t="str">
        <f>+Agencia[[#This Row],[idcoleccion]]&amp;"-"&amp;Agencia[[#This Row],[id]]</f>
        <v>990-0062</v>
      </c>
      <c r="W72" s="38">
        <f>+VLOOKUP(Agencia[[#This Row],[Filtro URL]],Estructura!$X$4:$Y$366,2,0)</f>
        <v>99200009</v>
      </c>
      <c r="X72" s="35" t="str">
        <f>+VLOOKUP(Agencia[[#This Row],[tema]],Estructura!$A$4:$C$18,3,0)</f>
        <v>T-994</v>
      </c>
      <c r="Y72" s="35" t="str">
        <f>+VLOOKUP(Agencia[[#This Row],[contenido]],Estructura!$E$4:$G$18,3,0)</f>
        <v>C-991</v>
      </c>
      <c r="Z72" s="35" t="str">
        <f>+VLOOKUP(Agencia[[#This Row],[Filtro Integrado]],Estructura!$I$4:$K$18,3,0)</f>
        <v>FI-991</v>
      </c>
      <c r="AA72" s="35" t="str">
        <f>+VLOOKUP(Agencia[[#This Row],[Muestra]],Estructura!$M$4:$O$18,3,0)</f>
        <v>M-993</v>
      </c>
    </row>
    <row r="73" spans="1:27" ht="24" x14ac:dyDescent="0.3">
      <c r="A73" s="29" t="s">
        <v>491</v>
      </c>
      <c r="B73" s="39">
        <f t="shared" si="63"/>
        <v>990</v>
      </c>
      <c r="C73" s="40" t="str">
        <f t="shared" si="64"/>
        <v>Agencia Información</v>
      </c>
      <c r="D73" s="40" t="str">
        <f t="shared" si="65"/>
        <v>Socioeconómico</v>
      </c>
      <c r="E73" s="27">
        <v>10</v>
      </c>
      <c r="F73" s="40" t="str">
        <f t="shared" si="66"/>
        <v>Ingresos promedio</v>
      </c>
      <c r="G73" s="41" t="str">
        <f t="shared" si="67"/>
        <v>Ingresos</v>
      </c>
      <c r="H73" s="61" t="s">
        <v>16</v>
      </c>
      <c r="I73" s="62" t="s">
        <v>379</v>
      </c>
      <c r="J73" s="14" t="str">
        <f t="shared" si="70"/>
        <v>Comuna</v>
      </c>
      <c r="K73" s="14" t="str">
        <f t="shared" si="71"/>
        <v>Ingresos Promedio Mensual (CLP/mes)</v>
      </c>
      <c r="L73" s="56" t="str">
        <f t="shared" si="72"/>
        <v>POR DEFINIR</v>
      </c>
      <c r="M73" s="14" t="str">
        <f t="shared" si="73"/>
        <v>CLP/mes</v>
      </c>
      <c r="N73" s="14" t="str">
        <f t="shared" si="74"/>
        <v>CASEN 2017</v>
      </c>
      <c r="O73" s="57" t="str">
        <f>+"Ingresos promedios mensuales en "&amp;I73&amp;" en el "&amp;Agencia[[#This Row],[temporalidad]]</f>
        <v>Ingresos promedios mensuales en Región de Los Lagos en el POR DEFINIR</v>
      </c>
      <c r="P73" s="28"/>
      <c r="Q73" s="17" t="str">
        <f t="shared" si="68"/>
        <v xml:space="preserve">Gráfico  </v>
      </c>
      <c r="R73" s="57" t="str">
        <f>Agencia[[#This Row],[territorio]]&amp;",CASEN,ingresos,promedio,etnia,comuna"</f>
        <v>Región de Los Lagos,CASEN,ingresos,promedio,etnia,comuna</v>
      </c>
      <c r="S73" s="30" t="s">
        <v>432</v>
      </c>
      <c r="T73" s="31"/>
      <c r="U73" s="36" t="str">
        <f t="shared" si="69"/>
        <v>#1774B9</v>
      </c>
      <c r="V73" s="37" t="str">
        <f>+Agencia[[#This Row],[idcoleccion]]&amp;"-"&amp;Agencia[[#This Row],[id]]</f>
        <v>990-0063</v>
      </c>
      <c r="W73" s="38">
        <f>+VLOOKUP(Agencia[[#This Row],[Filtro URL]],Estructura!$X$4:$Y$366,2,0)</f>
        <v>99200010</v>
      </c>
      <c r="X73" s="35" t="str">
        <f>+VLOOKUP(Agencia[[#This Row],[tema]],Estructura!$A$4:$C$18,3,0)</f>
        <v>T-994</v>
      </c>
      <c r="Y73" s="35" t="str">
        <f>+VLOOKUP(Agencia[[#This Row],[contenido]],Estructura!$E$4:$G$18,3,0)</f>
        <v>C-991</v>
      </c>
      <c r="Z73" s="35" t="str">
        <f>+VLOOKUP(Agencia[[#This Row],[Filtro Integrado]],Estructura!$I$4:$K$18,3,0)</f>
        <v>FI-991</v>
      </c>
      <c r="AA73" s="35" t="str">
        <f>+VLOOKUP(Agencia[[#This Row],[Muestra]],Estructura!$M$4:$O$18,3,0)</f>
        <v>M-993</v>
      </c>
    </row>
    <row r="74" spans="1:27" ht="24" x14ac:dyDescent="0.3">
      <c r="A74" s="29" t="s">
        <v>492</v>
      </c>
      <c r="B74" s="39">
        <f t="shared" si="63"/>
        <v>990</v>
      </c>
      <c r="C74" s="40" t="str">
        <f t="shared" si="64"/>
        <v>Agencia Información</v>
      </c>
      <c r="D74" s="40" t="str">
        <f t="shared" si="65"/>
        <v>Socioeconómico</v>
      </c>
      <c r="E74" s="27">
        <v>11</v>
      </c>
      <c r="F74" s="40" t="str">
        <f t="shared" si="66"/>
        <v>Ingresos promedio</v>
      </c>
      <c r="G74" s="41" t="str">
        <f t="shared" si="67"/>
        <v>Ingresos</v>
      </c>
      <c r="H74" s="61" t="s">
        <v>16</v>
      </c>
      <c r="I74" s="62" t="s">
        <v>380</v>
      </c>
      <c r="J74" s="14" t="str">
        <f t="shared" si="70"/>
        <v>Comuna</v>
      </c>
      <c r="K74" s="14" t="str">
        <f t="shared" si="71"/>
        <v>Ingresos Promedio Mensual (CLP/mes)</v>
      </c>
      <c r="L74" s="56" t="str">
        <f t="shared" si="72"/>
        <v>POR DEFINIR</v>
      </c>
      <c r="M74" s="14" t="str">
        <f t="shared" si="73"/>
        <v>CLP/mes</v>
      </c>
      <c r="N74" s="14" t="str">
        <f t="shared" si="74"/>
        <v>CASEN 2017</v>
      </c>
      <c r="O74" s="57" t="str">
        <f>+"Ingresos promedios mensuales en "&amp;I74&amp;" en el "&amp;Agencia[[#This Row],[temporalidad]]</f>
        <v>Ingresos promedios mensuales en Región de Aysén en el POR DEFINIR</v>
      </c>
      <c r="P74" s="28"/>
      <c r="Q74" s="17" t="str">
        <f t="shared" si="68"/>
        <v xml:space="preserve">Gráfico  </v>
      </c>
      <c r="R74" s="57" t="str">
        <f>Agencia[[#This Row],[territorio]]&amp;",CASEN,ingresos,promedio,etnia,comuna"</f>
        <v>Región de Aysén,CASEN,ingresos,promedio,etnia,comuna</v>
      </c>
      <c r="S74" s="30" t="s">
        <v>432</v>
      </c>
      <c r="T74" s="31"/>
      <c r="U74" s="36" t="str">
        <f t="shared" si="69"/>
        <v>#1774B9</v>
      </c>
      <c r="V74" s="37" t="str">
        <f>+Agencia[[#This Row],[idcoleccion]]&amp;"-"&amp;Agencia[[#This Row],[id]]</f>
        <v>990-0064</v>
      </c>
      <c r="W74" s="38">
        <f>+VLOOKUP(Agencia[[#This Row],[Filtro URL]],Estructura!$X$4:$Y$366,2,0)</f>
        <v>99200011</v>
      </c>
      <c r="X74" s="35" t="str">
        <f>+VLOOKUP(Agencia[[#This Row],[tema]],Estructura!$A$4:$C$18,3,0)</f>
        <v>T-994</v>
      </c>
      <c r="Y74" s="35" t="str">
        <f>+VLOOKUP(Agencia[[#This Row],[contenido]],Estructura!$E$4:$G$18,3,0)</f>
        <v>C-991</v>
      </c>
      <c r="Z74" s="35" t="str">
        <f>+VLOOKUP(Agencia[[#This Row],[Filtro Integrado]],Estructura!$I$4:$K$18,3,0)</f>
        <v>FI-991</v>
      </c>
      <c r="AA74" s="35" t="str">
        <f>+VLOOKUP(Agencia[[#This Row],[Muestra]],Estructura!$M$4:$O$18,3,0)</f>
        <v>M-993</v>
      </c>
    </row>
    <row r="75" spans="1:27" ht="30.6" x14ac:dyDescent="0.3">
      <c r="A75" s="29" t="s">
        <v>493</v>
      </c>
      <c r="B75" s="39">
        <f t="shared" si="63"/>
        <v>990</v>
      </c>
      <c r="C75" s="40" t="str">
        <f t="shared" si="64"/>
        <v>Agencia Información</v>
      </c>
      <c r="D75" s="40" t="str">
        <f t="shared" si="65"/>
        <v>Socioeconómico</v>
      </c>
      <c r="E75" s="27">
        <v>12</v>
      </c>
      <c r="F75" s="40" t="str">
        <f t="shared" si="66"/>
        <v>Ingresos promedio</v>
      </c>
      <c r="G75" s="41" t="str">
        <f t="shared" si="67"/>
        <v>Ingresos</v>
      </c>
      <c r="H75" s="61" t="s">
        <v>16</v>
      </c>
      <c r="I75" s="62" t="s">
        <v>381</v>
      </c>
      <c r="J75" s="14" t="str">
        <f t="shared" si="70"/>
        <v>Comuna</v>
      </c>
      <c r="K75" s="14" t="str">
        <f t="shared" si="71"/>
        <v>Ingresos Promedio Mensual (CLP/mes)</v>
      </c>
      <c r="L75" s="56" t="str">
        <f t="shared" si="72"/>
        <v>POR DEFINIR</v>
      </c>
      <c r="M75" s="14" t="str">
        <f t="shared" si="73"/>
        <v>CLP/mes</v>
      </c>
      <c r="N75" s="14" t="str">
        <f t="shared" si="74"/>
        <v>CASEN 2017</v>
      </c>
      <c r="O75" s="57" t="str">
        <f>+"Ingresos promedios mensuales en "&amp;I75&amp;" en el "&amp;Agencia[[#This Row],[temporalidad]]</f>
        <v>Ingresos promedios mensuales en Región de Magallanes en el POR DEFINIR</v>
      </c>
      <c r="P75" s="28"/>
      <c r="Q75" s="17" t="str">
        <f t="shared" si="68"/>
        <v xml:space="preserve">Gráfico  </v>
      </c>
      <c r="R75" s="57" t="str">
        <f>Agencia[[#This Row],[territorio]]&amp;",CASEN,ingresos,promedio,etnia,comuna"</f>
        <v>Región de Magallanes,CASEN,ingresos,promedio,etnia,comuna</v>
      </c>
      <c r="S75" s="30" t="s">
        <v>432</v>
      </c>
      <c r="T75" s="31"/>
      <c r="U75" s="36" t="str">
        <f t="shared" si="69"/>
        <v>#1774B9</v>
      </c>
      <c r="V75" s="37" t="str">
        <f>+Agencia[[#This Row],[idcoleccion]]&amp;"-"&amp;Agencia[[#This Row],[id]]</f>
        <v>990-0065</v>
      </c>
      <c r="W75" s="38">
        <f>+VLOOKUP(Agencia[[#This Row],[Filtro URL]],Estructura!$X$4:$Y$366,2,0)</f>
        <v>99200012</v>
      </c>
      <c r="X75" s="35" t="str">
        <f>+VLOOKUP(Agencia[[#This Row],[tema]],Estructura!$A$4:$C$18,3,0)</f>
        <v>T-994</v>
      </c>
      <c r="Y75" s="35" t="str">
        <f>+VLOOKUP(Agencia[[#This Row],[contenido]],Estructura!$E$4:$G$18,3,0)</f>
        <v>C-991</v>
      </c>
      <c r="Z75" s="35" t="str">
        <f>+VLOOKUP(Agencia[[#This Row],[Filtro Integrado]],Estructura!$I$4:$K$18,3,0)</f>
        <v>FI-991</v>
      </c>
      <c r="AA75" s="35" t="str">
        <f>+VLOOKUP(Agencia[[#This Row],[Muestra]],Estructura!$M$4:$O$18,3,0)</f>
        <v>M-993</v>
      </c>
    </row>
    <row r="76" spans="1:27" ht="30.6" x14ac:dyDescent="0.3">
      <c r="A76" s="29" t="s">
        <v>494</v>
      </c>
      <c r="B76" s="39">
        <f t="shared" si="63"/>
        <v>990</v>
      </c>
      <c r="C76" s="40" t="str">
        <f t="shared" si="64"/>
        <v>Agencia Información</v>
      </c>
      <c r="D76" s="40" t="str">
        <f t="shared" si="65"/>
        <v>Socioeconómico</v>
      </c>
      <c r="E76" s="27">
        <v>13</v>
      </c>
      <c r="F76" s="40" t="str">
        <f t="shared" si="66"/>
        <v>Ingresos promedio</v>
      </c>
      <c r="G76" s="41" t="str">
        <f t="shared" si="67"/>
        <v>Ingresos</v>
      </c>
      <c r="H76" s="61" t="s">
        <v>16</v>
      </c>
      <c r="I76" s="62" t="s">
        <v>382</v>
      </c>
      <c r="J76" s="14" t="str">
        <f t="shared" si="70"/>
        <v>Comuna</v>
      </c>
      <c r="K76" s="14" t="str">
        <f t="shared" si="71"/>
        <v>Ingresos Promedio Mensual (CLP/mes)</v>
      </c>
      <c r="L76" s="56" t="str">
        <f t="shared" si="72"/>
        <v>POR DEFINIR</v>
      </c>
      <c r="M76" s="14" t="str">
        <f t="shared" si="73"/>
        <v>CLP/mes</v>
      </c>
      <c r="N76" s="14" t="str">
        <f t="shared" si="74"/>
        <v>CASEN 2017</v>
      </c>
      <c r="O76" s="57" t="str">
        <f>+"Ingresos promedios mensuales en "&amp;I76&amp;" en el "&amp;Agencia[[#This Row],[temporalidad]]</f>
        <v>Ingresos promedios mensuales en Región Metropolitana en el POR DEFINIR</v>
      </c>
      <c r="P76" s="28"/>
      <c r="Q76" s="17" t="str">
        <f t="shared" si="68"/>
        <v xml:space="preserve">Gráfico  </v>
      </c>
      <c r="R76" s="57" t="str">
        <f>Agencia[[#This Row],[territorio]]&amp;",CASEN,ingresos,promedio,etnia,comuna"</f>
        <v>Región Metropolitana,CASEN,ingresos,promedio,etnia,comuna</v>
      </c>
      <c r="S76" s="30" t="s">
        <v>432</v>
      </c>
      <c r="T76" s="31"/>
      <c r="U76" s="36" t="str">
        <f t="shared" si="69"/>
        <v>#1774B9</v>
      </c>
      <c r="V76" s="37" t="str">
        <f>+Agencia[[#This Row],[idcoleccion]]&amp;"-"&amp;Agencia[[#This Row],[id]]</f>
        <v>990-0066</v>
      </c>
      <c r="W76" s="38">
        <f>+VLOOKUP(Agencia[[#This Row],[Filtro URL]],Estructura!$X$4:$Y$366,2,0)</f>
        <v>99200013</v>
      </c>
      <c r="X76" s="35" t="str">
        <f>+VLOOKUP(Agencia[[#This Row],[tema]],Estructura!$A$4:$C$18,3,0)</f>
        <v>T-994</v>
      </c>
      <c r="Y76" s="35" t="str">
        <f>+VLOOKUP(Agencia[[#This Row],[contenido]],Estructura!$E$4:$G$18,3,0)</f>
        <v>C-991</v>
      </c>
      <c r="Z76" s="35" t="str">
        <f>+VLOOKUP(Agencia[[#This Row],[Filtro Integrado]],Estructura!$I$4:$K$18,3,0)</f>
        <v>FI-991</v>
      </c>
      <c r="AA76" s="35" t="str">
        <f>+VLOOKUP(Agencia[[#This Row],[Muestra]],Estructura!$M$4:$O$18,3,0)</f>
        <v>M-993</v>
      </c>
    </row>
    <row r="77" spans="1:27" ht="24" x14ac:dyDescent="0.3">
      <c r="A77" s="29" t="s">
        <v>495</v>
      </c>
      <c r="B77" s="39">
        <f t="shared" si="63"/>
        <v>990</v>
      </c>
      <c r="C77" s="40" t="str">
        <f t="shared" si="64"/>
        <v>Agencia Información</v>
      </c>
      <c r="D77" s="40" t="str">
        <f t="shared" si="65"/>
        <v>Socioeconómico</v>
      </c>
      <c r="E77" s="27">
        <v>14</v>
      </c>
      <c r="F77" s="40" t="str">
        <f t="shared" si="66"/>
        <v>Ingresos promedio</v>
      </c>
      <c r="G77" s="41" t="str">
        <f t="shared" si="67"/>
        <v>Ingresos</v>
      </c>
      <c r="H77" s="61" t="s">
        <v>16</v>
      </c>
      <c r="I77" s="62" t="s">
        <v>383</v>
      </c>
      <c r="J77" s="14" t="str">
        <f t="shared" si="70"/>
        <v>Comuna</v>
      </c>
      <c r="K77" s="14" t="str">
        <f t="shared" si="71"/>
        <v>Ingresos Promedio Mensual (CLP/mes)</v>
      </c>
      <c r="L77" s="56" t="str">
        <f t="shared" si="72"/>
        <v>POR DEFINIR</v>
      </c>
      <c r="M77" s="14" t="str">
        <f t="shared" si="73"/>
        <v>CLP/mes</v>
      </c>
      <c r="N77" s="14" t="str">
        <f t="shared" si="74"/>
        <v>CASEN 2017</v>
      </c>
      <c r="O77" s="57" t="str">
        <f>+"Ingresos promedios mensuales en "&amp;I77&amp;" en el "&amp;Agencia[[#This Row],[temporalidad]]</f>
        <v>Ingresos promedios mensuales en Región de Los Ríos en el POR DEFINIR</v>
      </c>
      <c r="P77" s="28"/>
      <c r="Q77" s="17" t="str">
        <f t="shared" si="68"/>
        <v xml:space="preserve">Gráfico  </v>
      </c>
      <c r="R77" s="57" t="str">
        <f>Agencia[[#This Row],[territorio]]&amp;",CASEN,ingresos,promedio,etnia,comuna"</f>
        <v>Región de Los Ríos,CASEN,ingresos,promedio,etnia,comuna</v>
      </c>
      <c r="S77" s="30" t="s">
        <v>432</v>
      </c>
      <c r="T77" s="31"/>
      <c r="U77" s="36" t="str">
        <f t="shared" si="69"/>
        <v>#1774B9</v>
      </c>
      <c r="V77" s="37" t="str">
        <f>+Agencia[[#This Row],[idcoleccion]]&amp;"-"&amp;Agencia[[#This Row],[id]]</f>
        <v>990-0067</v>
      </c>
      <c r="W77" s="38">
        <f>+VLOOKUP(Agencia[[#This Row],[Filtro URL]],Estructura!$X$4:$Y$366,2,0)</f>
        <v>99200014</v>
      </c>
      <c r="X77" s="35" t="str">
        <f>+VLOOKUP(Agencia[[#This Row],[tema]],Estructura!$A$4:$C$18,3,0)</f>
        <v>T-994</v>
      </c>
      <c r="Y77" s="35" t="str">
        <f>+VLOOKUP(Agencia[[#This Row],[contenido]],Estructura!$E$4:$G$18,3,0)</f>
        <v>C-991</v>
      </c>
      <c r="Z77" s="35" t="str">
        <f>+VLOOKUP(Agencia[[#This Row],[Filtro Integrado]],Estructura!$I$4:$K$18,3,0)</f>
        <v>FI-991</v>
      </c>
      <c r="AA77" s="35" t="str">
        <f>+VLOOKUP(Agencia[[#This Row],[Muestra]],Estructura!$M$4:$O$18,3,0)</f>
        <v>M-993</v>
      </c>
    </row>
    <row r="78" spans="1:27" ht="30.6" x14ac:dyDescent="0.3">
      <c r="A78" s="29" t="s">
        <v>496</v>
      </c>
      <c r="B78" s="39">
        <f t="shared" si="63"/>
        <v>990</v>
      </c>
      <c r="C78" s="40" t="str">
        <f t="shared" si="64"/>
        <v>Agencia Información</v>
      </c>
      <c r="D78" s="40" t="str">
        <f t="shared" si="65"/>
        <v>Socioeconómico</v>
      </c>
      <c r="E78" s="27">
        <v>15</v>
      </c>
      <c r="F78" s="40" t="str">
        <f t="shared" si="66"/>
        <v>Ingresos promedio</v>
      </c>
      <c r="G78" s="41" t="str">
        <f t="shared" si="67"/>
        <v>Ingresos</v>
      </c>
      <c r="H78" s="61" t="s">
        <v>16</v>
      </c>
      <c r="I78" s="62" t="s">
        <v>384</v>
      </c>
      <c r="J78" s="14" t="str">
        <f t="shared" si="70"/>
        <v>Comuna</v>
      </c>
      <c r="K78" s="14" t="str">
        <f t="shared" si="71"/>
        <v>Ingresos Promedio Mensual (CLP/mes)</v>
      </c>
      <c r="L78" s="56" t="str">
        <f t="shared" si="72"/>
        <v>POR DEFINIR</v>
      </c>
      <c r="M78" s="14" t="str">
        <f t="shared" si="73"/>
        <v>CLP/mes</v>
      </c>
      <c r="N78" s="14" t="str">
        <f t="shared" si="74"/>
        <v>CASEN 2017</v>
      </c>
      <c r="O78" s="57" t="str">
        <f>+"Ingresos promedios mensuales en "&amp;I78&amp;" en el "&amp;Agencia[[#This Row],[temporalidad]]</f>
        <v>Ingresos promedios mensuales en Región de Arica y Parinacota en el POR DEFINIR</v>
      </c>
      <c r="P78" s="28"/>
      <c r="Q78" s="17" t="str">
        <f t="shared" si="68"/>
        <v xml:space="preserve">Gráfico  </v>
      </c>
      <c r="R78" s="57" t="str">
        <f>Agencia[[#This Row],[territorio]]&amp;",CASEN,ingresos,promedio,etnia,comuna"</f>
        <v>Región de Arica y Parinacota,CASEN,ingresos,promedio,etnia,comuna</v>
      </c>
      <c r="S78" s="30" t="s">
        <v>432</v>
      </c>
      <c r="T78" s="31"/>
      <c r="U78" s="36" t="str">
        <f t="shared" si="69"/>
        <v>#1774B9</v>
      </c>
      <c r="V78" s="37" t="str">
        <f>+Agencia[[#This Row],[idcoleccion]]&amp;"-"&amp;Agencia[[#This Row],[id]]</f>
        <v>990-0068</v>
      </c>
      <c r="W78" s="38">
        <f>+VLOOKUP(Agencia[[#This Row],[Filtro URL]],Estructura!$X$4:$Y$366,2,0)</f>
        <v>99200015</v>
      </c>
      <c r="X78" s="35" t="str">
        <f>+VLOOKUP(Agencia[[#This Row],[tema]],Estructura!$A$4:$C$18,3,0)</f>
        <v>T-994</v>
      </c>
      <c r="Y78" s="35" t="str">
        <f>+VLOOKUP(Agencia[[#This Row],[contenido]],Estructura!$E$4:$G$18,3,0)</f>
        <v>C-991</v>
      </c>
      <c r="Z78" s="35" t="str">
        <f>+VLOOKUP(Agencia[[#This Row],[Filtro Integrado]],Estructura!$I$4:$K$18,3,0)</f>
        <v>FI-991</v>
      </c>
      <c r="AA78" s="35" t="str">
        <f>+VLOOKUP(Agencia[[#This Row],[Muestra]],Estructura!$M$4:$O$18,3,0)</f>
        <v>M-993</v>
      </c>
    </row>
    <row r="79" spans="1:27" ht="24" x14ac:dyDescent="0.3">
      <c r="A79" s="29" t="s">
        <v>497</v>
      </c>
      <c r="B79" s="39">
        <f t="shared" si="63"/>
        <v>990</v>
      </c>
      <c r="C79" s="40" t="str">
        <f t="shared" si="64"/>
        <v>Agencia Información</v>
      </c>
      <c r="D79" s="40" t="str">
        <f t="shared" si="65"/>
        <v>Socioeconómico</v>
      </c>
      <c r="E79" s="27">
        <v>16</v>
      </c>
      <c r="F79" s="40" t="str">
        <f t="shared" si="66"/>
        <v>Ingresos promedio</v>
      </c>
      <c r="G79" s="41" t="str">
        <f t="shared" si="67"/>
        <v>Ingresos</v>
      </c>
      <c r="H79" s="61" t="s">
        <v>16</v>
      </c>
      <c r="I79" s="62" t="s">
        <v>385</v>
      </c>
      <c r="J79" s="14" t="str">
        <f t="shared" si="70"/>
        <v>Comuna</v>
      </c>
      <c r="K79" s="14" t="str">
        <f t="shared" si="71"/>
        <v>Ingresos Promedio Mensual (CLP/mes)</v>
      </c>
      <c r="L79" s="56" t="str">
        <f t="shared" si="72"/>
        <v>POR DEFINIR</v>
      </c>
      <c r="M79" s="14" t="str">
        <f t="shared" si="73"/>
        <v>CLP/mes</v>
      </c>
      <c r="N79" s="14" t="str">
        <f t="shared" si="74"/>
        <v>CASEN 2017</v>
      </c>
      <c r="O79" s="57" t="str">
        <f>+"Ingresos promedios mensuales en "&amp;I79&amp;" en el "&amp;Agencia[[#This Row],[temporalidad]]</f>
        <v>Ingresos promedios mensuales en Región de Ñuble en el POR DEFINIR</v>
      </c>
      <c r="P79" s="28"/>
      <c r="Q79" s="17" t="str">
        <f t="shared" si="68"/>
        <v xml:space="preserve">Gráfico  </v>
      </c>
      <c r="R79" s="57" t="str">
        <f>Agencia[[#This Row],[territorio]]&amp;",CASEN,ingresos,promedio,etnia,comuna"</f>
        <v>Región de Ñuble,CASEN,ingresos,promedio,etnia,comuna</v>
      </c>
      <c r="S79" s="30" t="s">
        <v>432</v>
      </c>
      <c r="T79" s="31"/>
      <c r="U79" s="36" t="str">
        <f t="shared" si="69"/>
        <v>#1774B9</v>
      </c>
      <c r="V79" s="37" t="str">
        <f>+Agencia[[#This Row],[idcoleccion]]&amp;"-"&amp;Agencia[[#This Row],[id]]</f>
        <v>990-0069</v>
      </c>
      <c r="W79" s="38">
        <f>+VLOOKUP(Agencia[[#This Row],[Filtro URL]],Estructura!$X$4:$Y$366,2,0)</f>
        <v>99200016</v>
      </c>
      <c r="X79" s="35" t="str">
        <f>+VLOOKUP(Agencia[[#This Row],[tema]],Estructura!$A$4:$C$18,3,0)</f>
        <v>T-994</v>
      </c>
      <c r="Y79" s="35" t="str">
        <f>+VLOOKUP(Agencia[[#This Row],[contenido]],Estructura!$E$4:$G$18,3,0)</f>
        <v>C-991</v>
      </c>
      <c r="Z79" s="35" t="str">
        <f>+VLOOKUP(Agencia[[#This Row],[Filtro Integrado]],Estructura!$I$4:$K$18,3,0)</f>
        <v>FI-991</v>
      </c>
      <c r="AA79" s="35" t="str">
        <f>+VLOOKUP(Agencia[[#This Row],[Muestra]],Estructura!$M$4:$O$18,3,0)</f>
        <v>M-993</v>
      </c>
    </row>
    <row r="80" spans="1:27" ht="51" x14ac:dyDescent="0.3">
      <c r="A80" s="26" t="s">
        <v>498</v>
      </c>
      <c r="B80" s="39">
        <f t="shared" si="63"/>
        <v>990</v>
      </c>
      <c r="C80" s="40" t="str">
        <f t="shared" si="64"/>
        <v>Agencia Información</v>
      </c>
      <c r="D80" s="40" t="str">
        <f t="shared" si="65"/>
        <v>Socioeconómico</v>
      </c>
      <c r="E80" s="21">
        <v>0</v>
      </c>
      <c r="F80" s="40" t="s">
        <v>506</v>
      </c>
      <c r="G80" s="41" t="str">
        <f t="shared" si="67"/>
        <v>Ingresos</v>
      </c>
      <c r="H80" s="59" t="s">
        <v>20</v>
      </c>
      <c r="I80" s="60" t="s">
        <v>15</v>
      </c>
      <c r="J80" s="14" t="str">
        <f t="shared" si="70"/>
        <v>Comuna</v>
      </c>
      <c r="K80" s="14" t="str">
        <f t="shared" si="71"/>
        <v>Ingresos Promedio Mensual (CLP/mes)</v>
      </c>
      <c r="L80" s="14" t="s">
        <v>511</v>
      </c>
      <c r="M80" s="14" t="str">
        <f t="shared" si="73"/>
        <v>CLP/mes</v>
      </c>
      <c r="N80" s="14" t="str">
        <f t="shared" si="74"/>
        <v>CASEN 2017</v>
      </c>
      <c r="O80" s="28" t="str">
        <f>"Mapa Regional de Ingresos Promedio Mensuales (CLP/mes) para la población de "&amp;Agencia[[#This Row],[territorio]]&amp;" autodefinida de Etnia Mapuche en el "&amp;Agencia[[#This Row],[temporalidad]]</f>
        <v>Mapa Regional de Ingresos Promedio Mensuales (CLP/mes) para la población de Chile autodefinida de Etnia Mapuche en el Año 2017</v>
      </c>
      <c r="P80" s="28" t="s">
        <v>509</v>
      </c>
      <c r="Q80" s="17" t="str">
        <f t="shared" si="68"/>
        <v xml:space="preserve">Gráfico  </v>
      </c>
      <c r="R80" s="28" t="str">
        <f>Agencia[[#This Row],[territorio]]&amp;",CASEN,ingresos,promedio,etnia,comuna"</f>
        <v>Chile,CASEN,ingresos,promedio,etnia,comuna</v>
      </c>
      <c r="S80" s="30" t="s">
        <v>432</v>
      </c>
      <c r="T80" s="31"/>
      <c r="U80" s="36" t="str">
        <f t="shared" si="69"/>
        <v>#1774B9</v>
      </c>
      <c r="V80" s="37" t="str">
        <f>+Agencia[[#This Row],[idcoleccion]]&amp;"-"&amp;Agencia[[#This Row],[id]]</f>
        <v>990-0070</v>
      </c>
      <c r="W80" s="38">
        <f>+VLOOKUP(Agencia[[#This Row],[Filtro URL]],Estructura!$X$4:$Y$366,2,0)</f>
        <v>99100000</v>
      </c>
      <c r="X80" s="35" t="str">
        <f>+VLOOKUP(Agencia[[#This Row],[tema]],Estructura!$A$4:$C$18,3,0)</f>
        <v>T-995</v>
      </c>
      <c r="Y80" s="35" t="str">
        <f>+VLOOKUP(Agencia[[#This Row],[contenido]],Estructura!$E$4:$G$18,3,0)</f>
        <v>C-991</v>
      </c>
      <c r="Z80" s="35" t="str">
        <f>+VLOOKUP(Agencia[[#This Row],[Filtro Integrado]],Estructura!$I$4:$K$18,3,0)</f>
        <v>FI-991</v>
      </c>
      <c r="AA80" s="35" t="str">
        <f>+VLOOKUP(Agencia[[#This Row],[Muestra]],Estructura!$M$4:$O$18,3,0)</f>
        <v>M-993</v>
      </c>
    </row>
    <row r="81" spans="1:27" ht="30.6" x14ac:dyDescent="0.3">
      <c r="A81" s="29" t="s">
        <v>499</v>
      </c>
      <c r="B81" s="39">
        <f t="shared" si="63"/>
        <v>990</v>
      </c>
      <c r="C81" s="40" t="str">
        <f t="shared" si="64"/>
        <v>Agencia Información</v>
      </c>
      <c r="D81" s="40" t="str">
        <f t="shared" si="65"/>
        <v>Socioeconómico</v>
      </c>
      <c r="E81" s="27">
        <v>1</v>
      </c>
      <c r="F81" s="40" t="str">
        <f t="shared" si="66"/>
        <v>Ingresos por etnia</v>
      </c>
      <c r="G81" s="41" t="str">
        <f t="shared" si="67"/>
        <v>Ingresos</v>
      </c>
      <c r="H81" s="61" t="s">
        <v>16</v>
      </c>
      <c r="I81" s="62" t="s">
        <v>370</v>
      </c>
      <c r="J81" s="14" t="str">
        <f t="shared" si="70"/>
        <v>Comuna</v>
      </c>
      <c r="K81" s="14" t="str">
        <f t="shared" si="71"/>
        <v>Ingresos Promedio Mensual (CLP/mes)</v>
      </c>
      <c r="L81" s="14" t="str">
        <f t="shared" si="72"/>
        <v>Año 2017</v>
      </c>
      <c r="M81" s="14" t="str">
        <f t="shared" si="73"/>
        <v>CLP/mes</v>
      </c>
      <c r="N81" s="14" t="str">
        <f t="shared" si="74"/>
        <v>CASEN 2017</v>
      </c>
      <c r="O81" s="28" t="str">
        <f>"Mapa Regional de Ingresos Promedio Mensuales (CLP/mes) para la población de la "&amp;Agencia[[#This Row],[territorio]]&amp;" autodefinida como Etnia Mapuche en el "&amp;Agencia[[#This Row],[temporalidad]]</f>
        <v>Mapa Regional de Ingresos Promedio Mensuales (CLP/mes) para la población de la Región de Tarapacá autodefinida como Etnia Mapuche en el Año 2017</v>
      </c>
      <c r="P81" s="28"/>
      <c r="Q81" s="17" t="str">
        <f t="shared" si="68"/>
        <v xml:space="preserve">Gráfico  </v>
      </c>
      <c r="R81" s="28" t="str">
        <f>Agencia[[#This Row],[territorio]]&amp;",CASEN,ingresos,promedio,etnia,comuna"</f>
        <v>Región de Tarapacá,CASEN,ingresos,promedio,etnia,comuna</v>
      </c>
      <c r="S81" s="30" t="s">
        <v>432</v>
      </c>
      <c r="T81" s="31"/>
      <c r="U81" s="36" t="str">
        <f t="shared" si="69"/>
        <v>#1774B9</v>
      </c>
      <c r="V81" s="37" t="str">
        <f>+Agencia[[#This Row],[idcoleccion]]&amp;"-"&amp;Agencia[[#This Row],[id]]</f>
        <v>990-0071</v>
      </c>
      <c r="W81" s="38">
        <f>+VLOOKUP(Agencia[[#This Row],[Filtro URL]],Estructura!$X$4:$Y$366,2,0)</f>
        <v>99200001</v>
      </c>
      <c r="X81" s="35" t="str">
        <f>+VLOOKUP(Agencia[[#This Row],[tema]],Estructura!$A$4:$C$18,3,0)</f>
        <v>T-995</v>
      </c>
      <c r="Y81" s="35" t="str">
        <f>+VLOOKUP(Agencia[[#This Row],[contenido]],Estructura!$E$4:$G$18,3,0)</f>
        <v>C-991</v>
      </c>
      <c r="Z81" s="35" t="str">
        <f>+VLOOKUP(Agencia[[#This Row],[Filtro Integrado]],Estructura!$I$4:$K$18,3,0)</f>
        <v>FI-991</v>
      </c>
      <c r="AA81" s="35" t="str">
        <f>+VLOOKUP(Agencia[[#This Row],[Muestra]],Estructura!$M$4:$O$18,3,0)</f>
        <v>M-993</v>
      </c>
    </row>
    <row r="82" spans="1:27" ht="40.799999999999997" x14ac:dyDescent="0.3">
      <c r="A82" s="29" t="s">
        <v>512</v>
      </c>
      <c r="B82" s="39">
        <f t="shared" si="63"/>
        <v>990</v>
      </c>
      <c r="C82" s="40" t="str">
        <f t="shared" si="64"/>
        <v>Agencia Información</v>
      </c>
      <c r="D82" s="40" t="str">
        <f t="shared" si="65"/>
        <v>Socioeconómico</v>
      </c>
      <c r="E82" s="27">
        <v>2</v>
      </c>
      <c r="F82" s="40" t="str">
        <f t="shared" si="66"/>
        <v>Ingresos por etnia</v>
      </c>
      <c r="G82" s="41" t="str">
        <f t="shared" si="67"/>
        <v>Ingresos</v>
      </c>
      <c r="H82" s="61" t="s">
        <v>16</v>
      </c>
      <c r="I82" s="62" t="s">
        <v>371</v>
      </c>
      <c r="J82" s="14" t="str">
        <f t="shared" ref="J82:J96" si="75">+J81</f>
        <v>Comuna</v>
      </c>
      <c r="K82" s="14" t="str">
        <f t="shared" ref="K82:K96" si="76">+K81</f>
        <v>Ingresos Promedio Mensual (CLP/mes)</v>
      </c>
      <c r="L82" s="14" t="str">
        <f t="shared" ref="L82:L96" si="77">+L81</f>
        <v>Año 2017</v>
      </c>
      <c r="M82" s="14" t="str">
        <f t="shared" ref="M82:M96" si="78">+M81</f>
        <v>CLP/mes</v>
      </c>
      <c r="N82" s="14" t="str">
        <f t="shared" ref="N82:N96" si="79">+N81</f>
        <v>CASEN 2017</v>
      </c>
      <c r="O82" s="28" t="str">
        <f>"Mapa Regional de Ingresos Promedio Mensuales (CLP/mes) para la población de la "&amp;Agencia[[#This Row],[territorio]]&amp;" autodefinida como Etnia Mapuche en el "&amp;Agencia[[#This Row],[temporalidad]]</f>
        <v>Mapa Regional de Ingresos Promedio Mensuales (CLP/mes) para la población de la Región de Antofagasta autodefinida como Etnia Mapuche en el Año 2017</v>
      </c>
      <c r="P82" s="28"/>
      <c r="Q82" s="17" t="str">
        <f t="shared" ref="Q82:Q96" si="80">+Q81</f>
        <v xml:space="preserve">Gráfico  </v>
      </c>
      <c r="R82" s="28" t="str">
        <f>Agencia[[#This Row],[territorio]]&amp;",CASEN,ingresos,promedio,etnia,comuna"</f>
        <v>Región de Antofagasta,CASEN,ingresos,promedio,etnia,comuna</v>
      </c>
      <c r="S82" s="30" t="s">
        <v>432</v>
      </c>
      <c r="T82" s="31"/>
      <c r="U82" s="36" t="str">
        <f t="shared" ref="U82:U96" si="81">+U81</f>
        <v>#1774B9</v>
      </c>
      <c r="V82" s="37" t="str">
        <f>+Agencia[[#This Row],[idcoleccion]]&amp;"-"&amp;Agencia[[#This Row],[id]]</f>
        <v>990-0072</v>
      </c>
      <c r="W82" s="38">
        <f>+VLOOKUP(Agencia[[#This Row],[Filtro URL]],Estructura!$X$4:$Y$366,2,0)</f>
        <v>99200002</v>
      </c>
      <c r="X82" s="35" t="str">
        <f>+VLOOKUP(Agencia[[#This Row],[tema]],Estructura!$A$4:$C$18,3,0)</f>
        <v>T-995</v>
      </c>
      <c r="Y82" s="35" t="str">
        <f>+VLOOKUP(Agencia[[#This Row],[contenido]],Estructura!$E$4:$G$18,3,0)</f>
        <v>C-991</v>
      </c>
      <c r="Z82" s="35" t="str">
        <f>+VLOOKUP(Agencia[[#This Row],[Filtro Integrado]],Estructura!$I$4:$K$18,3,0)</f>
        <v>FI-991</v>
      </c>
      <c r="AA82" s="35" t="str">
        <f>+VLOOKUP(Agencia[[#This Row],[Muestra]],Estructura!$M$4:$O$18,3,0)</f>
        <v>M-993</v>
      </c>
    </row>
    <row r="83" spans="1:27" ht="30.6" x14ac:dyDescent="0.3">
      <c r="A83" s="29" t="s">
        <v>513</v>
      </c>
      <c r="B83" s="39">
        <f t="shared" si="63"/>
        <v>990</v>
      </c>
      <c r="C83" s="40" t="str">
        <f t="shared" si="64"/>
        <v>Agencia Información</v>
      </c>
      <c r="D83" s="40" t="str">
        <f t="shared" si="65"/>
        <v>Socioeconómico</v>
      </c>
      <c r="E83" s="27">
        <v>3</v>
      </c>
      <c r="F83" s="40" t="str">
        <f t="shared" si="66"/>
        <v>Ingresos por etnia</v>
      </c>
      <c r="G83" s="41" t="str">
        <f t="shared" si="67"/>
        <v>Ingresos</v>
      </c>
      <c r="H83" s="61" t="s">
        <v>16</v>
      </c>
      <c r="I83" s="62" t="s">
        <v>372</v>
      </c>
      <c r="J83" s="14" t="str">
        <f t="shared" si="75"/>
        <v>Comuna</v>
      </c>
      <c r="K83" s="14" t="str">
        <f t="shared" si="76"/>
        <v>Ingresos Promedio Mensual (CLP/mes)</v>
      </c>
      <c r="L83" s="14" t="str">
        <f t="shared" si="77"/>
        <v>Año 2017</v>
      </c>
      <c r="M83" s="14" t="str">
        <f t="shared" si="78"/>
        <v>CLP/mes</v>
      </c>
      <c r="N83" s="14" t="str">
        <f t="shared" si="79"/>
        <v>CASEN 2017</v>
      </c>
      <c r="O83" s="28" t="str">
        <f>"Mapa Regional de Ingresos Promedio Mensuales (CLP/mes) para la población de la "&amp;Agencia[[#This Row],[territorio]]&amp;" autodefinida como Etnia Mapuche en el "&amp;Agencia[[#This Row],[temporalidad]]</f>
        <v>Mapa Regional de Ingresos Promedio Mensuales (CLP/mes) para la población de la Región de Atacama autodefinida como Etnia Mapuche en el Año 2017</v>
      </c>
      <c r="P83" s="28"/>
      <c r="Q83" s="17" t="str">
        <f t="shared" si="80"/>
        <v xml:space="preserve">Gráfico  </v>
      </c>
      <c r="R83" s="28" t="str">
        <f>Agencia[[#This Row],[territorio]]&amp;",CASEN,ingresos,promedio,etnia,comuna"</f>
        <v>Región de Atacama,CASEN,ingresos,promedio,etnia,comuna</v>
      </c>
      <c r="S83" s="30" t="s">
        <v>432</v>
      </c>
      <c r="T83" s="31"/>
      <c r="U83" s="36" t="str">
        <f t="shared" si="81"/>
        <v>#1774B9</v>
      </c>
      <c r="V83" s="37" t="str">
        <f>+Agencia[[#This Row],[idcoleccion]]&amp;"-"&amp;Agencia[[#This Row],[id]]</f>
        <v>990-0073</v>
      </c>
      <c r="W83" s="38">
        <f>+VLOOKUP(Agencia[[#This Row],[Filtro URL]],Estructura!$X$4:$Y$366,2,0)</f>
        <v>99200003</v>
      </c>
      <c r="X83" s="35" t="str">
        <f>+VLOOKUP(Agencia[[#This Row],[tema]],Estructura!$A$4:$C$18,3,0)</f>
        <v>T-995</v>
      </c>
      <c r="Y83" s="35" t="str">
        <f>+VLOOKUP(Agencia[[#This Row],[contenido]],Estructura!$E$4:$G$18,3,0)</f>
        <v>C-991</v>
      </c>
      <c r="Z83" s="35" t="str">
        <f>+VLOOKUP(Agencia[[#This Row],[Filtro Integrado]],Estructura!$I$4:$K$18,3,0)</f>
        <v>FI-991</v>
      </c>
      <c r="AA83" s="35" t="str">
        <f>+VLOOKUP(Agencia[[#This Row],[Muestra]],Estructura!$M$4:$O$18,3,0)</f>
        <v>M-993</v>
      </c>
    </row>
    <row r="84" spans="1:27" ht="30.6" x14ac:dyDescent="0.3">
      <c r="A84" s="29" t="s">
        <v>514</v>
      </c>
      <c r="B84" s="39">
        <f t="shared" si="63"/>
        <v>990</v>
      </c>
      <c r="C84" s="40" t="str">
        <f t="shared" si="64"/>
        <v>Agencia Información</v>
      </c>
      <c r="D84" s="40" t="str">
        <f t="shared" si="65"/>
        <v>Socioeconómico</v>
      </c>
      <c r="E84" s="27">
        <v>4</v>
      </c>
      <c r="F84" s="40" t="str">
        <f t="shared" si="66"/>
        <v>Ingresos por etnia</v>
      </c>
      <c r="G84" s="41" t="str">
        <f t="shared" si="67"/>
        <v>Ingresos</v>
      </c>
      <c r="H84" s="61" t="s">
        <v>16</v>
      </c>
      <c r="I84" s="62" t="s">
        <v>373</v>
      </c>
      <c r="J84" s="14" t="str">
        <f t="shared" si="75"/>
        <v>Comuna</v>
      </c>
      <c r="K84" s="14" t="str">
        <f t="shared" si="76"/>
        <v>Ingresos Promedio Mensual (CLP/mes)</v>
      </c>
      <c r="L84" s="14" t="str">
        <f t="shared" si="77"/>
        <v>Año 2017</v>
      </c>
      <c r="M84" s="14" t="str">
        <f t="shared" si="78"/>
        <v>CLP/mes</v>
      </c>
      <c r="N84" s="14" t="str">
        <f t="shared" si="79"/>
        <v>CASEN 2017</v>
      </c>
      <c r="O84" s="28" t="str">
        <f>"Mapa Regional de Ingresos Promedio Mensuales (CLP/mes) para la población de la "&amp;Agencia[[#This Row],[territorio]]&amp;" autodefinida como Etnia Mapuche en el "&amp;Agencia[[#This Row],[temporalidad]]</f>
        <v>Mapa Regional de Ingresos Promedio Mensuales (CLP/mes) para la población de la Región de Coquimbo autodefinida como Etnia Mapuche en el Año 2017</v>
      </c>
      <c r="P84" s="28"/>
      <c r="Q84" s="17" t="str">
        <f t="shared" si="80"/>
        <v xml:space="preserve">Gráfico  </v>
      </c>
      <c r="R84" s="28" t="str">
        <f>Agencia[[#This Row],[territorio]]&amp;",CASEN,ingresos,promedio,etnia,comuna"</f>
        <v>Región de Coquimbo,CASEN,ingresos,promedio,etnia,comuna</v>
      </c>
      <c r="S84" s="30" t="s">
        <v>432</v>
      </c>
      <c r="T84" s="31"/>
      <c r="U84" s="36" t="str">
        <f t="shared" si="81"/>
        <v>#1774B9</v>
      </c>
      <c r="V84" s="37" t="str">
        <f>+Agencia[[#This Row],[idcoleccion]]&amp;"-"&amp;Agencia[[#This Row],[id]]</f>
        <v>990-0074</v>
      </c>
      <c r="W84" s="38">
        <f>+VLOOKUP(Agencia[[#This Row],[Filtro URL]],Estructura!$X$4:$Y$366,2,0)</f>
        <v>99200004</v>
      </c>
      <c r="X84" s="35" t="str">
        <f>+VLOOKUP(Agencia[[#This Row],[tema]],Estructura!$A$4:$C$18,3,0)</f>
        <v>T-995</v>
      </c>
      <c r="Y84" s="35" t="str">
        <f>+VLOOKUP(Agencia[[#This Row],[contenido]],Estructura!$E$4:$G$18,3,0)</f>
        <v>C-991</v>
      </c>
      <c r="Z84" s="35" t="str">
        <f>+VLOOKUP(Agencia[[#This Row],[Filtro Integrado]],Estructura!$I$4:$K$18,3,0)</f>
        <v>FI-991</v>
      </c>
      <c r="AA84" s="35" t="str">
        <f>+VLOOKUP(Agencia[[#This Row],[Muestra]],Estructura!$M$4:$O$18,3,0)</f>
        <v>M-993</v>
      </c>
    </row>
    <row r="85" spans="1:27" ht="30.6" x14ac:dyDescent="0.3">
      <c r="A85" s="29" t="s">
        <v>515</v>
      </c>
      <c r="B85" s="39">
        <f t="shared" si="63"/>
        <v>990</v>
      </c>
      <c r="C85" s="40" t="str">
        <f t="shared" si="64"/>
        <v>Agencia Información</v>
      </c>
      <c r="D85" s="40" t="str">
        <f t="shared" si="65"/>
        <v>Socioeconómico</v>
      </c>
      <c r="E85" s="27">
        <v>5</v>
      </c>
      <c r="F85" s="40" t="str">
        <f t="shared" si="66"/>
        <v>Ingresos por etnia</v>
      </c>
      <c r="G85" s="41" t="str">
        <f t="shared" si="67"/>
        <v>Ingresos</v>
      </c>
      <c r="H85" s="61" t="s">
        <v>16</v>
      </c>
      <c r="I85" s="62" t="s">
        <v>374</v>
      </c>
      <c r="J85" s="14" t="str">
        <f t="shared" si="75"/>
        <v>Comuna</v>
      </c>
      <c r="K85" s="14" t="str">
        <f t="shared" si="76"/>
        <v>Ingresos Promedio Mensual (CLP/mes)</v>
      </c>
      <c r="L85" s="14" t="str">
        <f t="shared" si="77"/>
        <v>Año 2017</v>
      </c>
      <c r="M85" s="14" t="str">
        <f t="shared" si="78"/>
        <v>CLP/mes</v>
      </c>
      <c r="N85" s="14" t="str">
        <f t="shared" si="79"/>
        <v>CASEN 2017</v>
      </c>
      <c r="O85" s="28" t="str">
        <f>"Mapa Regional de Ingresos Promedio Mensuales (CLP/mes) para la población de la "&amp;Agencia[[#This Row],[territorio]]&amp;" autodefinida como Etnia Mapuche en el "&amp;Agencia[[#This Row],[temporalidad]]</f>
        <v>Mapa Regional de Ingresos Promedio Mensuales (CLP/mes) para la población de la Región de Valparaíso autodefinida como Etnia Mapuche en el Año 2017</v>
      </c>
      <c r="P85" s="28"/>
      <c r="Q85" s="17" t="str">
        <f t="shared" si="80"/>
        <v xml:space="preserve">Gráfico  </v>
      </c>
      <c r="R85" s="28" t="str">
        <f>Agencia[[#This Row],[territorio]]&amp;",CASEN,ingresos,promedio,etnia,comuna"</f>
        <v>Región de Valparaíso,CASEN,ingresos,promedio,etnia,comuna</v>
      </c>
      <c r="S85" s="30" t="s">
        <v>432</v>
      </c>
      <c r="T85" s="31"/>
      <c r="U85" s="36" t="str">
        <f t="shared" si="81"/>
        <v>#1774B9</v>
      </c>
      <c r="V85" s="37" t="str">
        <f>+Agencia[[#This Row],[idcoleccion]]&amp;"-"&amp;Agencia[[#This Row],[id]]</f>
        <v>990-0075</v>
      </c>
      <c r="W85" s="38">
        <f>+VLOOKUP(Agencia[[#This Row],[Filtro URL]],Estructura!$X$4:$Y$366,2,0)</f>
        <v>99200005</v>
      </c>
      <c r="X85" s="35" t="str">
        <f>+VLOOKUP(Agencia[[#This Row],[tema]],Estructura!$A$4:$C$18,3,0)</f>
        <v>T-995</v>
      </c>
      <c r="Y85" s="35" t="str">
        <f>+VLOOKUP(Agencia[[#This Row],[contenido]],Estructura!$E$4:$G$18,3,0)</f>
        <v>C-991</v>
      </c>
      <c r="Z85" s="35" t="str">
        <f>+VLOOKUP(Agencia[[#This Row],[Filtro Integrado]],Estructura!$I$4:$K$18,3,0)</f>
        <v>FI-991</v>
      </c>
      <c r="AA85" s="35" t="str">
        <f>+VLOOKUP(Agencia[[#This Row],[Muestra]],Estructura!$M$4:$O$18,3,0)</f>
        <v>M-993</v>
      </c>
    </row>
    <row r="86" spans="1:27" ht="30.6" x14ac:dyDescent="0.3">
      <c r="A86" s="29" t="s">
        <v>516</v>
      </c>
      <c r="B86" s="39">
        <f t="shared" si="63"/>
        <v>990</v>
      </c>
      <c r="C86" s="40" t="str">
        <f t="shared" si="64"/>
        <v>Agencia Información</v>
      </c>
      <c r="D86" s="40" t="str">
        <f t="shared" si="65"/>
        <v>Socioeconómico</v>
      </c>
      <c r="E86" s="27">
        <v>6</v>
      </c>
      <c r="F86" s="40" t="str">
        <f t="shared" si="66"/>
        <v>Ingresos por etnia</v>
      </c>
      <c r="G86" s="41" t="str">
        <f t="shared" si="67"/>
        <v>Ingresos</v>
      </c>
      <c r="H86" s="61" t="s">
        <v>16</v>
      </c>
      <c r="I86" s="62" t="s">
        <v>375</v>
      </c>
      <c r="J86" s="14" t="str">
        <f t="shared" si="75"/>
        <v>Comuna</v>
      </c>
      <c r="K86" s="14" t="str">
        <f t="shared" si="76"/>
        <v>Ingresos Promedio Mensual (CLP/mes)</v>
      </c>
      <c r="L86" s="14" t="str">
        <f t="shared" si="77"/>
        <v>Año 2017</v>
      </c>
      <c r="M86" s="14" t="str">
        <f t="shared" si="78"/>
        <v>CLP/mes</v>
      </c>
      <c r="N86" s="14" t="str">
        <f t="shared" si="79"/>
        <v>CASEN 2017</v>
      </c>
      <c r="O86" s="28" t="str">
        <f>"Mapa Regional de Ingresos Promedio Mensuales (CLP/mes) para la población de la "&amp;Agencia[[#This Row],[territorio]]&amp;" autodefinida como Etnia Mapuche en el "&amp;Agencia[[#This Row],[temporalidad]]</f>
        <v>Mapa Regional de Ingresos Promedio Mensuales (CLP/mes) para la población de la Región de O'Higgins autodefinida como Etnia Mapuche en el Año 2017</v>
      </c>
      <c r="P86" s="28"/>
      <c r="Q86" s="17" t="str">
        <f t="shared" si="80"/>
        <v xml:space="preserve">Gráfico  </v>
      </c>
      <c r="R86" s="28" t="str">
        <f>Agencia[[#This Row],[territorio]]&amp;",CASEN,ingresos,promedio,etnia,comuna"</f>
        <v>Región de O'Higgins,CASEN,ingresos,promedio,etnia,comuna</v>
      </c>
      <c r="S86" s="30" t="s">
        <v>432</v>
      </c>
      <c r="T86" s="31"/>
      <c r="U86" s="36" t="str">
        <f t="shared" si="81"/>
        <v>#1774B9</v>
      </c>
      <c r="V86" s="37" t="str">
        <f>+Agencia[[#This Row],[idcoleccion]]&amp;"-"&amp;Agencia[[#This Row],[id]]</f>
        <v>990-0076</v>
      </c>
      <c r="W86" s="38">
        <f>+VLOOKUP(Agencia[[#This Row],[Filtro URL]],Estructura!$X$4:$Y$366,2,0)</f>
        <v>99200006</v>
      </c>
      <c r="X86" s="35" t="str">
        <f>+VLOOKUP(Agencia[[#This Row],[tema]],Estructura!$A$4:$C$18,3,0)</f>
        <v>T-995</v>
      </c>
      <c r="Y86" s="35" t="str">
        <f>+VLOOKUP(Agencia[[#This Row],[contenido]],Estructura!$E$4:$G$18,3,0)</f>
        <v>C-991</v>
      </c>
      <c r="Z86" s="35" t="str">
        <f>+VLOOKUP(Agencia[[#This Row],[Filtro Integrado]],Estructura!$I$4:$K$18,3,0)</f>
        <v>FI-991</v>
      </c>
      <c r="AA86" s="35" t="str">
        <f>+VLOOKUP(Agencia[[#This Row],[Muestra]],Estructura!$M$4:$O$18,3,0)</f>
        <v>M-993</v>
      </c>
    </row>
    <row r="87" spans="1:27" ht="30.6" x14ac:dyDescent="0.3">
      <c r="A87" s="29" t="s">
        <v>517</v>
      </c>
      <c r="B87" s="39">
        <f t="shared" si="63"/>
        <v>990</v>
      </c>
      <c r="C87" s="40" t="str">
        <f t="shared" si="64"/>
        <v>Agencia Información</v>
      </c>
      <c r="D87" s="40" t="str">
        <f t="shared" si="65"/>
        <v>Socioeconómico</v>
      </c>
      <c r="E87" s="27">
        <v>7</v>
      </c>
      <c r="F87" s="40" t="str">
        <f t="shared" si="66"/>
        <v>Ingresos por etnia</v>
      </c>
      <c r="G87" s="41" t="str">
        <f t="shared" si="67"/>
        <v>Ingresos</v>
      </c>
      <c r="H87" s="61" t="s">
        <v>16</v>
      </c>
      <c r="I87" s="62" t="s">
        <v>376</v>
      </c>
      <c r="J87" s="14" t="str">
        <f t="shared" si="75"/>
        <v>Comuna</v>
      </c>
      <c r="K87" s="14" t="str">
        <f t="shared" si="76"/>
        <v>Ingresos Promedio Mensual (CLP/mes)</v>
      </c>
      <c r="L87" s="14" t="str">
        <f t="shared" si="77"/>
        <v>Año 2017</v>
      </c>
      <c r="M87" s="14" t="str">
        <f t="shared" si="78"/>
        <v>CLP/mes</v>
      </c>
      <c r="N87" s="14" t="str">
        <f t="shared" si="79"/>
        <v>CASEN 2017</v>
      </c>
      <c r="O87" s="28" t="str">
        <f>"Mapa Regional de Ingresos Promedio Mensuales (CLP/mes) para la población de la "&amp;Agencia[[#This Row],[territorio]]&amp;" autodefinida como Etnia Mapuche en el "&amp;Agencia[[#This Row],[temporalidad]]</f>
        <v>Mapa Regional de Ingresos Promedio Mensuales (CLP/mes) para la población de la Región de Maule autodefinida como Etnia Mapuche en el Año 2017</v>
      </c>
      <c r="P87" s="28"/>
      <c r="Q87" s="17" t="str">
        <f t="shared" si="80"/>
        <v xml:space="preserve">Gráfico  </v>
      </c>
      <c r="R87" s="28" t="str">
        <f>Agencia[[#This Row],[territorio]]&amp;",CASEN,ingresos,promedio,etnia,comuna"</f>
        <v>Región de Maule,CASEN,ingresos,promedio,etnia,comuna</v>
      </c>
      <c r="S87" s="30" t="s">
        <v>432</v>
      </c>
      <c r="T87" s="31"/>
      <c r="U87" s="36" t="str">
        <f t="shared" si="81"/>
        <v>#1774B9</v>
      </c>
      <c r="V87" s="37" t="str">
        <f>+Agencia[[#This Row],[idcoleccion]]&amp;"-"&amp;Agencia[[#This Row],[id]]</f>
        <v>990-0077</v>
      </c>
      <c r="W87" s="38">
        <f>+VLOOKUP(Agencia[[#This Row],[Filtro URL]],Estructura!$X$4:$Y$366,2,0)</f>
        <v>99200007</v>
      </c>
      <c r="X87" s="35" t="str">
        <f>+VLOOKUP(Agencia[[#This Row],[tema]],Estructura!$A$4:$C$18,3,0)</f>
        <v>T-995</v>
      </c>
      <c r="Y87" s="35" t="str">
        <f>+VLOOKUP(Agencia[[#This Row],[contenido]],Estructura!$E$4:$G$18,3,0)</f>
        <v>C-991</v>
      </c>
      <c r="Z87" s="35" t="str">
        <f>+VLOOKUP(Agencia[[#This Row],[Filtro Integrado]],Estructura!$I$4:$K$18,3,0)</f>
        <v>FI-991</v>
      </c>
      <c r="AA87" s="35" t="str">
        <f>+VLOOKUP(Agencia[[#This Row],[Muestra]],Estructura!$M$4:$O$18,3,0)</f>
        <v>M-993</v>
      </c>
    </row>
    <row r="88" spans="1:27" ht="30.6" x14ac:dyDescent="0.3">
      <c r="A88" s="29" t="s">
        <v>518</v>
      </c>
      <c r="B88" s="39">
        <f t="shared" si="63"/>
        <v>990</v>
      </c>
      <c r="C88" s="40" t="str">
        <f t="shared" si="64"/>
        <v>Agencia Información</v>
      </c>
      <c r="D88" s="40" t="str">
        <f t="shared" si="65"/>
        <v>Socioeconómico</v>
      </c>
      <c r="E88" s="27">
        <v>8</v>
      </c>
      <c r="F88" s="40" t="str">
        <f t="shared" si="66"/>
        <v>Ingresos por etnia</v>
      </c>
      <c r="G88" s="41" t="str">
        <f t="shared" si="67"/>
        <v>Ingresos</v>
      </c>
      <c r="H88" s="61" t="s">
        <v>16</v>
      </c>
      <c r="I88" s="62" t="s">
        <v>377</v>
      </c>
      <c r="J88" s="14" t="str">
        <f t="shared" si="75"/>
        <v>Comuna</v>
      </c>
      <c r="K88" s="14" t="str">
        <f t="shared" si="76"/>
        <v>Ingresos Promedio Mensual (CLP/mes)</v>
      </c>
      <c r="L88" s="14" t="str">
        <f t="shared" si="77"/>
        <v>Año 2017</v>
      </c>
      <c r="M88" s="14" t="str">
        <f t="shared" si="78"/>
        <v>CLP/mes</v>
      </c>
      <c r="N88" s="14" t="str">
        <f t="shared" si="79"/>
        <v>CASEN 2017</v>
      </c>
      <c r="O88" s="28" t="str">
        <f>"Mapa Regional de Ingresos Promedio Mensuales (CLP/mes) para la población de la "&amp;Agencia[[#This Row],[territorio]]&amp;" autodefinida como Etnia Mapuche en el "&amp;Agencia[[#This Row],[temporalidad]]</f>
        <v>Mapa Regional de Ingresos Promedio Mensuales (CLP/mes) para la población de la Región del Biobío autodefinida como Etnia Mapuche en el Año 2017</v>
      </c>
      <c r="P88" s="28"/>
      <c r="Q88" s="17" t="str">
        <f t="shared" si="80"/>
        <v xml:space="preserve">Gráfico  </v>
      </c>
      <c r="R88" s="28" t="str">
        <f>Agencia[[#This Row],[territorio]]&amp;",CASEN,ingresos,promedio,etnia,comuna"</f>
        <v>Región del Biobío,CASEN,ingresos,promedio,etnia,comuna</v>
      </c>
      <c r="S88" s="30" t="s">
        <v>432</v>
      </c>
      <c r="T88" s="31"/>
      <c r="U88" s="36" t="str">
        <f t="shared" si="81"/>
        <v>#1774B9</v>
      </c>
      <c r="V88" s="37" t="str">
        <f>+Agencia[[#This Row],[idcoleccion]]&amp;"-"&amp;Agencia[[#This Row],[id]]</f>
        <v>990-0078</v>
      </c>
      <c r="W88" s="38">
        <f>+VLOOKUP(Agencia[[#This Row],[Filtro URL]],Estructura!$X$4:$Y$366,2,0)</f>
        <v>99200008</v>
      </c>
      <c r="X88" s="35" t="str">
        <f>+VLOOKUP(Agencia[[#This Row],[tema]],Estructura!$A$4:$C$18,3,0)</f>
        <v>T-995</v>
      </c>
      <c r="Y88" s="35" t="str">
        <f>+VLOOKUP(Agencia[[#This Row],[contenido]],Estructura!$E$4:$G$18,3,0)</f>
        <v>C-991</v>
      </c>
      <c r="Z88" s="35" t="str">
        <f>+VLOOKUP(Agencia[[#This Row],[Filtro Integrado]],Estructura!$I$4:$K$18,3,0)</f>
        <v>FI-991</v>
      </c>
      <c r="AA88" s="35" t="str">
        <f>+VLOOKUP(Agencia[[#This Row],[Muestra]],Estructura!$M$4:$O$18,3,0)</f>
        <v>M-993</v>
      </c>
    </row>
    <row r="89" spans="1:27" ht="40.799999999999997" x14ac:dyDescent="0.3">
      <c r="A89" s="29" t="s">
        <v>519</v>
      </c>
      <c r="B89" s="39">
        <f t="shared" si="63"/>
        <v>990</v>
      </c>
      <c r="C89" s="40" t="str">
        <f t="shared" si="64"/>
        <v>Agencia Información</v>
      </c>
      <c r="D89" s="40" t="str">
        <f t="shared" si="65"/>
        <v>Socioeconómico</v>
      </c>
      <c r="E89" s="27">
        <v>9</v>
      </c>
      <c r="F89" s="40" t="str">
        <f t="shared" si="66"/>
        <v>Ingresos por etnia</v>
      </c>
      <c r="G89" s="41" t="str">
        <f t="shared" si="67"/>
        <v>Ingresos</v>
      </c>
      <c r="H89" s="61" t="s">
        <v>16</v>
      </c>
      <c r="I89" s="62" t="s">
        <v>378</v>
      </c>
      <c r="J89" s="14" t="str">
        <f t="shared" si="75"/>
        <v>Comuna</v>
      </c>
      <c r="K89" s="14" t="str">
        <f t="shared" si="76"/>
        <v>Ingresos Promedio Mensual (CLP/mes)</v>
      </c>
      <c r="L89" s="14" t="str">
        <f t="shared" si="77"/>
        <v>Año 2017</v>
      </c>
      <c r="M89" s="14" t="str">
        <f t="shared" si="78"/>
        <v>CLP/mes</v>
      </c>
      <c r="N89" s="14" t="str">
        <f t="shared" si="79"/>
        <v>CASEN 2017</v>
      </c>
      <c r="O89" s="28" t="str">
        <f>"Mapa Regional de Ingresos Promedio Mensuales (CLP/mes) para la población de la "&amp;Agencia[[#This Row],[territorio]]&amp;" autodefinida como Etnia Mapuche en el "&amp;Agencia[[#This Row],[temporalidad]]</f>
        <v>Mapa Regional de Ingresos Promedio Mensuales (CLP/mes) para la población de la Región de La Araucanía autodefinida como Etnia Mapuche en el Año 2017</v>
      </c>
      <c r="P89" s="28"/>
      <c r="Q89" s="17" t="str">
        <f t="shared" si="80"/>
        <v xml:space="preserve">Gráfico  </v>
      </c>
      <c r="R89" s="28" t="str">
        <f>Agencia[[#This Row],[territorio]]&amp;",CASEN,ingresos,promedio,etnia,comuna"</f>
        <v>Región de La Araucanía,CASEN,ingresos,promedio,etnia,comuna</v>
      </c>
      <c r="S89" s="30" t="s">
        <v>432</v>
      </c>
      <c r="T89" s="31"/>
      <c r="U89" s="36" t="str">
        <f t="shared" si="81"/>
        <v>#1774B9</v>
      </c>
      <c r="V89" s="37" t="str">
        <f>+Agencia[[#This Row],[idcoleccion]]&amp;"-"&amp;Agencia[[#This Row],[id]]</f>
        <v>990-0079</v>
      </c>
      <c r="W89" s="38">
        <f>+VLOOKUP(Agencia[[#This Row],[Filtro URL]],Estructura!$X$4:$Y$366,2,0)</f>
        <v>99200009</v>
      </c>
      <c r="X89" s="35" t="str">
        <f>+VLOOKUP(Agencia[[#This Row],[tema]],Estructura!$A$4:$C$18,3,0)</f>
        <v>T-995</v>
      </c>
      <c r="Y89" s="35" t="str">
        <f>+VLOOKUP(Agencia[[#This Row],[contenido]],Estructura!$E$4:$G$18,3,0)</f>
        <v>C-991</v>
      </c>
      <c r="Z89" s="35" t="str">
        <f>+VLOOKUP(Agencia[[#This Row],[Filtro Integrado]],Estructura!$I$4:$K$18,3,0)</f>
        <v>FI-991</v>
      </c>
      <c r="AA89" s="35" t="str">
        <f>+VLOOKUP(Agencia[[#This Row],[Muestra]],Estructura!$M$4:$O$18,3,0)</f>
        <v>M-993</v>
      </c>
    </row>
    <row r="90" spans="1:27" ht="30.6" x14ac:dyDescent="0.3">
      <c r="A90" s="29" t="s">
        <v>520</v>
      </c>
      <c r="B90" s="39">
        <f t="shared" si="63"/>
        <v>990</v>
      </c>
      <c r="C90" s="40" t="str">
        <f t="shared" si="64"/>
        <v>Agencia Información</v>
      </c>
      <c r="D90" s="40" t="str">
        <f t="shared" si="65"/>
        <v>Socioeconómico</v>
      </c>
      <c r="E90" s="27">
        <v>10</v>
      </c>
      <c r="F90" s="40" t="str">
        <f t="shared" si="66"/>
        <v>Ingresos por etnia</v>
      </c>
      <c r="G90" s="41" t="str">
        <f t="shared" si="67"/>
        <v>Ingresos</v>
      </c>
      <c r="H90" s="61" t="s">
        <v>16</v>
      </c>
      <c r="I90" s="62" t="s">
        <v>379</v>
      </c>
      <c r="J90" s="14" t="str">
        <f t="shared" si="75"/>
        <v>Comuna</v>
      </c>
      <c r="K90" s="14" t="str">
        <f t="shared" si="76"/>
        <v>Ingresos Promedio Mensual (CLP/mes)</v>
      </c>
      <c r="L90" s="14" t="str">
        <f t="shared" si="77"/>
        <v>Año 2017</v>
      </c>
      <c r="M90" s="14" t="str">
        <f t="shared" si="78"/>
        <v>CLP/mes</v>
      </c>
      <c r="N90" s="14" t="str">
        <f t="shared" si="79"/>
        <v>CASEN 2017</v>
      </c>
      <c r="O90" s="28" t="str">
        <f>"Mapa Regional de Ingresos Promedio Mensuales (CLP/mes) para la población de la "&amp;Agencia[[#This Row],[territorio]]&amp;" autodefinida como Etnia Mapuche en el "&amp;Agencia[[#This Row],[temporalidad]]</f>
        <v>Mapa Regional de Ingresos Promedio Mensuales (CLP/mes) para la población de la Región de Los Lagos autodefinida como Etnia Mapuche en el Año 2017</v>
      </c>
      <c r="P90" s="28"/>
      <c r="Q90" s="17" t="str">
        <f t="shared" si="80"/>
        <v xml:space="preserve">Gráfico  </v>
      </c>
      <c r="R90" s="28" t="str">
        <f>Agencia[[#This Row],[territorio]]&amp;",CASEN,ingresos,promedio,etnia,comuna"</f>
        <v>Región de Los Lagos,CASEN,ingresos,promedio,etnia,comuna</v>
      </c>
      <c r="S90" s="30" t="s">
        <v>432</v>
      </c>
      <c r="T90" s="31"/>
      <c r="U90" s="36" t="str">
        <f t="shared" si="81"/>
        <v>#1774B9</v>
      </c>
      <c r="V90" s="37" t="str">
        <f>+Agencia[[#This Row],[idcoleccion]]&amp;"-"&amp;Agencia[[#This Row],[id]]</f>
        <v>990-0080</v>
      </c>
      <c r="W90" s="38">
        <f>+VLOOKUP(Agencia[[#This Row],[Filtro URL]],Estructura!$X$4:$Y$366,2,0)</f>
        <v>99200010</v>
      </c>
      <c r="X90" s="35" t="str">
        <f>+VLOOKUP(Agencia[[#This Row],[tema]],Estructura!$A$4:$C$18,3,0)</f>
        <v>T-995</v>
      </c>
      <c r="Y90" s="35" t="str">
        <f>+VLOOKUP(Agencia[[#This Row],[contenido]],Estructura!$E$4:$G$18,3,0)</f>
        <v>C-991</v>
      </c>
      <c r="Z90" s="35" t="str">
        <f>+VLOOKUP(Agencia[[#This Row],[Filtro Integrado]],Estructura!$I$4:$K$18,3,0)</f>
        <v>FI-991</v>
      </c>
      <c r="AA90" s="35" t="str">
        <f>+VLOOKUP(Agencia[[#This Row],[Muestra]],Estructura!$M$4:$O$18,3,0)</f>
        <v>M-993</v>
      </c>
    </row>
    <row r="91" spans="1:27" ht="30.6" x14ac:dyDescent="0.3">
      <c r="A91" s="29" t="s">
        <v>521</v>
      </c>
      <c r="B91" s="39">
        <f t="shared" si="63"/>
        <v>990</v>
      </c>
      <c r="C91" s="40" t="str">
        <f t="shared" si="64"/>
        <v>Agencia Información</v>
      </c>
      <c r="D91" s="40" t="str">
        <f t="shared" si="65"/>
        <v>Socioeconómico</v>
      </c>
      <c r="E91" s="27">
        <v>11</v>
      </c>
      <c r="F91" s="40" t="str">
        <f t="shared" si="66"/>
        <v>Ingresos por etnia</v>
      </c>
      <c r="G91" s="41" t="str">
        <f t="shared" si="67"/>
        <v>Ingresos</v>
      </c>
      <c r="H91" s="61" t="s">
        <v>16</v>
      </c>
      <c r="I91" s="62" t="s">
        <v>380</v>
      </c>
      <c r="J91" s="14" t="str">
        <f t="shared" si="75"/>
        <v>Comuna</v>
      </c>
      <c r="K91" s="14" t="str">
        <f t="shared" si="76"/>
        <v>Ingresos Promedio Mensual (CLP/mes)</v>
      </c>
      <c r="L91" s="14" t="str">
        <f t="shared" si="77"/>
        <v>Año 2017</v>
      </c>
      <c r="M91" s="14" t="str">
        <f t="shared" si="78"/>
        <v>CLP/mes</v>
      </c>
      <c r="N91" s="14" t="str">
        <f t="shared" si="79"/>
        <v>CASEN 2017</v>
      </c>
      <c r="O91" s="28" t="str">
        <f>"Mapa Regional de Ingresos Promedio Mensuales (CLP/mes) para la población de la "&amp;Agencia[[#This Row],[territorio]]&amp;" autodefinida como Etnia Mapuche en el "&amp;Agencia[[#This Row],[temporalidad]]</f>
        <v>Mapa Regional de Ingresos Promedio Mensuales (CLP/mes) para la población de la Región de Aysén autodefinida como Etnia Mapuche en el Año 2017</v>
      </c>
      <c r="P91" s="28"/>
      <c r="Q91" s="17" t="str">
        <f t="shared" si="80"/>
        <v xml:space="preserve">Gráfico  </v>
      </c>
      <c r="R91" s="28" t="str">
        <f>Agencia[[#This Row],[territorio]]&amp;",CASEN,ingresos,promedio,etnia,comuna"</f>
        <v>Región de Aysén,CASEN,ingresos,promedio,etnia,comuna</v>
      </c>
      <c r="S91" s="30" t="s">
        <v>432</v>
      </c>
      <c r="T91" s="31"/>
      <c r="U91" s="36" t="str">
        <f t="shared" si="81"/>
        <v>#1774B9</v>
      </c>
      <c r="V91" s="37" t="str">
        <f>+Agencia[[#This Row],[idcoleccion]]&amp;"-"&amp;Agencia[[#This Row],[id]]</f>
        <v>990-0081</v>
      </c>
      <c r="W91" s="38">
        <f>+VLOOKUP(Agencia[[#This Row],[Filtro URL]],Estructura!$X$4:$Y$366,2,0)</f>
        <v>99200011</v>
      </c>
      <c r="X91" s="35" t="str">
        <f>+VLOOKUP(Agencia[[#This Row],[tema]],Estructura!$A$4:$C$18,3,0)</f>
        <v>T-995</v>
      </c>
      <c r="Y91" s="35" t="str">
        <f>+VLOOKUP(Agencia[[#This Row],[contenido]],Estructura!$E$4:$G$18,3,0)</f>
        <v>C-991</v>
      </c>
      <c r="Z91" s="35" t="str">
        <f>+VLOOKUP(Agencia[[#This Row],[Filtro Integrado]],Estructura!$I$4:$K$18,3,0)</f>
        <v>FI-991</v>
      </c>
      <c r="AA91" s="35" t="str">
        <f>+VLOOKUP(Agencia[[#This Row],[Muestra]],Estructura!$M$4:$O$18,3,0)</f>
        <v>M-993</v>
      </c>
    </row>
    <row r="92" spans="1:27" ht="40.799999999999997" x14ac:dyDescent="0.3">
      <c r="A92" s="29" t="s">
        <v>522</v>
      </c>
      <c r="B92" s="39">
        <f t="shared" si="63"/>
        <v>990</v>
      </c>
      <c r="C92" s="40" t="str">
        <f t="shared" si="64"/>
        <v>Agencia Información</v>
      </c>
      <c r="D92" s="40" t="str">
        <f t="shared" si="65"/>
        <v>Socioeconómico</v>
      </c>
      <c r="E92" s="27">
        <v>12</v>
      </c>
      <c r="F92" s="40" t="str">
        <f t="shared" si="66"/>
        <v>Ingresos por etnia</v>
      </c>
      <c r="G92" s="41" t="str">
        <f t="shared" si="67"/>
        <v>Ingresos</v>
      </c>
      <c r="H92" s="61" t="s">
        <v>16</v>
      </c>
      <c r="I92" s="62" t="s">
        <v>381</v>
      </c>
      <c r="J92" s="14" t="str">
        <f t="shared" si="75"/>
        <v>Comuna</v>
      </c>
      <c r="K92" s="14" t="str">
        <f t="shared" si="76"/>
        <v>Ingresos Promedio Mensual (CLP/mes)</v>
      </c>
      <c r="L92" s="14" t="str">
        <f t="shared" si="77"/>
        <v>Año 2017</v>
      </c>
      <c r="M92" s="14" t="str">
        <f t="shared" si="78"/>
        <v>CLP/mes</v>
      </c>
      <c r="N92" s="14" t="str">
        <f t="shared" si="79"/>
        <v>CASEN 2017</v>
      </c>
      <c r="O92" s="28" t="str">
        <f>"Mapa Regional de Ingresos Promedio Mensuales (CLP/mes) para la población de la "&amp;Agencia[[#This Row],[territorio]]&amp;" autodefinida como Etnia Mapuche en el "&amp;Agencia[[#This Row],[temporalidad]]</f>
        <v>Mapa Regional de Ingresos Promedio Mensuales (CLP/mes) para la población de la Región de Magallanes autodefinida como Etnia Mapuche en el Año 2017</v>
      </c>
      <c r="P92" s="28"/>
      <c r="Q92" s="17" t="str">
        <f t="shared" si="80"/>
        <v xml:space="preserve">Gráfico  </v>
      </c>
      <c r="R92" s="28" t="str">
        <f>Agencia[[#This Row],[territorio]]&amp;",CASEN,ingresos,promedio,etnia,comuna"</f>
        <v>Región de Magallanes,CASEN,ingresos,promedio,etnia,comuna</v>
      </c>
      <c r="S92" s="30" t="s">
        <v>432</v>
      </c>
      <c r="T92" s="31"/>
      <c r="U92" s="36" t="str">
        <f t="shared" si="81"/>
        <v>#1774B9</v>
      </c>
      <c r="V92" s="37" t="str">
        <f>+Agencia[[#This Row],[idcoleccion]]&amp;"-"&amp;Agencia[[#This Row],[id]]</f>
        <v>990-0082</v>
      </c>
      <c r="W92" s="38">
        <f>+VLOOKUP(Agencia[[#This Row],[Filtro URL]],Estructura!$X$4:$Y$366,2,0)</f>
        <v>99200012</v>
      </c>
      <c r="X92" s="35" t="str">
        <f>+VLOOKUP(Agencia[[#This Row],[tema]],Estructura!$A$4:$C$18,3,0)</f>
        <v>T-995</v>
      </c>
      <c r="Y92" s="35" t="str">
        <f>+VLOOKUP(Agencia[[#This Row],[contenido]],Estructura!$E$4:$G$18,3,0)</f>
        <v>C-991</v>
      </c>
      <c r="Z92" s="35" t="str">
        <f>+VLOOKUP(Agencia[[#This Row],[Filtro Integrado]],Estructura!$I$4:$K$18,3,0)</f>
        <v>FI-991</v>
      </c>
      <c r="AA92" s="35" t="str">
        <f>+VLOOKUP(Agencia[[#This Row],[Muestra]],Estructura!$M$4:$O$18,3,0)</f>
        <v>M-993</v>
      </c>
    </row>
    <row r="93" spans="1:27" ht="40.799999999999997" x14ac:dyDescent="0.3">
      <c r="A93" s="29" t="s">
        <v>523</v>
      </c>
      <c r="B93" s="39">
        <f t="shared" si="63"/>
        <v>990</v>
      </c>
      <c r="C93" s="40" t="str">
        <f t="shared" si="64"/>
        <v>Agencia Información</v>
      </c>
      <c r="D93" s="40" t="str">
        <f t="shared" si="65"/>
        <v>Socioeconómico</v>
      </c>
      <c r="E93" s="27">
        <v>13</v>
      </c>
      <c r="F93" s="40" t="str">
        <f t="shared" si="66"/>
        <v>Ingresos por etnia</v>
      </c>
      <c r="G93" s="41" t="str">
        <f t="shared" si="67"/>
        <v>Ingresos</v>
      </c>
      <c r="H93" s="61" t="s">
        <v>16</v>
      </c>
      <c r="I93" s="62" t="s">
        <v>382</v>
      </c>
      <c r="J93" s="14" t="str">
        <f t="shared" si="75"/>
        <v>Comuna</v>
      </c>
      <c r="K93" s="14" t="str">
        <f t="shared" si="76"/>
        <v>Ingresos Promedio Mensual (CLP/mes)</v>
      </c>
      <c r="L93" s="14" t="str">
        <f t="shared" si="77"/>
        <v>Año 2017</v>
      </c>
      <c r="M93" s="14" t="str">
        <f t="shared" si="78"/>
        <v>CLP/mes</v>
      </c>
      <c r="N93" s="14" t="str">
        <f t="shared" si="79"/>
        <v>CASEN 2017</v>
      </c>
      <c r="O93" s="28" t="str">
        <f>"Mapa Regional de Ingresos Promedio Mensuales (CLP/mes) para la población de la "&amp;Agencia[[#This Row],[territorio]]&amp;" autodefinida como Etnia Mapuche en el "&amp;Agencia[[#This Row],[temporalidad]]</f>
        <v>Mapa Regional de Ingresos Promedio Mensuales (CLP/mes) para la población de la Región Metropolitana autodefinida como Etnia Mapuche en el Año 2017</v>
      </c>
      <c r="P93" s="28"/>
      <c r="Q93" s="17" t="str">
        <f t="shared" si="80"/>
        <v xml:space="preserve">Gráfico  </v>
      </c>
      <c r="R93" s="28" t="str">
        <f>Agencia[[#This Row],[territorio]]&amp;",CASEN,ingresos,promedio,etnia,comuna"</f>
        <v>Región Metropolitana,CASEN,ingresos,promedio,etnia,comuna</v>
      </c>
      <c r="S93" s="30" t="s">
        <v>432</v>
      </c>
      <c r="T93" s="31"/>
      <c r="U93" s="36" t="str">
        <f t="shared" si="81"/>
        <v>#1774B9</v>
      </c>
      <c r="V93" s="37" t="str">
        <f>+Agencia[[#This Row],[idcoleccion]]&amp;"-"&amp;Agencia[[#This Row],[id]]</f>
        <v>990-0083</v>
      </c>
      <c r="W93" s="38">
        <f>+VLOOKUP(Agencia[[#This Row],[Filtro URL]],Estructura!$X$4:$Y$366,2,0)</f>
        <v>99200013</v>
      </c>
      <c r="X93" s="35" t="str">
        <f>+VLOOKUP(Agencia[[#This Row],[tema]],Estructura!$A$4:$C$18,3,0)</f>
        <v>T-995</v>
      </c>
      <c r="Y93" s="35" t="str">
        <f>+VLOOKUP(Agencia[[#This Row],[contenido]],Estructura!$E$4:$G$18,3,0)</f>
        <v>C-991</v>
      </c>
      <c r="Z93" s="35" t="str">
        <f>+VLOOKUP(Agencia[[#This Row],[Filtro Integrado]],Estructura!$I$4:$K$18,3,0)</f>
        <v>FI-991</v>
      </c>
      <c r="AA93" s="35" t="str">
        <f>+VLOOKUP(Agencia[[#This Row],[Muestra]],Estructura!$M$4:$O$18,3,0)</f>
        <v>M-993</v>
      </c>
    </row>
    <row r="94" spans="1:27" ht="30.6" x14ac:dyDescent="0.3">
      <c r="A94" s="29" t="s">
        <v>524</v>
      </c>
      <c r="B94" s="39">
        <f t="shared" si="63"/>
        <v>990</v>
      </c>
      <c r="C94" s="40" t="str">
        <f t="shared" si="64"/>
        <v>Agencia Información</v>
      </c>
      <c r="D94" s="40" t="str">
        <f t="shared" si="65"/>
        <v>Socioeconómico</v>
      </c>
      <c r="E94" s="27">
        <v>14</v>
      </c>
      <c r="F94" s="40" t="str">
        <f t="shared" si="66"/>
        <v>Ingresos por etnia</v>
      </c>
      <c r="G94" s="41" t="str">
        <f t="shared" si="67"/>
        <v>Ingresos</v>
      </c>
      <c r="H94" s="61" t="s">
        <v>16</v>
      </c>
      <c r="I94" s="62" t="s">
        <v>383</v>
      </c>
      <c r="J94" s="14" t="str">
        <f t="shared" si="75"/>
        <v>Comuna</v>
      </c>
      <c r="K94" s="14" t="str">
        <f t="shared" si="76"/>
        <v>Ingresos Promedio Mensual (CLP/mes)</v>
      </c>
      <c r="L94" s="14" t="str">
        <f t="shared" si="77"/>
        <v>Año 2017</v>
      </c>
      <c r="M94" s="14" t="str">
        <f t="shared" si="78"/>
        <v>CLP/mes</v>
      </c>
      <c r="N94" s="14" t="str">
        <f t="shared" si="79"/>
        <v>CASEN 2017</v>
      </c>
      <c r="O94" s="28" t="str">
        <f>"Mapa Regional de Ingresos Promedio Mensuales (CLP/mes) para la población de la "&amp;Agencia[[#This Row],[territorio]]&amp;" autodefinida como Etnia Mapuche en el "&amp;Agencia[[#This Row],[temporalidad]]</f>
        <v>Mapa Regional de Ingresos Promedio Mensuales (CLP/mes) para la población de la Región de Los Ríos autodefinida como Etnia Mapuche en el Año 2017</v>
      </c>
      <c r="P94" s="28"/>
      <c r="Q94" s="17" t="str">
        <f t="shared" si="80"/>
        <v xml:space="preserve">Gráfico  </v>
      </c>
      <c r="R94" s="28" t="str">
        <f>Agencia[[#This Row],[territorio]]&amp;",CASEN,ingresos,promedio,etnia,comuna"</f>
        <v>Región de Los Ríos,CASEN,ingresos,promedio,etnia,comuna</v>
      </c>
      <c r="S94" s="30" t="s">
        <v>432</v>
      </c>
      <c r="T94" s="31"/>
      <c r="U94" s="36" t="str">
        <f t="shared" si="81"/>
        <v>#1774B9</v>
      </c>
      <c r="V94" s="37" t="str">
        <f>+Agencia[[#This Row],[idcoleccion]]&amp;"-"&amp;Agencia[[#This Row],[id]]</f>
        <v>990-0084</v>
      </c>
      <c r="W94" s="38">
        <f>+VLOOKUP(Agencia[[#This Row],[Filtro URL]],Estructura!$X$4:$Y$366,2,0)</f>
        <v>99200014</v>
      </c>
      <c r="X94" s="35" t="str">
        <f>+VLOOKUP(Agencia[[#This Row],[tema]],Estructura!$A$4:$C$18,3,0)</f>
        <v>T-995</v>
      </c>
      <c r="Y94" s="35" t="str">
        <f>+VLOOKUP(Agencia[[#This Row],[contenido]],Estructura!$E$4:$G$18,3,0)</f>
        <v>C-991</v>
      </c>
      <c r="Z94" s="35" t="str">
        <f>+VLOOKUP(Agencia[[#This Row],[Filtro Integrado]],Estructura!$I$4:$K$18,3,0)</f>
        <v>FI-991</v>
      </c>
      <c r="AA94" s="35" t="str">
        <f>+VLOOKUP(Agencia[[#This Row],[Muestra]],Estructura!$M$4:$O$18,3,0)</f>
        <v>M-993</v>
      </c>
    </row>
    <row r="95" spans="1:27" ht="40.799999999999997" x14ac:dyDescent="0.3">
      <c r="A95" s="29" t="s">
        <v>525</v>
      </c>
      <c r="B95" s="39">
        <f t="shared" si="63"/>
        <v>990</v>
      </c>
      <c r="C95" s="40" t="str">
        <f t="shared" si="64"/>
        <v>Agencia Información</v>
      </c>
      <c r="D95" s="40" t="str">
        <f t="shared" si="65"/>
        <v>Socioeconómico</v>
      </c>
      <c r="E95" s="27">
        <v>15</v>
      </c>
      <c r="F95" s="40" t="str">
        <f t="shared" si="66"/>
        <v>Ingresos por etnia</v>
      </c>
      <c r="G95" s="41" t="str">
        <f t="shared" si="67"/>
        <v>Ingresos</v>
      </c>
      <c r="H95" s="61" t="s">
        <v>16</v>
      </c>
      <c r="I95" s="62" t="s">
        <v>384</v>
      </c>
      <c r="J95" s="14" t="str">
        <f t="shared" si="75"/>
        <v>Comuna</v>
      </c>
      <c r="K95" s="14" t="str">
        <f t="shared" si="76"/>
        <v>Ingresos Promedio Mensual (CLP/mes)</v>
      </c>
      <c r="L95" s="14" t="str">
        <f t="shared" si="77"/>
        <v>Año 2017</v>
      </c>
      <c r="M95" s="14" t="str">
        <f t="shared" si="78"/>
        <v>CLP/mes</v>
      </c>
      <c r="N95" s="14" t="str">
        <f t="shared" si="79"/>
        <v>CASEN 2017</v>
      </c>
      <c r="O95" s="28" t="str">
        <f>"Mapa Regional de Ingresos Promedio Mensuales (CLP/mes) para la población de la "&amp;Agencia[[#This Row],[territorio]]&amp;" autodefinida como Etnia Mapuche en el "&amp;Agencia[[#This Row],[temporalidad]]</f>
        <v>Mapa Regional de Ingresos Promedio Mensuales (CLP/mes) para la población de la Región de Arica y Parinacota autodefinida como Etnia Mapuche en el Año 2017</v>
      </c>
      <c r="P95" s="28"/>
      <c r="Q95" s="17" t="str">
        <f t="shared" si="80"/>
        <v xml:space="preserve">Gráfico  </v>
      </c>
      <c r="R95" s="28" t="str">
        <f>Agencia[[#This Row],[territorio]]&amp;",CASEN,ingresos,promedio,etnia,comuna"</f>
        <v>Región de Arica y Parinacota,CASEN,ingresos,promedio,etnia,comuna</v>
      </c>
      <c r="S95" s="30" t="s">
        <v>432</v>
      </c>
      <c r="T95" s="31"/>
      <c r="U95" s="36" t="str">
        <f t="shared" si="81"/>
        <v>#1774B9</v>
      </c>
      <c r="V95" s="37" t="str">
        <f>+Agencia[[#This Row],[idcoleccion]]&amp;"-"&amp;Agencia[[#This Row],[id]]</f>
        <v>990-0085</v>
      </c>
      <c r="W95" s="38">
        <f>+VLOOKUP(Agencia[[#This Row],[Filtro URL]],Estructura!$X$4:$Y$366,2,0)</f>
        <v>99200015</v>
      </c>
      <c r="X95" s="35" t="str">
        <f>+VLOOKUP(Agencia[[#This Row],[tema]],Estructura!$A$4:$C$18,3,0)</f>
        <v>T-995</v>
      </c>
      <c r="Y95" s="35" t="str">
        <f>+VLOOKUP(Agencia[[#This Row],[contenido]],Estructura!$E$4:$G$18,3,0)</f>
        <v>C-991</v>
      </c>
      <c r="Z95" s="35" t="str">
        <f>+VLOOKUP(Agencia[[#This Row],[Filtro Integrado]],Estructura!$I$4:$K$18,3,0)</f>
        <v>FI-991</v>
      </c>
      <c r="AA95" s="35" t="str">
        <f>+VLOOKUP(Agencia[[#This Row],[Muestra]],Estructura!$M$4:$O$18,3,0)</f>
        <v>M-993</v>
      </c>
    </row>
    <row r="96" spans="1:27" ht="30.6" x14ac:dyDescent="0.3">
      <c r="A96" s="29" t="s">
        <v>526</v>
      </c>
      <c r="B96" s="39">
        <f t="shared" si="63"/>
        <v>990</v>
      </c>
      <c r="C96" s="40" t="str">
        <f t="shared" si="64"/>
        <v>Agencia Información</v>
      </c>
      <c r="D96" s="40" t="str">
        <f t="shared" si="65"/>
        <v>Socioeconómico</v>
      </c>
      <c r="E96" s="27">
        <v>16</v>
      </c>
      <c r="F96" s="40" t="str">
        <f t="shared" si="66"/>
        <v>Ingresos por etnia</v>
      </c>
      <c r="G96" s="41" t="str">
        <f t="shared" si="67"/>
        <v>Ingresos</v>
      </c>
      <c r="H96" s="61" t="s">
        <v>16</v>
      </c>
      <c r="I96" s="62" t="s">
        <v>385</v>
      </c>
      <c r="J96" s="14" t="str">
        <f t="shared" si="75"/>
        <v>Comuna</v>
      </c>
      <c r="K96" s="14" t="str">
        <f t="shared" si="76"/>
        <v>Ingresos Promedio Mensual (CLP/mes)</v>
      </c>
      <c r="L96" s="14" t="str">
        <f t="shared" si="77"/>
        <v>Año 2017</v>
      </c>
      <c r="M96" s="14" t="str">
        <f t="shared" si="78"/>
        <v>CLP/mes</v>
      </c>
      <c r="N96" s="14" t="str">
        <f t="shared" si="79"/>
        <v>CASEN 2017</v>
      </c>
      <c r="O96" s="28" t="str">
        <f>"Mapa Regional de Ingresos Promedio Mensuales (CLP/mes) para la población de la "&amp;Agencia[[#This Row],[territorio]]&amp;" autodefinida como Etnia Mapuche en el "&amp;Agencia[[#This Row],[temporalidad]]</f>
        <v>Mapa Regional de Ingresos Promedio Mensuales (CLP/mes) para la población de la Región de Ñuble autodefinida como Etnia Mapuche en el Año 2017</v>
      </c>
      <c r="P96" s="28"/>
      <c r="Q96" s="17" t="str">
        <f t="shared" si="80"/>
        <v xml:space="preserve">Gráfico  </v>
      </c>
      <c r="R96" s="28" t="str">
        <f>Agencia[[#This Row],[territorio]]&amp;",CASEN,ingresos,promedio,etnia,comuna"</f>
        <v>Región de Ñuble,CASEN,ingresos,promedio,etnia,comuna</v>
      </c>
      <c r="S96" s="30" t="s">
        <v>432</v>
      </c>
      <c r="T96" s="31"/>
      <c r="U96" s="36" t="str">
        <f t="shared" si="81"/>
        <v>#1774B9</v>
      </c>
      <c r="V96" s="37" t="str">
        <f>+Agencia[[#This Row],[idcoleccion]]&amp;"-"&amp;Agencia[[#This Row],[id]]</f>
        <v>990-0086</v>
      </c>
      <c r="W96" s="38">
        <f>+VLOOKUP(Agencia[[#This Row],[Filtro URL]],Estructura!$X$4:$Y$366,2,0)</f>
        <v>99200016</v>
      </c>
      <c r="X96" s="35" t="str">
        <f>+VLOOKUP(Agencia[[#This Row],[tema]],Estructura!$A$4:$C$18,3,0)</f>
        <v>T-995</v>
      </c>
      <c r="Y96" s="35" t="str">
        <f>+VLOOKUP(Agencia[[#This Row],[contenido]],Estructura!$E$4:$G$18,3,0)</f>
        <v>C-991</v>
      </c>
      <c r="Z96" s="35" t="str">
        <f>+VLOOKUP(Agencia[[#This Row],[Filtro Integrado]],Estructura!$I$4:$K$18,3,0)</f>
        <v>FI-991</v>
      </c>
      <c r="AA96" s="35" t="str">
        <f>+VLOOKUP(Agencia[[#This Row],[Muestra]],Estructura!$M$4:$O$18,3,0)</f>
        <v>M-993</v>
      </c>
    </row>
    <row r="97" spans="1:27" ht="48" x14ac:dyDescent="0.3">
      <c r="A97" s="26" t="s">
        <v>528</v>
      </c>
      <c r="B97" s="39">
        <f t="shared" si="63"/>
        <v>990</v>
      </c>
      <c r="C97" s="40" t="str">
        <f t="shared" si="64"/>
        <v>Agencia Información</v>
      </c>
      <c r="D97" s="40" t="s">
        <v>547</v>
      </c>
      <c r="E97" s="21">
        <v>0</v>
      </c>
      <c r="F97" s="40" t="s">
        <v>434</v>
      </c>
      <c r="G97" s="41" t="s">
        <v>527</v>
      </c>
      <c r="H97" s="59" t="s">
        <v>20</v>
      </c>
      <c r="I97" s="60" t="s">
        <v>15</v>
      </c>
      <c r="J97" s="14" t="s">
        <v>16</v>
      </c>
      <c r="K97" s="14" t="s">
        <v>656</v>
      </c>
      <c r="L97" s="14" t="s">
        <v>545</v>
      </c>
      <c r="M97" s="63" t="s">
        <v>437</v>
      </c>
      <c r="N97" s="14" t="s">
        <v>442</v>
      </c>
      <c r="O97" s="42" t="str">
        <f>"Ranking Comunal 2020: Número de Alumnos por Docente en Aula, variación "&amp;Agencia[[#This Row],[temporalidad]]</f>
        <v>Ranking Comunal 2020: Número de Alumnos por Docente en Aula, variación Periodo 2019-2020</v>
      </c>
      <c r="P97" s="42" t="s">
        <v>546</v>
      </c>
      <c r="Q97" s="43" t="s">
        <v>549</v>
      </c>
      <c r="R97" s="28" t="str">
        <f>Agencia[[#This Row],[territorio]]&amp;",Educación,Municipal,Alumnos,Calidad Educación,Colegios Municipales,Docentes"</f>
        <v>Chile,Educación,Municipal,Alumnos,Calidad Educación,Colegios Municipales,Docentes</v>
      </c>
      <c r="S97" s="64" t="s">
        <v>548</v>
      </c>
      <c r="T97" s="44"/>
      <c r="U97" s="45" t="str">
        <f>+U96</f>
        <v>#1774B9</v>
      </c>
      <c r="V97" s="46" t="str">
        <f>+Agencia[[#This Row],[idcoleccion]]&amp;"-"&amp;Agencia[[#This Row],[id]]</f>
        <v>990-0087</v>
      </c>
      <c r="W97" s="38">
        <f>+VLOOKUP(Agencia[[#This Row],[Filtro URL]],Estructura!$X$4:$Y$366,2,0)</f>
        <v>99100000</v>
      </c>
      <c r="X97" s="47" t="str">
        <f>+VLOOKUP(Agencia[[#This Row],[tema]],Estructura!$A$4:$C$18,3,0)</f>
        <v>T-992</v>
      </c>
      <c r="Y97" s="47" t="str">
        <f>+VLOOKUP(Agencia[[#This Row],[contenido]],Estructura!$E$4:$G$18,3,0)</f>
        <v>C-994</v>
      </c>
      <c r="Z97" s="47" t="str">
        <f>+VLOOKUP(Agencia[[#This Row],[Filtro Integrado]],Estructura!$I$4:$K$18,3,0)</f>
        <v>FI-992</v>
      </c>
      <c r="AA97" s="47" t="str">
        <f>+VLOOKUP(Agencia[[#This Row],[Muestra]],Estructura!$M$4:$O$18,3,0)</f>
        <v>M-998</v>
      </c>
    </row>
    <row r="98" spans="1:27" ht="48" x14ac:dyDescent="0.3">
      <c r="A98" s="29" t="s">
        <v>529</v>
      </c>
      <c r="B98" s="39">
        <f t="shared" si="63"/>
        <v>990</v>
      </c>
      <c r="C98" s="40" t="str">
        <f t="shared" si="64"/>
        <v>Agencia Información</v>
      </c>
      <c r="D98" s="40" t="str">
        <f t="shared" si="64"/>
        <v>Gobiernos locales</v>
      </c>
      <c r="E98" s="27">
        <v>1</v>
      </c>
      <c r="F98" s="40" t="str">
        <f>+F97</f>
        <v>Indicadores de Calidad de Educación Municipal</v>
      </c>
      <c r="G98" s="40" t="str">
        <f>+G97</f>
        <v>Gestión Educación</v>
      </c>
      <c r="H98" s="61" t="s">
        <v>16</v>
      </c>
      <c r="I98" s="62" t="s">
        <v>370</v>
      </c>
      <c r="J98" s="14" t="s">
        <v>411</v>
      </c>
      <c r="K98" s="14" t="str">
        <f>+K97</f>
        <v>Número de alumnos por docente en aula</v>
      </c>
      <c r="L98" s="14" t="str">
        <f t="shared" ref="L98:L113" si="82">+L97</f>
        <v>Periodo 2019-2020</v>
      </c>
      <c r="M98" s="14" t="str">
        <f t="shared" ref="M98:M113" si="83">+M97</f>
        <v>Porcentaje (%)</v>
      </c>
      <c r="N98" s="14" t="str">
        <f t="shared" ref="N98:N113" si="84">+N97</f>
        <v>Sistema Nacional de Información Municipal</v>
      </c>
      <c r="O98" s="42" t="str">
        <f>"Ranking Comunal "&amp;Agencia[[#This Row],[territorio]]&amp;" 2020: Número de Alumnos por Docente en Aula, variación "&amp;Agencia[[#This Row],[temporalidad]]</f>
        <v>Ranking Comunal Región de Tarapacá 2020: Número de Alumnos por Docente en Aula, variación Periodo 2019-2020</v>
      </c>
      <c r="P98" s="28"/>
      <c r="Q98" s="17" t="str">
        <f t="shared" ref="Q98:Q113" si="85">+Q97</f>
        <v>Ranking</v>
      </c>
      <c r="R98" s="28" t="str">
        <f>Agencia[[#This Row],[territorio]]&amp;",Educación,Municipal,Alumnos,Calidad Educación,Colegios Municipales,Docentes"</f>
        <v>Región de Tarapacá,Educación,Municipal,Alumnos,Calidad Educación,Colegios Municipales,Docentes</v>
      </c>
      <c r="S98" s="30" t="s">
        <v>432</v>
      </c>
      <c r="T98" s="31"/>
      <c r="U98" s="36" t="str">
        <f t="shared" ref="U98:U113" si="86">+U97</f>
        <v>#1774B9</v>
      </c>
      <c r="V98" s="37" t="str">
        <f>+Agencia[[#This Row],[idcoleccion]]&amp;"-"&amp;Agencia[[#This Row],[id]]</f>
        <v>990-0088</v>
      </c>
      <c r="W98" s="38">
        <f>+VLOOKUP(Agencia[[#This Row],[Filtro URL]],Estructura!$X$4:$Y$366,2,0)</f>
        <v>99200001</v>
      </c>
      <c r="X98" s="35" t="str">
        <f>+VLOOKUP(Agencia[[#This Row],[tema]],Estructura!$A$4:$C$18,3,0)</f>
        <v>T-992</v>
      </c>
      <c r="Y98" s="35" t="str">
        <f>+VLOOKUP(Agencia[[#This Row],[contenido]],Estructura!$E$4:$G$18,3,0)</f>
        <v>C-994</v>
      </c>
      <c r="Z98" s="35" t="str">
        <f>+VLOOKUP(Agencia[[#This Row],[Filtro Integrado]],Estructura!$I$4:$K$18,3,0)</f>
        <v>FI-993</v>
      </c>
      <c r="AA98" s="35" t="str">
        <f>+VLOOKUP(Agencia[[#This Row],[Muestra]],Estructura!$M$4:$O$18,3,0)</f>
        <v>M-998</v>
      </c>
    </row>
    <row r="99" spans="1:27" ht="48" x14ac:dyDescent="0.3">
      <c r="A99" s="29" t="s">
        <v>530</v>
      </c>
      <c r="B99" s="39">
        <f t="shared" si="63"/>
        <v>990</v>
      </c>
      <c r="C99" s="40" t="str">
        <f t="shared" si="64"/>
        <v>Agencia Información</v>
      </c>
      <c r="D99" s="40" t="str">
        <f t="shared" ref="D99" si="87">+D98</f>
        <v>Gobiernos locales</v>
      </c>
      <c r="E99" s="27">
        <v>2</v>
      </c>
      <c r="F99" s="40" t="str">
        <f t="shared" ref="F99:F113" si="88">+F98</f>
        <v>Indicadores de Calidad de Educación Municipal</v>
      </c>
      <c r="G99" s="40" t="str">
        <f t="shared" ref="G99:G113" si="89">+G98</f>
        <v>Gestión Educación</v>
      </c>
      <c r="H99" s="61" t="s">
        <v>16</v>
      </c>
      <c r="I99" s="62" t="s">
        <v>371</v>
      </c>
      <c r="J99" s="14" t="str">
        <f t="shared" ref="J99:J113" si="90">+J98</f>
        <v>Ninguno</v>
      </c>
      <c r="K99" s="14" t="str">
        <f t="shared" ref="K99:K113" si="91">+K98</f>
        <v>Número de alumnos por docente en aula</v>
      </c>
      <c r="L99" s="14" t="str">
        <f t="shared" si="82"/>
        <v>Periodo 2019-2020</v>
      </c>
      <c r="M99" s="14" t="str">
        <f t="shared" si="83"/>
        <v>Porcentaje (%)</v>
      </c>
      <c r="N99" s="14" t="str">
        <f t="shared" si="84"/>
        <v>Sistema Nacional de Información Municipal</v>
      </c>
      <c r="O99" s="42" t="str">
        <f>"Ranking Comunal "&amp;Agencia[[#This Row],[territorio]]&amp;" 2020: Número de Alumnos por Docente en Aula, variación "&amp;Agencia[[#This Row],[temporalidad]]</f>
        <v>Ranking Comunal Región de Antofagasta 2020: Número de Alumnos por Docente en Aula, variación Periodo 2019-2020</v>
      </c>
      <c r="P99" s="28"/>
      <c r="Q99" s="17" t="str">
        <f t="shared" si="85"/>
        <v>Ranking</v>
      </c>
      <c r="R99" s="28" t="str">
        <f>Agencia[[#This Row],[territorio]]&amp;",Educación,Municipal,Alumnos,Calidad Educación,Colegios Municipales,Docentes"</f>
        <v>Región de Antofagasta,Educación,Municipal,Alumnos,Calidad Educación,Colegios Municipales,Docentes</v>
      </c>
      <c r="S99" s="30" t="s">
        <v>432</v>
      </c>
      <c r="T99" s="31"/>
      <c r="U99" s="36" t="str">
        <f t="shared" si="86"/>
        <v>#1774B9</v>
      </c>
      <c r="V99" s="37" t="str">
        <f>+Agencia[[#This Row],[idcoleccion]]&amp;"-"&amp;Agencia[[#This Row],[id]]</f>
        <v>990-0089</v>
      </c>
      <c r="W99" s="38">
        <f>+VLOOKUP(Agencia[[#This Row],[Filtro URL]],Estructura!$X$4:$Y$366,2,0)</f>
        <v>99200002</v>
      </c>
      <c r="X99" s="35" t="str">
        <f>+VLOOKUP(Agencia[[#This Row],[tema]],Estructura!$A$4:$C$18,3,0)</f>
        <v>T-992</v>
      </c>
      <c r="Y99" s="35" t="str">
        <f>+VLOOKUP(Agencia[[#This Row],[contenido]],Estructura!$E$4:$G$18,3,0)</f>
        <v>C-994</v>
      </c>
      <c r="Z99" s="35" t="str">
        <f>+VLOOKUP(Agencia[[#This Row],[Filtro Integrado]],Estructura!$I$4:$K$18,3,0)</f>
        <v>FI-993</v>
      </c>
      <c r="AA99" s="35" t="str">
        <f>+VLOOKUP(Agencia[[#This Row],[Muestra]],Estructura!$M$4:$O$18,3,0)</f>
        <v>M-998</v>
      </c>
    </row>
    <row r="100" spans="1:27" ht="48" x14ac:dyDescent="0.3">
      <c r="A100" s="29" t="s">
        <v>531</v>
      </c>
      <c r="B100" s="39">
        <f t="shared" si="63"/>
        <v>990</v>
      </c>
      <c r="C100" s="40" t="str">
        <f t="shared" si="64"/>
        <v>Agencia Información</v>
      </c>
      <c r="D100" s="40" t="str">
        <f t="shared" ref="D100" si="92">+D99</f>
        <v>Gobiernos locales</v>
      </c>
      <c r="E100" s="27">
        <v>3</v>
      </c>
      <c r="F100" s="40" t="str">
        <f t="shared" si="88"/>
        <v>Indicadores de Calidad de Educación Municipal</v>
      </c>
      <c r="G100" s="40" t="str">
        <f t="shared" si="89"/>
        <v>Gestión Educación</v>
      </c>
      <c r="H100" s="61" t="s">
        <v>16</v>
      </c>
      <c r="I100" s="62" t="s">
        <v>372</v>
      </c>
      <c r="J100" s="14" t="str">
        <f t="shared" si="90"/>
        <v>Ninguno</v>
      </c>
      <c r="K100" s="14" t="str">
        <f t="shared" si="91"/>
        <v>Número de alumnos por docente en aula</v>
      </c>
      <c r="L100" s="14" t="str">
        <f t="shared" si="82"/>
        <v>Periodo 2019-2020</v>
      </c>
      <c r="M100" s="14" t="str">
        <f t="shared" si="83"/>
        <v>Porcentaje (%)</v>
      </c>
      <c r="N100" s="14" t="str">
        <f t="shared" si="84"/>
        <v>Sistema Nacional de Información Municipal</v>
      </c>
      <c r="O100" s="42" t="str">
        <f>"Ranking Comunal "&amp;Agencia[[#This Row],[territorio]]&amp;" 2020: Número de Alumnos por Docente en Aula, variación "&amp;Agencia[[#This Row],[temporalidad]]</f>
        <v>Ranking Comunal Región de Atacama 2020: Número de Alumnos por Docente en Aula, variación Periodo 2019-2020</v>
      </c>
      <c r="P100" s="28"/>
      <c r="Q100" s="17" t="str">
        <f t="shared" si="85"/>
        <v>Ranking</v>
      </c>
      <c r="R100" s="28" t="str">
        <f>Agencia[[#This Row],[territorio]]&amp;",Educación,Municipal,Alumnos,Calidad Educación,Colegios Municipales,Docentes"</f>
        <v>Región de Atacama,Educación,Municipal,Alumnos,Calidad Educación,Colegios Municipales,Docentes</v>
      </c>
      <c r="S100" s="30" t="s">
        <v>432</v>
      </c>
      <c r="T100" s="31"/>
      <c r="U100" s="36" t="str">
        <f t="shared" si="86"/>
        <v>#1774B9</v>
      </c>
      <c r="V100" s="37" t="str">
        <f>+Agencia[[#This Row],[idcoleccion]]&amp;"-"&amp;Agencia[[#This Row],[id]]</f>
        <v>990-0090</v>
      </c>
      <c r="W100" s="38">
        <f>+VLOOKUP(Agencia[[#This Row],[Filtro URL]],Estructura!$X$4:$Y$366,2,0)</f>
        <v>99200003</v>
      </c>
      <c r="X100" s="35" t="str">
        <f>+VLOOKUP(Agencia[[#This Row],[tema]],Estructura!$A$4:$C$18,3,0)</f>
        <v>T-992</v>
      </c>
      <c r="Y100" s="35" t="str">
        <f>+VLOOKUP(Agencia[[#This Row],[contenido]],Estructura!$E$4:$G$18,3,0)</f>
        <v>C-994</v>
      </c>
      <c r="Z100" s="35" t="str">
        <f>+VLOOKUP(Agencia[[#This Row],[Filtro Integrado]],Estructura!$I$4:$K$18,3,0)</f>
        <v>FI-993</v>
      </c>
      <c r="AA100" s="35" t="str">
        <f>+VLOOKUP(Agencia[[#This Row],[Muestra]],Estructura!$M$4:$O$18,3,0)</f>
        <v>M-998</v>
      </c>
    </row>
    <row r="101" spans="1:27" ht="48" x14ac:dyDescent="0.3">
      <c r="A101" s="29" t="s">
        <v>532</v>
      </c>
      <c r="B101" s="39">
        <f t="shared" si="63"/>
        <v>990</v>
      </c>
      <c r="C101" s="40" t="str">
        <f t="shared" si="64"/>
        <v>Agencia Información</v>
      </c>
      <c r="D101" s="40" t="str">
        <f t="shared" ref="D101" si="93">+D100</f>
        <v>Gobiernos locales</v>
      </c>
      <c r="E101" s="27">
        <v>4</v>
      </c>
      <c r="F101" s="40" t="str">
        <f t="shared" si="88"/>
        <v>Indicadores de Calidad de Educación Municipal</v>
      </c>
      <c r="G101" s="40" t="str">
        <f t="shared" si="89"/>
        <v>Gestión Educación</v>
      </c>
      <c r="H101" s="61" t="s">
        <v>16</v>
      </c>
      <c r="I101" s="62" t="s">
        <v>373</v>
      </c>
      <c r="J101" s="14" t="str">
        <f t="shared" si="90"/>
        <v>Ninguno</v>
      </c>
      <c r="K101" s="14" t="str">
        <f t="shared" si="91"/>
        <v>Número de alumnos por docente en aula</v>
      </c>
      <c r="L101" s="14" t="str">
        <f t="shared" si="82"/>
        <v>Periodo 2019-2020</v>
      </c>
      <c r="M101" s="14" t="str">
        <f t="shared" si="83"/>
        <v>Porcentaje (%)</v>
      </c>
      <c r="N101" s="14" t="str">
        <f t="shared" si="84"/>
        <v>Sistema Nacional de Información Municipal</v>
      </c>
      <c r="O101" s="42" t="str">
        <f>"Ranking Comunal "&amp;Agencia[[#This Row],[territorio]]&amp;" 2020: Número de Alumnos por Docente en Aula, variación "&amp;Agencia[[#This Row],[temporalidad]]</f>
        <v>Ranking Comunal Región de Coquimbo 2020: Número de Alumnos por Docente en Aula, variación Periodo 2019-2020</v>
      </c>
      <c r="P101" s="28"/>
      <c r="Q101" s="17" t="str">
        <f t="shared" si="85"/>
        <v>Ranking</v>
      </c>
      <c r="R101" s="28" t="str">
        <f>Agencia[[#This Row],[territorio]]&amp;",Educación,Municipal,Alumnos,Calidad Educación,Colegios Municipales,Docentes"</f>
        <v>Región de Coquimbo,Educación,Municipal,Alumnos,Calidad Educación,Colegios Municipales,Docentes</v>
      </c>
      <c r="S101" s="30" t="s">
        <v>432</v>
      </c>
      <c r="T101" s="31"/>
      <c r="U101" s="36" t="str">
        <f t="shared" si="86"/>
        <v>#1774B9</v>
      </c>
      <c r="V101" s="37" t="str">
        <f>+Agencia[[#This Row],[idcoleccion]]&amp;"-"&amp;Agencia[[#This Row],[id]]</f>
        <v>990-0091</v>
      </c>
      <c r="W101" s="38">
        <f>+VLOOKUP(Agencia[[#This Row],[Filtro URL]],Estructura!$X$4:$Y$366,2,0)</f>
        <v>99200004</v>
      </c>
      <c r="X101" s="35" t="str">
        <f>+VLOOKUP(Agencia[[#This Row],[tema]],Estructura!$A$4:$C$18,3,0)</f>
        <v>T-992</v>
      </c>
      <c r="Y101" s="35" t="str">
        <f>+VLOOKUP(Agencia[[#This Row],[contenido]],Estructura!$E$4:$G$18,3,0)</f>
        <v>C-994</v>
      </c>
      <c r="Z101" s="35" t="str">
        <f>+VLOOKUP(Agencia[[#This Row],[Filtro Integrado]],Estructura!$I$4:$K$18,3,0)</f>
        <v>FI-993</v>
      </c>
      <c r="AA101" s="35" t="str">
        <f>+VLOOKUP(Agencia[[#This Row],[Muestra]],Estructura!$M$4:$O$18,3,0)</f>
        <v>M-998</v>
      </c>
    </row>
    <row r="102" spans="1:27" ht="48" x14ac:dyDescent="0.3">
      <c r="A102" s="29" t="s">
        <v>533</v>
      </c>
      <c r="B102" s="39">
        <f t="shared" si="63"/>
        <v>990</v>
      </c>
      <c r="C102" s="40" t="str">
        <f t="shared" si="64"/>
        <v>Agencia Información</v>
      </c>
      <c r="D102" s="40" t="str">
        <f t="shared" ref="D102" si="94">+D101</f>
        <v>Gobiernos locales</v>
      </c>
      <c r="E102" s="27">
        <v>5</v>
      </c>
      <c r="F102" s="40" t="str">
        <f t="shared" si="88"/>
        <v>Indicadores de Calidad de Educación Municipal</v>
      </c>
      <c r="G102" s="40" t="str">
        <f t="shared" si="89"/>
        <v>Gestión Educación</v>
      </c>
      <c r="H102" s="61" t="s">
        <v>16</v>
      </c>
      <c r="I102" s="62" t="s">
        <v>374</v>
      </c>
      <c r="J102" s="14" t="str">
        <f t="shared" si="90"/>
        <v>Ninguno</v>
      </c>
      <c r="K102" s="14" t="str">
        <f t="shared" si="91"/>
        <v>Número de alumnos por docente en aula</v>
      </c>
      <c r="L102" s="14" t="str">
        <f t="shared" si="82"/>
        <v>Periodo 2019-2020</v>
      </c>
      <c r="M102" s="14" t="str">
        <f t="shared" si="83"/>
        <v>Porcentaje (%)</v>
      </c>
      <c r="N102" s="14" t="str">
        <f t="shared" si="84"/>
        <v>Sistema Nacional de Información Municipal</v>
      </c>
      <c r="O102" s="42" t="str">
        <f>"Ranking Comunal "&amp;Agencia[[#This Row],[territorio]]&amp;" 2020: Número de Alumnos por Docente en Aula, variación "&amp;Agencia[[#This Row],[temporalidad]]</f>
        <v>Ranking Comunal Región de Valparaíso 2020: Número de Alumnos por Docente en Aula, variación Periodo 2019-2020</v>
      </c>
      <c r="P102" s="28"/>
      <c r="Q102" s="17" t="str">
        <f t="shared" si="85"/>
        <v>Ranking</v>
      </c>
      <c r="R102" s="28" t="str">
        <f>Agencia[[#This Row],[territorio]]&amp;",Educación,Municipal,Alumnos,Calidad Educación,Colegios Municipales,Docentes"</f>
        <v>Región de Valparaíso,Educación,Municipal,Alumnos,Calidad Educación,Colegios Municipales,Docentes</v>
      </c>
      <c r="S102" s="30" t="s">
        <v>432</v>
      </c>
      <c r="T102" s="31"/>
      <c r="U102" s="36" t="str">
        <f t="shared" si="86"/>
        <v>#1774B9</v>
      </c>
      <c r="V102" s="37" t="str">
        <f>+Agencia[[#This Row],[idcoleccion]]&amp;"-"&amp;Agencia[[#This Row],[id]]</f>
        <v>990-0092</v>
      </c>
      <c r="W102" s="38">
        <f>+VLOOKUP(Agencia[[#This Row],[Filtro URL]],Estructura!$X$4:$Y$366,2,0)</f>
        <v>99200005</v>
      </c>
      <c r="X102" s="35" t="str">
        <f>+VLOOKUP(Agencia[[#This Row],[tema]],Estructura!$A$4:$C$18,3,0)</f>
        <v>T-992</v>
      </c>
      <c r="Y102" s="35" t="str">
        <f>+VLOOKUP(Agencia[[#This Row],[contenido]],Estructura!$E$4:$G$18,3,0)</f>
        <v>C-994</v>
      </c>
      <c r="Z102" s="35" t="str">
        <f>+VLOOKUP(Agencia[[#This Row],[Filtro Integrado]],Estructura!$I$4:$K$18,3,0)</f>
        <v>FI-993</v>
      </c>
      <c r="AA102" s="35" t="str">
        <f>+VLOOKUP(Agencia[[#This Row],[Muestra]],Estructura!$M$4:$O$18,3,0)</f>
        <v>M-998</v>
      </c>
    </row>
    <row r="103" spans="1:27" ht="48" x14ac:dyDescent="0.3">
      <c r="A103" s="29" t="s">
        <v>534</v>
      </c>
      <c r="B103" s="39">
        <f t="shared" si="63"/>
        <v>990</v>
      </c>
      <c r="C103" s="40" t="str">
        <f t="shared" si="64"/>
        <v>Agencia Información</v>
      </c>
      <c r="D103" s="40" t="str">
        <f t="shared" ref="D103" si="95">+D102</f>
        <v>Gobiernos locales</v>
      </c>
      <c r="E103" s="27">
        <v>6</v>
      </c>
      <c r="F103" s="40" t="str">
        <f t="shared" si="88"/>
        <v>Indicadores de Calidad de Educación Municipal</v>
      </c>
      <c r="G103" s="40" t="str">
        <f t="shared" si="89"/>
        <v>Gestión Educación</v>
      </c>
      <c r="H103" s="61" t="s">
        <v>16</v>
      </c>
      <c r="I103" s="62" t="s">
        <v>375</v>
      </c>
      <c r="J103" s="14" t="str">
        <f t="shared" si="90"/>
        <v>Ninguno</v>
      </c>
      <c r="K103" s="14" t="str">
        <f t="shared" si="91"/>
        <v>Número de alumnos por docente en aula</v>
      </c>
      <c r="L103" s="14" t="str">
        <f t="shared" si="82"/>
        <v>Periodo 2019-2020</v>
      </c>
      <c r="M103" s="14" t="str">
        <f t="shared" si="83"/>
        <v>Porcentaje (%)</v>
      </c>
      <c r="N103" s="14" t="str">
        <f t="shared" si="84"/>
        <v>Sistema Nacional de Información Municipal</v>
      </c>
      <c r="O103" s="42" t="str">
        <f>"Ranking Comunal "&amp;Agencia[[#This Row],[territorio]]&amp;" 2020: Número de Alumnos por Docente en Aula, variación "&amp;Agencia[[#This Row],[temporalidad]]</f>
        <v>Ranking Comunal Región de O'Higgins 2020: Número de Alumnos por Docente en Aula, variación Periodo 2019-2020</v>
      </c>
      <c r="P103" s="28"/>
      <c r="Q103" s="17" t="str">
        <f t="shared" si="85"/>
        <v>Ranking</v>
      </c>
      <c r="R103" s="28" t="str">
        <f>Agencia[[#This Row],[territorio]]&amp;",Educación,Municipal,Alumnos,Calidad Educación,Colegios Municipales,Docentes"</f>
        <v>Región de O'Higgins,Educación,Municipal,Alumnos,Calidad Educación,Colegios Municipales,Docentes</v>
      </c>
      <c r="S103" s="30" t="s">
        <v>432</v>
      </c>
      <c r="T103" s="31"/>
      <c r="U103" s="36" t="str">
        <f t="shared" si="86"/>
        <v>#1774B9</v>
      </c>
      <c r="V103" s="37" t="str">
        <f>+Agencia[[#This Row],[idcoleccion]]&amp;"-"&amp;Agencia[[#This Row],[id]]</f>
        <v>990-0093</v>
      </c>
      <c r="W103" s="38">
        <f>+VLOOKUP(Agencia[[#This Row],[Filtro URL]],Estructura!$X$4:$Y$366,2,0)</f>
        <v>99200006</v>
      </c>
      <c r="X103" s="35" t="str">
        <f>+VLOOKUP(Agencia[[#This Row],[tema]],Estructura!$A$4:$C$18,3,0)</f>
        <v>T-992</v>
      </c>
      <c r="Y103" s="35" t="str">
        <f>+VLOOKUP(Agencia[[#This Row],[contenido]],Estructura!$E$4:$G$18,3,0)</f>
        <v>C-994</v>
      </c>
      <c r="Z103" s="35" t="str">
        <f>+VLOOKUP(Agencia[[#This Row],[Filtro Integrado]],Estructura!$I$4:$K$18,3,0)</f>
        <v>FI-993</v>
      </c>
      <c r="AA103" s="35" t="str">
        <f>+VLOOKUP(Agencia[[#This Row],[Muestra]],Estructura!$M$4:$O$18,3,0)</f>
        <v>M-998</v>
      </c>
    </row>
    <row r="104" spans="1:27" ht="48" x14ac:dyDescent="0.3">
      <c r="A104" s="29" t="s">
        <v>535</v>
      </c>
      <c r="B104" s="39">
        <f t="shared" si="63"/>
        <v>990</v>
      </c>
      <c r="C104" s="40" t="str">
        <f t="shared" si="64"/>
        <v>Agencia Información</v>
      </c>
      <c r="D104" s="40" t="str">
        <f t="shared" ref="D104" si="96">+D103</f>
        <v>Gobiernos locales</v>
      </c>
      <c r="E104" s="27">
        <v>7</v>
      </c>
      <c r="F104" s="40" t="str">
        <f t="shared" si="88"/>
        <v>Indicadores de Calidad de Educación Municipal</v>
      </c>
      <c r="G104" s="40" t="str">
        <f t="shared" si="89"/>
        <v>Gestión Educación</v>
      </c>
      <c r="H104" s="61" t="s">
        <v>16</v>
      </c>
      <c r="I104" s="62" t="s">
        <v>376</v>
      </c>
      <c r="J104" s="14" t="str">
        <f t="shared" si="90"/>
        <v>Ninguno</v>
      </c>
      <c r="K104" s="14" t="str">
        <f t="shared" si="91"/>
        <v>Número de alumnos por docente en aula</v>
      </c>
      <c r="L104" s="14" t="str">
        <f t="shared" si="82"/>
        <v>Periodo 2019-2020</v>
      </c>
      <c r="M104" s="14" t="str">
        <f t="shared" si="83"/>
        <v>Porcentaje (%)</v>
      </c>
      <c r="N104" s="14" t="str">
        <f t="shared" si="84"/>
        <v>Sistema Nacional de Información Municipal</v>
      </c>
      <c r="O104" s="42" t="str">
        <f>"Ranking Comunal "&amp;Agencia[[#This Row],[territorio]]&amp;" 2020: Número de Alumnos por Docente en Aula, variación "&amp;Agencia[[#This Row],[temporalidad]]</f>
        <v>Ranking Comunal Región de Maule 2020: Número de Alumnos por Docente en Aula, variación Periodo 2019-2020</v>
      </c>
      <c r="P104" s="28"/>
      <c r="Q104" s="17" t="str">
        <f t="shared" si="85"/>
        <v>Ranking</v>
      </c>
      <c r="R104" s="28" t="str">
        <f>Agencia[[#This Row],[territorio]]&amp;",Educación,Municipal,Alumnos,Calidad Educación,Colegios Municipales,Docentes"</f>
        <v>Región de Maule,Educación,Municipal,Alumnos,Calidad Educación,Colegios Municipales,Docentes</v>
      </c>
      <c r="S104" s="30" t="s">
        <v>432</v>
      </c>
      <c r="T104" s="31"/>
      <c r="U104" s="36" t="str">
        <f t="shared" si="86"/>
        <v>#1774B9</v>
      </c>
      <c r="V104" s="37" t="str">
        <f>+Agencia[[#This Row],[idcoleccion]]&amp;"-"&amp;Agencia[[#This Row],[id]]</f>
        <v>990-0094</v>
      </c>
      <c r="W104" s="38">
        <f>+VLOOKUP(Agencia[[#This Row],[Filtro URL]],Estructura!$X$4:$Y$366,2,0)</f>
        <v>99200007</v>
      </c>
      <c r="X104" s="35" t="str">
        <f>+VLOOKUP(Agencia[[#This Row],[tema]],Estructura!$A$4:$C$18,3,0)</f>
        <v>T-992</v>
      </c>
      <c r="Y104" s="35" t="str">
        <f>+VLOOKUP(Agencia[[#This Row],[contenido]],Estructura!$E$4:$G$18,3,0)</f>
        <v>C-994</v>
      </c>
      <c r="Z104" s="35" t="str">
        <f>+VLOOKUP(Agencia[[#This Row],[Filtro Integrado]],Estructura!$I$4:$K$18,3,0)</f>
        <v>FI-993</v>
      </c>
      <c r="AA104" s="35" t="str">
        <f>+VLOOKUP(Agencia[[#This Row],[Muestra]],Estructura!$M$4:$O$18,3,0)</f>
        <v>M-998</v>
      </c>
    </row>
    <row r="105" spans="1:27" ht="48" x14ac:dyDescent="0.3">
      <c r="A105" s="29" t="s">
        <v>536</v>
      </c>
      <c r="B105" s="39">
        <f t="shared" si="63"/>
        <v>990</v>
      </c>
      <c r="C105" s="40" t="str">
        <f t="shared" si="64"/>
        <v>Agencia Información</v>
      </c>
      <c r="D105" s="40" t="str">
        <f t="shared" ref="D105" si="97">+D104</f>
        <v>Gobiernos locales</v>
      </c>
      <c r="E105" s="27">
        <v>8</v>
      </c>
      <c r="F105" s="40" t="str">
        <f t="shared" si="88"/>
        <v>Indicadores de Calidad de Educación Municipal</v>
      </c>
      <c r="G105" s="40" t="str">
        <f t="shared" si="89"/>
        <v>Gestión Educación</v>
      </c>
      <c r="H105" s="61" t="s">
        <v>16</v>
      </c>
      <c r="I105" s="62" t="s">
        <v>377</v>
      </c>
      <c r="J105" s="14" t="str">
        <f t="shared" si="90"/>
        <v>Ninguno</v>
      </c>
      <c r="K105" s="14" t="str">
        <f t="shared" si="91"/>
        <v>Número de alumnos por docente en aula</v>
      </c>
      <c r="L105" s="14" t="str">
        <f t="shared" si="82"/>
        <v>Periodo 2019-2020</v>
      </c>
      <c r="M105" s="14" t="str">
        <f t="shared" si="83"/>
        <v>Porcentaje (%)</v>
      </c>
      <c r="N105" s="14" t="str">
        <f t="shared" si="84"/>
        <v>Sistema Nacional de Información Municipal</v>
      </c>
      <c r="O105" s="42" t="str">
        <f>"Ranking Comunal "&amp;Agencia[[#This Row],[territorio]]&amp;" 2020: Número de Alumnos por Docente en Aula, variación "&amp;Agencia[[#This Row],[temporalidad]]</f>
        <v>Ranking Comunal Región del Biobío 2020: Número de Alumnos por Docente en Aula, variación Periodo 2019-2020</v>
      </c>
      <c r="P105" s="28"/>
      <c r="Q105" s="17" t="str">
        <f t="shared" si="85"/>
        <v>Ranking</v>
      </c>
      <c r="R105" s="28" t="str">
        <f>Agencia[[#This Row],[territorio]]&amp;",Educación,Municipal,Alumnos,Calidad Educación,Colegios Municipales,Docentes"</f>
        <v>Región del Biobío,Educación,Municipal,Alumnos,Calidad Educación,Colegios Municipales,Docentes</v>
      </c>
      <c r="S105" s="30" t="s">
        <v>432</v>
      </c>
      <c r="T105" s="31"/>
      <c r="U105" s="36" t="str">
        <f t="shared" si="86"/>
        <v>#1774B9</v>
      </c>
      <c r="V105" s="37" t="str">
        <f>+Agencia[[#This Row],[idcoleccion]]&amp;"-"&amp;Agencia[[#This Row],[id]]</f>
        <v>990-0095</v>
      </c>
      <c r="W105" s="38">
        <f>+VLOOKUP(Agencia[[#This Row],[Filtro URL]],Estructura!$X$4:$Y$366,2,0)</f>
        <v>99200008</v>
      </c>
      <c r="X105" s="35" t="str">
        <f>+VLOOKUP(Agencia[[#This Row],[tema]],Estructura!$A$4:$C$18,3,0)</f>
        <v>T-992</v>
      </c>
      <c r="Y105" s="35" t="str">
        <f>+VLOOKUP(Agencia[[#This Row],[contenido]],Estructura!$E$4:$G$18,3,0)</f>
        <v>C-994</v>
      </c>
      <c r="Z105" s="35" t="str">
        <f>+VLOOKUP(Agencia[[#This Row],[Filtro Integrado]],Estructura!$I$4:$K$18,3,0)</f>
        <v>FI-993</v>
      </c>
      <c r="AA105" s="35" t="str">
        <f>+VLOOKUP(Agencia[[#This Row],[Muestra]],Estructura!$M$4:$O$18,3,0)</f>
        <v>M-998</v>
      </c>
    </row>
    <row r="106" spans="1:27" ht="48" x14ac:dyDescent="0.3">
      <c r="A106" s="29" t="s">
        <v>537</v>
      </c>
      <c r="B106" s="39">
        <f t="shared" si="63"/>
        <v>990</v>
      </c>
      <c r="C106" s="40" t="str">
        <f t="shared" si="64"/>
        <v>Agencia Información</v>
      </c>
      <c r="D106" s="40" t="str">
        <f t="shared" ref="D106" si="98">+D105</f>
        <v>Gobiernos locales</v>
      </c>
      <c r="E106" s="27">
        <v>9</v>
      </c>
      <c r="F106" s="40" t="str">
        <f t="shared" si="88"/>
        <v>Indicadores de Calidad de Educación Municipal</v>
      </c>
      <c r="G106" s="40" t="str">
        <f t="shared" si="89"/>
        <v>Gestión Educación</v>
      </c>
      <c r="H106" s="61" t="s">
        <v>16</v>
      </c>
      <c r="I106" s="62" t="s">
        <v>378</v>
      </c>
      <c r="J106" s="14" t="str">
        <f t="shared" si="90"/>
        <v>Ninguno</v>
      </c>
      <c r="K106" s="14" t="str">
        <f t="shared" si="91"/>
        <v>Número de alumnos por docente en aula</v>
      </c>
      <c r="L106" s="14" t="str">
        <f t="shared" si="82"/>
        <v>Periodo 2019-2020</v>
      </c>
      <c r="M106" s="14" t="str">
        <f t="shared" si="83"/>
        <v>Porcentaje (%)</v>
      </c>
      <c r="N106" s="14" t="str">
        <f t="shared" si="84"/>
        <v>Sistema Nacional de Información Municipal</v>
      </c>
      <c r="O106" s="42" t="str">
        <f>"Ranking Comunal "&amp;Agencia[[#This Row],[territorio]]&amp;" 2020: Número de Alumnos por Docente en Aula, variación "&amp;Agencia[[#This Row],[temporalidad]]</f>
        <v>Ranking Comunal Región de La Araucanía 2020: Número de Alumnos por Docente en Aula, variación Periodo 2019-2020</v>
      </c>
      <c r="P106" s="28"/>
      <c r="Q106" s="17" t="str">
        <f t="shared" si="85"/>
        <v>Ranking</v>
      </c>
      <c r="R106" s="28" t="str">
        <f>Agencia[[#This Row],[territorio]]&amp;",Educación,Municipal,Alumnos,Calidad Educación,Colegios Municipales,Docentes"</f>
        <v>Región de La Araucanía,Educación,Municipal,Alumnos,Calidad Educación,Colegios Municipales,Docentes</v>
      </c>
      <c r="S106" s="30" t="s">
        <v>432</v>
      </c>
      <c r="T106" s="31"/>
      <c r="U106" s="36" t="str">
        <f t="shared" si="86"/>
        <v>#1774B9</v>
      </c>
      <c r="V106" s="37" t="str">
        <f>+Agencia[[#This Row],[idcoleccion]]&amp;"-"&amp;Agencia[[#This Row],[id]]</f>
        <v>990-0096</v>
      </c>
      <c r="W106" s="38">
        <f>+VLOOKUP(Agencia[[#This Row],[Filtro URL]],Estructura!$X$4:$Y$366,2,0)</f>
        <v>99200009</v>
      </c>
      <c r="X106" s="35" t="str">
        <f>+VLOOKUP(Agencia[[#This Row],[tema]],Estructura!$A$4:$C$18,3,0)</f>
        <v>T-992</v>
      </c>
      <c r="Y106" s="35" t="str">
        <f>+VLOOKUP(Agencia[[#This Row],[contenido]],Estructura!$E$4:$G$18,3,0)</f>
        <v>C-994</v>
      </c>
      <c r="Z106" s="35" t="str">
        <f>+VLOOKUP(Agencia[[#This Row],[Filtro Integrado]],Estructura!$I$4:$K$18,3,0)</f>
        <v>FI-993</v>
      </c>
      <c r="AA106" s="35" t="str">
        <f>+VLOOKUP(Agencia[[#This Row],[Muestra]],Estructura!$M$4:$O$18,3,0)</f>
        <v>M-998</v>
      </c>
    </row>
    <row r="107" spans="1:27" ht="48" x14ac:dyDescent="0.3">
      <c r="A107" s="29" t="s">
        <v>538</v>
      </c>
      <c r="B107" s="39">
        <f t="shared" si="63"/>
        <v>990</v>
      </c>
      <c r="C107" s="40" t="str">
        <f t="shared" si="64"/>
        <v>Agencia Información</v>
      </c>
      <c r="D107" s="40" t="str">
        <f t="shared" ref="D107" si="99">+D106</f>
        <v>Gobiernos locales</v>
      </c>
      <c r="E107" s="27">
        <v>10</v>
      </c>
      <c r="F107" s="40" t="str">
        <f t="shared" si="88"/>
        <v>Indicadores de Calidad de Educación Municipal</v>
      </c>
      <c r="G107" s="40" t="str">
        <f t="shared" si="89"/>
        <v>Gestión Educación</v>
      </c>
      <c r="H107" s="61" t="s">
        <v>16</v>
      </c>
      <c r="I107" s="62" t="s">
        <v>379</v>
      </c>
      <c r="J107" s="14" t="str">
        <f t="shared" si="90"/>
        <v>Ninguno</v>
      </c>
      <c r="K107" s="14" t="str">
        <f t="shared" si="91"/>
        <v>Número de alumnos por docente en aula</v>
      </c>
      <c r="L107" s="14" t="str">
        <f t="shared" si="82"/>
        <v>Periodo 2019-2020</v>
      </c>
      <c r="M107" s="14" t="str">
        <f t="shared" si="83"/>
        <v>Porcentaje (%)</v>
      </c>
      <c r="N107" s="14" t="str">
        <f t="shared" si="84"/>
        <v>Sistema Nacional de Información Municipal</v>
      </c>
      <c r="O107" s="42" t="str">
        <f>"Ranking Comunal "&amp;Agencia[[#This Row],[territorio]]&amp;" 2020: Número de Alumnos por Docente en Aula, variación "&amp;Agencia[[#This Row],[temporalidad]]</f>
        <v>Ranking Comunal Región de Los Lagos 2020: Número de Alumnos por Docente en Aula, variación Periodo 2019-2020</v>
      </c>
      <c r="P107" s="28"/>
      <c r="Q107" s="17" t="str">
        <f t="shared" si="85"/>
        <v>Ranking</v>
      </c>
      <c r="R107" s="28" t="str">
        <f>Agencia[[#This Row],[territorio]]&amp;",Educación,Municipal,Alumnos,Calidad Educación,Colegios Municipales,Docentes"</f>
        <v>Región de Los Lagos,Educación,Municipal,Alumnos,Calidad Educación,Colegios Municipales,Docentes</v>
      </c>
      <c r="S107" s="30" t="s">
        <v>432</v>
      </c>
      <c r="T107" s="31"/>
      <c r="U107" s="36" t="str">
        <f t="shared" si="86"/>
        <v>#1774B9</v>
      </c>
      <c r="V107" s="37" t="str">
        <f>+Agencia[[#This Row],[idcoleccion]]&amp;"-"&amp;Agencia[[#This Row],[id]]</f>
        <v>990-0097</v>
      </c>
      <c r="W107" s="38">
        <f>+VLOOKUP(Agencia[[#This Row],[Filtro URL]],Estructura!$X$4:$Y$366,2,0)</f>
        <v>99200010</v>
      </c>
      <c r="X107" s="35" t="str">
        <f>+VLOOKUP(Agencia[[#This Row],[tema]],Estructura!$A$4:$C$18,3,0)</f>
        <v>T-992</v>
      </c>
      <c r="Y107" s="35" t="str">
        <f>+VLOOKUP(Agencia[[#This Row],[contenido]],Estructura!$E$4:$G$18,3,0)</f>
        <v>C-994</v>
      </c>
      <c r="Z107" s="35" t="str">
        <f>+VLOOKUP(Agencia[[#This Row],[Filtro Integrado]],Estructura!$I$4:$K$18,3,0)</f>
        <v>FI-993</v>
      </c>
      <c r="AA107" s="35" t="str">
        <f>+VLOOKUP(Agencia[[#This Row],[Muestra]],Estructura!$M$4:$O$18,3,0)</f>
        <v>M-998</v>
      </c>
    </row>
    <row r="108" spans="1:27" ht="48" x14ac:dyDescent="0.3">
      <c r="A108" s="29" t="s">
        <v>539</v>
      </c>
      <c r="B108" s="39">
        <f t="shared" si="63"/>
        <v>990</v>
      </c>
      <c r="C108" s="40" t="str">
        <f t="shared" si="64"/>
        <v>Agencia Información</v>
      </c>
      <c r="D108" s="40" t="str">
        <f t="shared" ref="D108" si="100">+D107</f>
        <v>Gobiernos locales</v>
      </c>
      <c r="E108" s="27">
        <v>11</v>
      </c>
      <c r="F108" s="40" t="str">
        <f t="shared" si="88"/>
        <v>Indicadores de Calidad de Educación Municipal</v>
      </c>
      <c r="G108" s="40" t="str">
        <f t="shared" si="89"/>
        <v>Gestión Educación</v>
      </c>
      <c r="H108" s="61" t="s">
        <v>16</v>
      </c>
      <c r="I108" s="62" t="s">
        <v>380</v>
      </c>
      <c r="J108" s="14" t="str">
        <f t="shared" si="90"/>
        <v>Ninguno</v>
      </c>
      <c r="K108" s="14" t="str">
        <f t="shared" si="91"/>
        <v>Número de alumnos por docente en aula</v>
      </c>
      <c r="L108" s="14" t="str">
        <f t="shared" si="82"/>
        <v>Periodo 2019-2020</v>
      </c>
      <c r="M108" s="14" t="str">
        <f t="shared" si="83"/>
        <v>Porcentaje (%)</v>
      </c>
      <c r="N108" s="14" t="str">
        <f t="shared" si="84"/>
        <v>Sistema Nacional de Información Municipal</v>
      </c>
      <c r="O108" s="42" t="str">
        <f>"Ranking Comunal "&amp;Agencia[[#This Row],[territorio]]&amp;" 2020: Número de Alumnos por Docente en Aula, variación "&amp;Agencia[[#This Row],[temporalidad]]</f>
        <v>Ranking Comunal Región de Aysén 2020: Número de Alumnos por Docente en Aula, variación Periodo 2019-2020</v>
      </c>
      <c r="P108" s="28"/>
      <c r="Q108" s="17" t="str">
        <f t="shared" si="85"/>
        <v>Ranking</v>
      </c>
      <c r="R108" s="28" t="str">
        <f>Agencia[[#This Row],[territorio]]&amp;",Educación,Municipal,Alumnos,Calidad Educación,Colegios Municipales,Docentes"</f>
        <v>Región de Aysén,Educación,Municipal,Alumnos,Calidad Educación,Colegios Municipales,Docentes</v>
      </c>
      <c r="S108" s="30" t="s">
        <v>432</v>
      </c>
      <c r="T108" s="31"/>
      <c r="U108" s="36" t="str">
        <f t="shared" si="86"/>
        <v>#1774B9</v>
      </c>
      <c r="V108" s="37" t="str">
        <f>+Agencia[[#This Row],[idcoleccion]]&amp;"-"&amp;Agencia[[#This Row],[id]]</f>
        <v>990-0098</v>
      </c>
      <c r="W108" s="38">
        <f>+VLOOKUP(Agencia[[#This Row],[Filtro URL]],Estructura!$X$4:$Y$366,2,0)</f>
        <v>99200011</v>
      </c>
      <c r="X108" s="35" t="str">
        <f>+VLOOKUP(Agencia[[#This Row],[tema]],Estructura!$A$4:$C$18,3,0)</f>
        <v>T-992</v>
      </c>
      <c r="Y108" s="35" t="str">
        <f>+VLOOKUP(Agencia[[#This Row],[contenido]],Estructura!$E$4:$G$18,3,0)</f>
        <v>C-994</v>
      </c>
      <c r="Z108" s="35" t="str">
        <f>+VLOOKUP(Agencia[[#This Row],[Filtro Integrado]],Estructura!$I$4:$K$18,3,0)</f>
        <v>FI-993</v>
      </c>
      <c r="AA108" s="35" t="str">
        <f>+VLOOKUP(Agencia[[#This Row],[Muestra]],Estructura!$M$4:$O$18,3,0)</f>
        <v>M-998</v>
      </c>
    </row>
    <row r="109" spans="1:27" ht="48" x14ac:dyDescent="0.3">
      <c r="A109" s="29" t="s">
        <v>540</v>
      </c>
      <c r="B109" s="39">
        <f t="shared" si="63"/>
        <v>990</v>
      </c>
      <c r="C109" s="40" t="str">
        <f t="shared" si="64"/>
        <v>Agencia Información</v>
      </c>
      <c r="D109" s="40" t="str">
        <f t="shared" ref="D109" si="101">+D108</f>
        <v>Gobiernos locales</v>
      </c>
      <c r="E109" s="27">
        <v>12</v>
      </c>
      <c r="F109" s="40" t="str">
        <f t="shared" si="88"/>
        <v>Indicadores de Calidad de Educación Municipal</v>
      </c>
      <c r="G109" s="40" t="str">
        <f t="shared" si="89"/>
        <v>Gestión Educación</v>
      </c>
      <c r="H109" s="61" t="s">
        <v>16</v>
      </c>
      <c r="I109" s="62" t="s">
        <v>381</v>
      </c>
      <c r="J109" s="14" t="str">
        <f t="shared" si="90"/>
        <v>Ninguno</v>
      </c>
      <c r="K109" s="14" t="str">
        <f t="shared" si="91"/>
        <v>Número de alumnos por docente en aula</v>
      </c>
      <c r="L109" s="14" t="str">
        <f t="shared" si="82"/>
        <v>Periodo 2019-2020</v>
      </c>
      <c r="M109" s="14" t="str">
        <f t="shared" si="83"/>
        <v>Porcentaje (%)</v>
      </c>
      <c r="N109" s="14" t="str">
        <f t="shared" si="84"/>
        <v>Sistema Nacional de Información Municipal</v>
      </c>
      <c r="O109" s="42" t="str">
        <f>"Ranking Comunal "&amp;Agencia[[#This Row],[territorio]]&amp;" 2020: Número de Alumnos por Docente en Aula, variación "&amp;Agencia[[#This Row],[temporalidad]]</f>
        <v>Ranking Comunal Región de Magallanes 2020: Número de Alumnos por Docente en Aula, variación Periodo 2019-2020</v>
      </c>
      <c r="P109" s="28"/>
      <c r="Q109" s="17" t="str">
        <f t="shared" si="85"/>
        <v>Ranking</v>
      </c>
      <c r="R109" s="28" t="str">
        <f>Agencia[[#This Row],[territorio]]&amp;",Educación,Municipal,Alumnos,Calidad Educación,Colegios Municipales,Docentes"</f>
        <v>Región de Magallanes,Educación,Municipal,Alumnos,Calidad Educación,Colegios Municipales,Docentes</v>
      </c>
      <c r="S109" s="30" t="s">
        <v>432</v>
      </c>
      <c r="T109" s="31"/>
      <c r="U109" s="36" t="str">
        <f t="shared" si="86"/>
        <v>#1774B9</v>
      </c>
      <c r="V109" s="37" t="str">
        <f>+Agencia[[#This Row],[idcoleccion]]&amp;"-"&amp;Agencia[[#This Row],[id]]</f>
        <v>990-0099</v>
      </c>
      <c r="W109" s="38">
        <f>+VLOOKUP(Agencia[[#This Row],[Filtro URL]],Estructura!$X$4:$Y$366,2,0)</f>
        <v>99200012</v>
      </c>
      <c r="X109" s="35" t="str">
        <f>+VLOOKUP(Agencia[[#This Row],[tema]],Estructura!$A$4:$C$18,3,0)</f>
        <v>T-992</v>
      </c>
      <c r="Y109" s="35" t="str">
        <f>+VLOOKUP(Agencia[[#This Row],[contenido]],Estructura!$E$4:$G$18,3,0)</f>
        <v>C-994</v>
      </c>
      <c r="Z109" s="35" t="str">
        <f>+VLOOKUP(Agencia[[#This Row],[Filtro Integrado]],Estructura!$I$4:$K$18,3,0)</f>
        <v>FI-993</v>
      </c>
      <c r="AA109" s="35" t="str">
        <f>+VLOOKUP(Agencia[[#This Row],[Muestra]],Estructura!$M$4:$O$18,3,0)</f>
        <v>M-998</v>
      </c>
    </row>
    <row r="110" spans="1:27" ht="48" x14ac:dyDescent="0.3">
      <c r="A110" s="29" t="s">
        <v>541</v>
      </c>
      <c r="B110" s="39">
        <f t="shared" si="63"/>
        <v>990</v>
      </c>
      <c r="C110" s="40" t="str">
        <f t="shared" si="64"/>
        <v>Agencia Información</v>
      </c>
      <c r="D110" s="40" t="str">
        <f t="shared" ref="D110" si="102">+D109</f>
        <v>Gobiernos locales</v>
      </c>
      <c r="E110" s="27">
        <v>13</v>
      </c>
      <c r="F110" s="40" t="str">
        <f t="shared" si="88"/>
        <v>Indicadores de Calidad de Educación Municipal</v>
      </c>
      <c r="G110" s="40" t="str">
        <f t="shared" si="89"/>
        <v>Gestión Educación</v>
      </c>
      <c r="H110" s="61" t="s">
        <v>16</v>
      </c>
      <c r="I110" s="62" t="s">
        <v>382</v>
      </c>
      <c r="J110" s="14" t="str">
        <f t="shared" si="90"/>
        <v>Ninguno</v>
      </c>
      <c r="K110" s="14" t="str">
        <f t="shared" si="91"/>
        <v>Número de alumnos por docente en aula</v>
      </c>
      <c r="L110" s="14" t="str">
        <f t="shared" si="82"/>
        <v>Periodo 2019-2020</v>
      </c>
      <c r="M110" s="14" t="str">
        <f t="shared" si="83"/>
        <v>Porcentaje (%)</v>
      </c>
      <c r="N110" s="14" t="str">
        <f t="shared" si="84"/>
        <v>Sistema Nacional de Información Municipal</v>
      </c>
      <c r="O110" s="42" t="str">
        <f>"Ranking Comunal "&amp;Agencia[[#This Row],[territorio]]&amp;" 2020: Número de Alumnos por Docente en Aula, variación "&amp;Agencia[[#This Row],[temporalidad]]</f>
        <v>Ranking Comunal Región Metropolitana 2020: Número de Alumnos por Docente en Aula, variación Periodo 2019-2020</v>
      </c>
      <c r="P110" s="28"/>
      <c r="Q110" s="17" t="str">
        <f t="shared" si="85"/>
        <v>Ranking</v>
      </c>
      <c r="R110" s="28" t="str">
        <f>Agencia[[#This Row],[territorio]]&amp;",Educación,Municipal,Alumnos,Calidad Educación,Colegios Municipales,Docentes"</f>
        <v>Región Metropolitana,Educación,Municipal,Alumnos,Calidad Educación,Colegios Municipales,Docentes</v>
      </c>
      <c r="S110" s="30" t="s">
        <v>432</v>
      </c>
      <c r="T110" s="31"/>
      <c r="U110" s="36" t="str">
        <f t="shared" si="86"/>
        <v>#1774B9</v>
      </c>
      <c r="V110" s="37" t="str">
        <f>+Agencia[[#This Row],[idcoleccion]]&amp;"-"&amp;Agencia[[#This Row],[id]]</f>
        <v>990-0100</v>
      </c>
      <c r="W110" s="38">
        <f>+VLOOKUP(Agencia[[#This Row],[Filtro URL]],Estructura!$X$4:$Y$366,2,0)</f>
        <v>99200013</v>
      </c>
      <c r="X110" s="35" t="str">
        <f>+VLOOKUP(Agencia[[#This Row],[tema]],Estructura!$A$4:$C$18,3,0)</f>
        <v>T-992</v>
      </c>
      <c r="Y110" s="35" t="str">
        <f>+VLOOKUP(Agencia[[#This Row],[contenido]],Estructura!$E$4:$G$18,3,0)</f>
        <v>C-994</v>
      </c>
      <c r="Z110" s="35" t="str">
        <f>+VLOOKUP(Agencia[[#This Row],[Filtro Integrado]],Estructura!$I$4:$K$18,3,0)</f>
        <v>FI-993</v>
      </c>
      <c r="AA110" s="35" t="str">
        <f>+VLOOKUP(Agencia[[#This Row],[Muestra]],Estructura!$M$4:$O$18,3,0)</f>
        <v>M-998</v>
      </c>
    </row>
    <row r="111" spans="1:27" ht="48" x14ac:dyDescent="0.3">
      <c r="A111" s="29" t="s">
        <v>542</v>
      </c>
      <c r="B111" s="39">
        <f t="shared" si="63"/>
        <v>990</v>
      </c>
      <c r="C111" s="40" t="str">
        <f t="shared" si="64"/>
        <v>Agencia Información</v>
      </c>
      <c r="D111" s="40" t="str">
        <f t="shared" ref="D111" si="103">+D110</f>
        <v>Gobiernos locales</v>
      </c>
      <c r="E111" s="27">
        <v>14</v>
      </c>
      <c r="F111" s="40" t="str">
        <f t="shared" si="88"/>
        <v>Indicadores de Calidad de Educación Municipal</v>
      </c>
      <c r="G111" s="40" t="str">
        <f t="shared" si="89"/>
        <v>Gestión Educación</v>
      </c>
      <c r="H111" s="61" t="s">
        <v>16</v>
      </c>
      <c r="I111" s="62" t="s">
        <v>383</v>
      </c>
      <c r="J111" s="14" t="str">
        <f t="shared" si="90"/>
        <v>Ninguno</v>
      </c>
      <c r="K111" s="14" t="str">
        <f t="shared" si="91"/>
        <v>Número de alumnos por docente en aula</v>
      </c>
      <c r="L111" s="14" t="str">
        <f t="shared" si="82"/>
        <v>Periodo 2019-2020</v>
      </c>
      <c r="M111" s="14" t="str">
        <f t="shared" si="83"/>
        <v>Porcentaje (%)</v>
      </c>
      <c r="N111" s="14" t="str">
        <f t="shared" si="84"/>
        <v>Sistema Nacional de Información Municipal</v>
      </c>
      <c r="O111" s="42" t="str">
        <f>"Ranking Comunal "&amp;Agencia[[#This Row],[territorio]]&amp;" 2020: Número de Alumnos por Docente en Aula, variación "&amp;Agencia[[#This Row],[temporalidad]]</f>
        <v>Ranking Comunal Región de Los Ríos 2020: Número de Alumnos por Docente en Aula, variación Periodo 2019-2020</v>
      </c>
      <c r="P111" s="28"/>
      <c r="Q111" s="17" t="str">
        <f t="shared" si="85"/>
        <v>Ranking</v>
      </c>
      <c r="R111" s="28" t="str">
        <f>Agencia[[#This Row],[territorio]]&amp;",Educación,Municipal,Alumnos,Calidad Educación,Colegios Municipales,Docentes"</f>
        <v>Región de Los Ríos,Educación,Municipal,Alumnos,Calidad Educación,Colegios Municipales,Docentes</v>
      </c>
      <c r="S111" s="30" t="s">
        <v>432</v>
      </c>
      <c r="T111" s="31"/>
      <c r="U111" s="36" t="str">
        <f t="shared" si="86"/>
        <v>#1774B9</v>
      </c>
      <c r="V111" s="37" t="str">
        <f>+Agencia[[#This Row],[idcoleccion]]&amp;"-"&amp;Agencia[[#This Row],[id]]</f>
        <v>990-0101</v>
      </c>
      <c r="W111" s="38">
        <f>+VLOOKUP(Agencia[[#This Row],[Filtro URL]],Estructura!$X$4:$Y$366,2,0)</f>
        <v>99200014</v>
      </c>
      <c r="X111" s="35" t="str">
        <f>+VLOOKUP(Agencia[[#This Row],[tema]],Estructura!$A$4:$C$18,3,0)</f>
        <v>T-992</v>
      </c>
      <c r="Y111" s="35" t="str">
        <f>+VLOOKUP(Agencia[[#This Row],[contenido]],Estructura!$E$4:$G$18,3,0)</f>
        <v>C-994</v>
      </c>
      <c r="Z111" s="35" t="str">
        <f>+VLOOKUP(Agencia[[#This Row],[Filtro Integrado]],Estructura!$I$4:$K$18,3,0)</f>
        <v>FI-993</v>
      </c>
      <c r="AA111" s="35" t="str">
        <f>+VLOOKUP(Agencia[[#This Row],[Muestra]],Estructura!$M$4:$O$18,3,0)</f>
        <v>M-998</v>
      </c>
    </row>
    <row r="112" spans="1:27" ht="48" x14ac:dyDescent="0.3">
      <c r="A112" s="29" t="s">
        <v>543</v>
      </c>
      <c r="B112" s="39">
        <f t="shared" si="63"/>
        <v>990</v>
      </c>
      <c r="C112" s="40" t="str">
        <f t="shared" si="64"/>
        <v>Agencia Información</v>
      </c>
      <c r="D112" s="40" t="str">
        <f t="shared" ref="D112" si="104">+D111</f>
        <v>Gobiernos locales</v>
      </c>
      <c r="E112" s="27">
        <v>15</v>
      </c>
      <c r="F112" s="40" t="str">
        <f t="shared" si="88"/>
        <v>Indicadores de Calidad de Educación Municipal</v>
      </c>
      <c r="G112" s="40" t="str">
        <f t="shared" si="89"/>
        <v>Gestión Educación</v>
      </c>
      <c r="H112" s="61" t="s">
        <v>16</v>
      </c>
      <c r="I112" s="62" t="s">
        <v>384</v>
      </c>
      <c r="J112" s="14" t="str">
        <f t="shared" si="90"/>
        <v>Ninguno</v>
      </c>
      <c r="K112" s="14" t="str">
        <f t="shared" si="91"/>
        <v>Número de alumnos por docente en aula</v>
      </c>
      <c r="L112" s="14" t="str">
        <f t="shared" si="82"/>
        <v>Periodo 2019-2020</v>
      </c>
      <c r="M112" s="14" t="str">
        <f t="shared" si="83"/>
        <v>Porcentaje (%)</v>
      </c>
      <c r="N112" s="14" t="str">
        <f t="shared" si="84"/>
        <v>Sistema Nacional de Información Municipal</v>
      </c>
      <c r="O112" s="42" t="str">
        <f>"Ranking Comunal "&amp;Agencia[[#This Row],[territorio]]&amp;" 2020: Número de Alumnos por Docente en Aula, variación "&amp;Agencia[[#This Row],[temporalidad]]</f>
        <v>Ranking Comunal Región de Arica y Parinacota 2020: Número de Alumnos por Docente en Aula, variación Periodo 2019-2020</v>
      </c>
      <c r="P112" s="28"/>
      <c r="Q112" s="17" t="str">
        <f t="shared" si="85"/>
        <v>Ranking</v>
      </c>
      <c r="R112" s="28" t="str">
        <f>Agencia[[#This Row],[territorio]]&amp;",Educación,Municipal,Alumnos,Calidad Educación,Colegios Municipales,Docentes"</f>
        <v>Región de Arica y Parinacota,Educación,Municipal,Alumnos,Calidad Educación,Colegios Municipales,Docentes</v>
      </c>
      <c r="S112" s="30" t="s">
        <v>432</v>
      </c>
      <c r="T112" s="31"/>
      <c r="U112" s="36" t="str">
        <f t="shared" si="86"/>
        <v>#1774B9</v>
      </c>
      <c r="V112" s="37" t="str">
        <f>+Agencia[[#This Row],[idcoleccion]]&amp;"-"&amp;Agencia[[#This Row],[id]]</f>
        <v>990-0102</v>
      </c>
      <c r="W112" s="38">
        <f>+VLOOKUP(Agencia[[#This Row],[Filtro URL]],Estructura!$X$4:$Y$366,2,0)</f>
        <v>99200015</v>
      </c>
      <c r="X112" s="35" t="str">
        <f>+VLOOKUP(Agencia[[#This Row],[tema]],Estructura!$A$4:$C$18,3,0)</f>
        <v>T-992</v>
      </c>
      <c r="Y112" s="35" t="str">
        <f>+VLOOKUP(Agencia[[#This Row],[contenido]],Estructura!$E$4:$G$18,3,0)</f>
        <v>C-994</v>
      </c>
      <c r="Z112" s="35" t="str">
        <f>+VLOOKUP(Agencia[[#This Row],[Filtro Integrado]],Estructura!$I$4:$K$18,3,0)</f>
        <v>FI-993</v>
      </c>
      <c r="AA112" s="35" t="str">
        <f>+VLOOKUP(Agencia[[#This Row],[Muestra]],Estructura!$M$4:$O$18,3,0)</f>
        <v>M-998</v>
      </c>
    </row>
    <row r="113" spans="1:27" ht="48" x14ac:dyDescent="0.3">
      <c r="A113" s="29" t="s">
        <v>544</v>
      </c>
      <c r="B113" s="39">
        <f t="shared" si="63"/>
        <v>990</v>
      </c>
      <c r="C113" s="40" t="str">
        <f t="shared" si="64"/>
        <v>Agencia Información</v>
      </c>
      <c r="D113" s="40" t="str">
        <f t="shared" ref="D113:D176" si="105">+D112</f>
        <v>Gobiernos locales</v>
      </c>
      <c r="E113" s="27">
        <v>16</v>
      </c>
      <c r="F113" s="40" t="str">
        <f t="shared" si="88"/>
        <v>Indicadores de Calidad de Educación Municipal</v>
      </c>
      <c r="G113" s="40" t="str">
        <f t="shared" si="89"/>
        <v>Gestión Educación</v>
      </c>
      <c r="H113" s="61" t="s">
        <v>16</v>
      </c>
      <c r="I113" s="62" t="s">
        <v>385</v>
      </c>
      <c r="J113" s="14" t="str">
        <f t="shared" si="90"/>
        <v>Ninguno</v>
      </c>
      <c r="K113" s="14" t="str">
        <f t="shared" si="91"/>
        <v>Número de alumnos por docente en aula</v>
      </c>
      <c r="L113" s="14" t="str">
        <f t="shared" si="82"/>
        <v>Periodo 2019-2020</v>
      </c>
      <c r="M113" s="14" t="str">
        <f t="shared" si="83"/>
        <v>Porcentaje (%)</v>
      </c>
      <c r="N113" s="14" t="str">
        <f t="shared" si="84"/>
        <v>Sistema Nacional de Información Municipal</v>
      </c>
      <c r="O113" s="42" t="str">
        <f>"Ranking Comunal "&amp;Agencia[[#This Row],[territorio]]&amp;" 2020: Número de Alumnos por Docente en Aula, variación "&amp;Agencia[[#This Row],[temporalidad]]</f>
        <v>Ranking Comunal Región de Ñuble 2020: Número de Alumnos por Docente en Aula, variación Periodo 2019-2020</v>
      </c>
      <c r="P113" s="28"/>
      <c r="Q113" s="17" t="str">
        <f t="shared" si="85"/>
        <v>Ranking</v>
      </c>
      <c r="R113" s="28" t="str">
        <f>Agencia[[#This Row],[territorio]]&amp;",Educación,Municipal,Alumnos,Calidad Educación,Colegios Municipales,Docentes"</f>
        <v>Región de Ñuble,Educación,Municipal,Alumnos,Calidad Educación,Colegios Municipales,Docentes</v>
      </c>
      <c r="S113" s="30" t="s">
        <v>432</v>
      </c>
      <c r="T113" s="31"/>
      <c r="U113" s="36" t="str">
        <f t="shared" si="86"/>
        <v>#1774B9</v>
      </c>
      <c r="V113" s="37" t="str">
        <f>+Agencia[[#This Row],[idcoleccion]]&amp;"-"&amp;Agencia[[#This Row],[id]]</f>
        <v>990-0103</v>
      </c>
      <c r="W113" s="38">
        <f>+VLOOKUP(Agencia[[#This Row],[Filtro URL]],Estructura!$X$4:$Y$366,2,0)</f>
        <v>99200016</v>
      </c>
      <c r="X113" s="35" t="str">
        <f>+VLOOKUP(Agencia[[#This Row],[tema]],Estructura!$A$4:$C$18,3,0)</f>
        <v>T-992</v>
      </c>
      <c r="Y113" s="35" t="str">
        <f>+VLOOKUP(Agencia[[#This Row],[contenido]],Estructura!$E$4:$G$18,3,0)</f>
        <v>C-994</v>
      </c>
      <c r="Z113" s="35" t="str">
        <f>+VLOOKUP(Agencia[[#This Row],[Filtro Integrado]],Estructura!$I$4:$K$18,3,0)</f>
        <v>FI-993</v>
      </c>
      <c r="AA113" s="35" t="str">
        <f>+VLOOKUP(Agencia[[#This Row],[Muestra]],Estructura!$M$4:$O$18,3,0)</f>
        <v>M-998</v>
      </c>
    </row>
    <row r="114" spans="1:27" ht="36" x14ac:dyDescent="0.3">
      <c r="A114" s="26" t="s">
        <v>550</v>
      </c>
      <c r="B114" s="39">
        <f t="shared" si="63"/>
        <v>990</v>
      </c>
      <c r="C114" s="40" t="str">
        <f t="shared" si="63"/>
        <v>Agencia Información</v>
      </c>
      <c r="D114" s="40" t="s">
        <v>627</v>
      </c>
      <c r="E114" s="21">
        <v>0</v>
      </c>
      <c r="F114" s="15" t="s">
        <v>628</v>
      </c>
      <c r="G114" s="25" t="s">
        <v>629</v>
      </c>
      <c r="H114" s="59" t="s">
        <v>20</v>
      </c>
      <c r="I114" s="60" t="s">
        <v>15</v>
      </c>
      <c r="J114" s="14" t="s">
        <v>18</v>
      </c>
      <c r="K114" s="14" t="s">
        <v>631</v>
      </c>
      <c r="L114" s="14" t="s">
        <v>630</v>
      </c>
      <c r="M114" s="14" t="s">
        <v>657</v>
      </c>
      <c r="N114" s="14" t="s">
        <v>632</v>
      </c>
      <c r="O114" s="28" t="str">
        <f>"Evolución de Casos Activos de COVID-19 por 1 millón de habitantes en las comunas de "&amp;Agencia[[#This Row],[territorio]]&amp;" durante el "&amp;Agencia[[#This Row],[temporalidad]]</f>
        <v>Evolución de Casos Activos de COVID-19 por 1 millón de habitantes en las comunas de Chile durante el Periodo 2020-2021</v>
      </c>
      <c r="P114" s="28"/>
      <c r="Q114" s="17" t="str">
        <f t="shared" ref="Q114:Q145" si="106">+Q113</f>
        <v>Ranking</v>
      </c>
      <c r="R114" s="28" t="str">
        <f>Agencia[[#This Row],[territorio]]&amp;",COVID-19,región,comuna,casos activos,fallecidos,recuperados"</f>
        <v>Chile,COVID-19,región,comuna,casos activos,fallecidos,recuperados</v>
      </c>
      <c r="S114" s="30" t="s">
        <v>432</v>
      </c>
      <c r="T114" s="31"/>
      <c r="U114" s="36" t="str">
        <f t="shared" ref="U114:U145" si="107">+U113</f>
        <v>#1774B9</v>
      </c>
      <c r="V114" s="37" t="str">
        <f>+Agencia[[#This Row],[idcoleccion]]&amp;"-"&amp;Agencia[[#This Row],[id]]</f>
        <v>990-0104</v>
      </c>
      <c r="W114" s="38">
        <f>+VLOOKUP(Agencia[[#This Row],[Filtro URL]],Estructura!$X$4:$Y$366,2,0)</f>
        <v>99100000</v>
      </c>
      <c r="X114" s="35" t="str">
        <f>+VLOOKUP(Agencia[[#This Row],[tema]],Estructura!$A$4:$C$18,3,0)</f>
        <v>T-996</v>
      </c>
      <c r="Y114" s="35" t="str">
        <f>+VLOOKUP(Agencia[[#This Row],[contenido]],Estructura!$E$4:$G$18,3,0)</f>
        <v>C-995</v>
      </c>
      <c r="Z114" s="35" t="str">
        <f>+VLOOKUP(Agencia[[#This Row],[Filtro Integrado]],Estructura!$I$4:$K$18,3,0)</f>
        <v>FI-991</v>
      </c>
      <c r="AA114" s="35" t="str">
        <f>+VLOOKUP(Agencia[[#This Row],[Muestra]],Estructura!$M$4:$O$18,3,0)</f>
        <v>M-999</v>
      </c>
    </row>
    <row r="115" spans="1:27" ht="61.2" x14ac:dyDescent="0.3">
      <c r="A115" s="29" t="s">
        <v>551</v>
      </c>
      <c r="B115" s="39">
        <f t="shared" ref="B115:C130" si="108">+B114</f>
        <v>990</v>
      </c>
      <c r="C115" s="40" t="str">
        <f t="shared" si="108"/>
        <v>Agencia Información</v>
      </c>
      <c r="D115" s="40" t="str">
        <f t="shared" si="105"/>
        <v>Salud</v>
      </c>
      <c r="E115" s="27">
        <v>1</v>
      </c>
      <c r="F115" s="15" t="str">
        <f>+F114</f>
        <v>Casos activos COVID-19</v>
      </c>
      <c r="G115" s="15" t="str">
        <f>+G114</f>
        <v>COVID-19</v>
      </c>
      <c r="H115" s="61" t="s">
        <v>16</v>
      </c>
      <c r="I115" s="62" t="s">
        <v>370</v>
      </c>
      <c r="J115" s="14" t="str">
        <f>+J114</f>
        <v>Comuna</v>
      </c>
      <c r="K115" s="14" t="str">
        <f t="shared" ref="K115:L115" si="109">+K114</f>
        <v>Casos Activos por 1 millón de habitantes</v>
      </c>
      <c r="L115" s="14" t="str">
        <f t="shared" si="109"/>
        <v>Periodo 2020-2021</v>
      </c>
      <c r="M115" s="14" t="str">
        <f>+M114</f>
        <v>Número de Casos</v>
      </c>
      <c r="N115" s="14" t="str">
        <f t="shared" ref="N115" si="110">+N114</f>
        <v>Ministerio de Ciencia y Tecnología</v>
      </c>
      <c r="O115" s="28" t="str">
        <f>"Evolución de Casos Activos de COVID-19 por 1 millón de habitantes en las comunas de la "&amp;Agencia[[#This Row],[territorio]]&amp;" durante el "&amp;Agencia[[#This Row],[temporalidad]]</f>
        <v>Evolución de Casos Activos de COVID-19 por 1 millón de habitantes en las comunas de la Región de Tarapacá durante el Periodo 2020-2021</v>
      </c>
      <c r="P115" s="28" t="s">
        <v>633</v>
      </c>
      <c r="Q115" s="17" t="str">
        <f t="shared" si="106"/>
        <v>Ranking</v>
      </c>
      <c r="R115" s="28" t="str">
        <f>Agencia[[#This Row],[territorio]]&amp;",COVID-19,región,comuna,casos activos,fallecidos,recuperados"</f>
        <v>Región de Tarapacá,COVID-19,región,comuna,casos activos,fallecidos,recuperados</v>
      </c>
      <c r="S115" s="18" t="s">
        <v>634</v>
      </c>
      <c r="T115" s="31"/>
      <c r="U115" s="36" t="str">
        <f t="shared" si="107"/>
        <v>#1774B9</v>
      </c>
      <c r="V115" s="37" t="str">
        <f>+Agencia[[#This Row],[idcoleccion]]&amp;"-"&amp;Agencia[[#This Row],[id]]</f>
        <v>990-0105</v>
      </c>
      <c r="W115" s="38">
        <f>+VLOOKUP(Agencia[[#This Row],[Filtro URL]],Estructura!$X$4:$Y$366,2,0)</f>
        <v>99200001</v>
      </c>
      <c r="X115" s="35" t="str">
        <f>+VLOOKUP(Agencia[[#This Row],[tema]],Estructura!$A$4:$C$18,3,0)</f>
        <v>T-996</v>
      </c>
      <c r="Y115" s="35" t="str">
        <f>+VLOOKUP(Agencia[[#This Row],[contenido]],Estructura!$E$4:$G$18,3,0)</f>
        <v>C-995</v>
      </c>
      <c r="Z115" s="35" t="str">
        <f>+VLOOKUP(Agencia[[#This Row],[Filtro Integrado]],Estructura!$I$4:$K$18,3,0)</f>
        <v>FI-991</v>
      </c>
      <c r="AA115" s="35" t="str">
        <f>+VLOOKUP(Agencia[[#This Row],[Muestra]],Estructura!$M$4:$O$18,3,0)</f>
        <v>M-999</v>
      </c>
    </row>
    <row r="116" spans="1:27" ht="36" x14ac:dyDescent="0.3">
      <c r="A116" s="29" t="s">
        <v>552</v>
      </c>
      <c r="B116" s="39">
        <f t="shared" si="108"/>
        <v>990</v>
      </c>
      <c r="C116" s="40" t="str">
        <f t="shared" si="108"/>
        <v>Agencia Información</v>
      </c>
      <c r="D116" s="40" t="str">
        <f t="shared" si="105"/>
        <v>Salud</v>
      </c>
      <c r="E116" s="27">
        <v>2</v>
      </c>
      <c r="F116" s="15" t="str">
        <f t="shared" ref="F116:F179" si="111">+F115</f>
        <v>Casos activos COVID-19</v>
      </c>
      <c r="G116" s="15" t="str">
        <f t="shared" ref="G116:G179" si="112">+G115</f>
        <v>COVID-19</v>
      </c>
      <c r="H116" s="61" t="s">
        <v>16</v>
      </c>
      <c r="I116" s="62" t="s">
        <v>371</v>
      </c>
      <c r="J116" s="14" t="str">
        <f t="shared" ref="J116:J179" si="113">+J115</f>
        <v>Comuna</v>
      </c>
      <c r="K116" s="14" t="str">
        <f t="shared" ref="K116:K179" si="114">+K115</f>
        <v>Casos Activos por 1 millón de habitantes</v>
      </c>
      <c r="L116" s="14" t="str">
        <f t="shared" ref="L116:L179" si="115">+L115</f>
        <v>Periodo 2020-2021</v>
      </c>
      <c r="M116" s="14" t="str">
        <f t="shared" ref="M116:M179" si="116">+M115</f>
        <v>Número de Casos</v>
      </c>
      <c r="N116" s="14" t="str">
        <f t="shared" ref="N116:N179" si="117">+N115</f>
        <v>Ministerio de Ciencia y Tecnología</v>
      </c>
      <c r="O116" s="28" t="str">
        <f>"Evolución de Casos Activos de COVID-19 por 1 millón de habitantes en las comunas de la "&amp;Agencia[[#This Row],[territorio]]&amp;" durante el "&amp;Agencia[[#This Row],[temporalidad]]</f>
        <v>Evolución de Casos Activos de COVID-19 por 1 millón de habitantes en las comunas de la Región de Antofagasta durante el Periodo 2020-2021</v>
      </c>
      <c r="P116" s="28"/>
      <c r="Q116" s="17" t="str">
        <f t="shared" si="106"/>
        <v>Ranking</v>
      </c>
      <c r="R116" s="28" t="str">
        <f>Agencia[[#This Row],[territorio]]&amp;",COVID-19,región,comuna,casos activos,fallecidos,recuperados"</f>
        <v>Región de Antofagasta,COVID-19,región,comuna,casos activos,fallecidos,recuperados</v>
      </c>
      <c r="S116" s="30" t="s">
        <v>432</v>
      </c>
      <c r="T116" s="31"/>
      <c r="U116" s="36" t="str">
        <f t="shared" si="107"/>
        <v>#1774B9</v>
      </c>
      <c r="V116" s="37" t="str">
        <f>+Agencia[[#This Row],[idcoleccion]]&amp;"-"&amp;Agencia[[#This Row],[id]]</f>
        <v>990-0106</v>
      </c>
      <c r="W116" s="38">
        <f>+VLOOKUP(Agencia[[#This Row],[Filtro URL]],Estructura!$X$4:$Y$366,2,0)</f>
        <v>99200002</v>
      </c>
      <c r="X116" s="35" t="str">
        <f>+VLOOKUP(Agencia[[#This Row],[tema]],Estructura!$A$4:$C$18,3,0)</f>
        <v>T-996</v>
      </c>
      <c r="Y116" s="35" t="str">
        <f>+VLOOKUP(Agencia[[#This Row],[contenido]],Estructura!$E$4:$G$18,3,0)</f>
        <v>C-995</v>
      </c>
      <c r="Z116" s="35" t="str">
        <f>+VLOOKUP(Agencia[[#This Row],[Filtro Integrado]],Estructura!$I$4:$K$18,3,0)</f>
        <v>FI-991</v>
      </c>
      <c r="AA116" s="35" t="str">
        <f>+VLOOKUP(Agencia[[#This Row],[Muestra]],Estructura!$M$4:$O$18,3,0)</f>
        <v>M-999</v>
      </c>
    </row>
    <row r="117" spans="1:27" ht="36" x14ac:dyDescent="0.3">
      <c r="A117" s="29" t="s">
        <v>553</v>
      </c>
      <c r="B117" s="39">
        <f t="shared" si="108"/>
        <v>990</v>
      </c>
      <c r="C117" s="40" t="str">
        <f t="shared" si="108"/>
        <v>Agencia Información</v>
      </c>
      <c r="D117" s="40" t="str">
        <f t="shared" si="105"/>
        <v>Salud</v>
      </c>
      <c r="E117" s="27">
        <v>3</v>
      </c>
      <c r="F117" s="15" t="str">
        <f t="shared" si="111"/>
        <v>Casos activos COVID-19</v>
      </c>
      <c r="G117" s="15" t="str">
        <f t="shared" si="112"/>
        <v>COVID-19</v>
      </c>
      <c r="H117" s="61" t="s">
        <v>16</v>
      </c>
      <c r="I117" s="62" t="s">
        <v>372</v>
      </c>
      <c r="J117" s="14" t="str">
        <f t="shared" si="113"/>
        <v>Comuna</v>
      </c>
      <c r="K117" s="14" t="str">
        <f t="shared" si="114"/>
        <v>Casos Activos por 1 millón de habitantes</v>
      </c>
      <c r="L117" s="14" t="str">
        <f t="shared" si="115"/>
        <v>Periodo 2020-2021</v>
      </c>
      <c r="M117" s="14" t="str">
        <f t="shared" si="116"/>
        <v>Número de Casos</v>
      </c>
      <c r="N117" s="14" t="str">
        <f t="shared" si="117"/>
        <v>Ministerio de Ciencia y Tecnología</v>
      </c>
      <c r="O117" s="28" t="str">
        <f>"Evolución de Casos Activos de COVID-19 por 1 millón de habitantes en las comunas de la "&amp;Agencia[[#This Row],[territorio]]&amp;" durante el "&amp;Agencia[[#This Row],[temporalidad]]</f>
        <v>Evolución de Casos Activos de COVID-19 por 1 millón de habitantes en las comunas de la Región de Atacama durante el Periodo 2020-2021</v>
      </c>
      <c r="P117" s="28"/>
      <c r="Q117" s="17" t="str">
        <f t="shared" si="106"/>
        <v>Ranking</v>
      </c>
      <c r="R117" s="28" t="str">
        <f>Agencia[[#This Row],[territorio]]&amp;",COVID-19,región,comuna,casos activos,fallecidos,recuperados"</f>
        <v>Región de Atacama,COVID-19,región,comuna,casos activos,fallecidos,recuperados</v>
      </c>
      <c r="S117" s="30" t="s">
        <v>432</v>
      </c>
      <c r="T117" s="31"/>
      <c r="U117" s="36" t="str">
        <f t="shared" si="107"/>
        <v>#1774B9</v>
      </c>
      <c r="V117" s="37" t="str">
        <f>+Agencia[[#This Row],[idcoleccion]]&amp;"-"&amp;Agencia[[#This Row],[id]]</f>
        <v>990-0107</v>
      </c>
      <c r="W117" s="38">
        <f>+VLOOKUP(Agencia[[#This Row],[Filtro URL]],Estructura!$X$4:$Y$366,2,0)</f>
        <v>99200003</v>
      </c>
      <c r="X117" s="35" t="str">
        <f>+VLOOKUP(Agencia[[#This Row],[tema]],Estructura!$A$4:$C$18,3,0)</f>
        <v>T-996</v>
      </c>
      <c r="Y117" s="35" t="str">
        <f>+VLOOKUP(Agencia[[#This Row],[contenido]],Estructura!$E$4:$G$18,3,0)</f>
        <v>C-995</v>
      </c>
      <c r="Z117" s="35" t="str">
        <f>+VLOOKUP(Agencia[[#This Row],[Filtro Integrado]],Estructura!$I$4:$K$18,3,0)</f>
        <v>FI-991</v>
      </c>
      <c r="AA117" s="35" t="str">
        <f>+VLOOKUP(Agencia[[#This Row],[Muestra]],Estructura!$M$4:$O$18,3,0)</f>
        <v>M-999</v>
      </c>
    </row>
    <row r="118" spans="1:27" ht="36" x14ac:dyDescent="0.3">
      <c r="A118" s="29" t="s">
        <v>554</v>
      </c>
      <c r="B118" s="39">
        <f t="shared" si="108"/>
        <v>990</v>
      </c>
      <c r="C118" s="40" t="str">
        <f t="shared" si="108"/>
        <v>Agencia Información</v>
      </c>
      <c r="D118" s="40" t="str">
        <f t="shared" si="105"/>
        <v>Salud</v>
      </c>
      <c r="E118" s="27">
        <v>4</v>
      </c>
      <c r="F118" s="15" t="str">
        <f t="shared" si="111"/>
        <v>Casos activos COVID-19</v>
      </c>
      <c r="G118" s="15" t="str">
        <f t="shared" si="112"/>
        <v>COVID-19</v>
      </c>
      <c r="H118" s="61" t="s">
        <v>16</v>
      </c>
      <c r="I118" s="62" t="s">
        <v>373</v>
      </c>
      <c r="J118" s="14" t="str">
        <f t="shared" si="113"/>
        <v>Comuna</v>
      </c>
      <c r="K118" s="14" t="str">
        <f t="shared" si="114"/>
        <v>Casos Activos por 1 millón de habitantes</v>
      </c>
      <c r="L118" s="14" t="str">
        <f t="shared" si="115"/>
        <v>Periodo 2020-2021</v>
      </c>
      <c r="M118" s="14" t="str">
        <f t="shared" si="116"/>
        <v>Número de Casos</v>
      </c>
      <c r="N118" s="14" t="str">
        <f t="shared" si="117"/>
        <v>Ministerio de Ciencia y Tecnología</v>
      </c>
      <c r="O118" s="28" t="str">
        <f>"Evolución de Casos Activos de COVID-19 por 1 millón de habitantes en las comunas de la "&amp;Agencia[[#This Row],[territorio]]&amp;" durante el "&amp;Agencia[[#This Row],[temporalidad]]</f>
        <v>Evolución de Casos Activos de COVID-19 por 1 millón de habitantes en las comunas de la Región de Coquimbo durante el Periodo 2020-2021</v>
      </c>
      <c r="P118" s="28"/>
      <c r="Q118" s="17" t="str">
        <f t="shared" si="106"/>
        <v>Ranking</v>
      </c>
      <c r="R118" s="28" t="str">
        <f>Agencia[[#This Row],[territorio]]&amp;",COVID-19,región,comuna,casos activos,fallecidos,recuperados"</f>
        <v>Región de Coquimbo,COVID-19,región,comuna,casos activos,fallecidos,recuperados</v>
      </c>
      <c r="S118" s="30" t="s">
        <v>432</v>
      </c>
      <c r="T118" s="31"/>
      <c r="U118" s="36" t="str">
        <f t="shared" si="107"/>
        <v>#1774B9</v>
      </c>
      <c r="V118" s="37" t="str">
        <f>+Agencia[[#This Row],[idcoleccion]]&amp;"-"&amp;Agencia[[#This Row],[id]]</f>
        <v>990-0108</v>
      </c>
      <c r="W118" s="38">
        <f>+VLOOKUP(Agencia[[#This Row],[Filtro URL]],Estructura!$X$4:$Y$366,2,0)</f>
        <v>99200004</v>
      </c>
      <c r="X118" s="35" t="str">
        <f>+VLOOKUP(Agencia[[#This Row],[tema]],Estructura!$A$4:$C$18,3,0)</f>
        <v>T-996</v>
      </c>
      <c r="Y118" s="35" t="str">
        <f>+VLOOKUP(Agencia[[#This Row],[contenido]],Estructura!$E$4:$G$18,3,0)</f>
        <v>C-995</v>
      </c>
      <c r="Z118" s="35" t="str">
        <f>+VLOOKUP(Agencia[[#This Row],[Filtro Integrado]],Estructura!$I$4:$K$18,3,0)</f>
        <v>FI-991</v>
      </c>
      <c r="AA118" s="35" t="str">
        <f>+VLOOKUP(Agencia[[#This Row],[Muestra]],Estructura!$M$4:$O$18,3,0)</f>
        <v>M-999</v>
      </c>
    </row>
    <row r="119" spans="1:27" ht="36" x14ac:dyDescent="0.3">
      <c r="A119" s="29" t="s">
        <v>555</v>
      </c>
      <c r="B119" s="39">
        <f t="shared" si="108"/>
        <v>990</v>
      </c>
      <c r="C119" s="40" t="str">
        <f t="shared" si="108"/>
        <v>Agencia Información</v>
      </c>
      <c r="D119" s="40" t="str">
        <f t="shared" si="105"/>
        <v>Salud</v>
      </c>
      <c r="E119" s="27">
        <v>5</v>
      </c>
      <c r="F119" s="15" t="str">
        <f t="shared" si="111"/>
        <v>Casos activos COVID-19</v>
      </c>
      <c r="G119" s="15" t="str">
        <f t="shared" si="112"/>
        <v>COVID-19</v>
      </c>
      <c r="H119" s="61" t="s">
        <v>16</v>
      </c>
      <c r="I119" s="62" t="s">
        <v>374</v>
      </c>
      <c r="J119" s="14" t="str">
        <f t="shared" si="113"/>
        <v>Comuna</v>
      </c>
      <c r="K119" s="14" t="str">
        <f t="shared" si="114"/>
        <v>Casos Activos por 1 millón de habitantes</v>
      </c>
      <c r="L119" s="14" t="str">
        <f t="shared" si="115"/>
        <v>Periodo 2020-2021</v>
      </c>
      <c r="M119" s="14" t="str">
        <f t="shared" si="116"/>
        <v>Número de Casos</v>
      </c>
      <c r="N119" s="14" t="str">
        <f t="shared" si="117"/>
        <v>Ministerio de Ciencia y Tecnología</v>
      </c>
      <c r="O119" s="28" t="str">
        <f>"Evolución de Casos Activos de COVID-19 por 1 millón de habitantes en las comunas de la "&amp;Agencia[[#This Row],[territorio]]&amp;" durante el "&amp;Agencia[[#This Row],[temporalidad]]</f>
        <v>Evolución de Casos Activos de COVID-19 por 1 millón de habitantes en las comunas de la Región de Valparaíso durante el Periodo 2020-2021</v>
      </c>
      <c r="P119" s="28"/>
      <c r="Q119" s="17" t="str">
        <f t="shared" si="106"/>
        <v>Ranking</v>
      </c>
      <c r="R119" s="28" t="str">
        <f>Agencia[[#This Row],[territorio]]&amp;",COVID-19,región,comuna,casos activos,fallecidos,recuperados"</f>
        <v>Región de Valparaíso,COVID-19,región,comuna,casos activos,fallecidos,recuperados</v>
      </c>
      <c r="S119" s="30" t="s">
        <v>432</v>
      </c>
      <c r="T119" s="31"/>
      <c r="U119" s="36" t="str">
        <f t="shared" si="107"/>
        <v>#1774B9</v>
      </c>
      <c r="V119" s="37" t="str">
        <f>+Agencia[[#This Row],[idcoleccion]]&amp;"-"&amp;Agencia[[#This Row],[id]]</f>
        <v>990-0109</v>
      </c>
      <c r="W119" s="38">
        <f>+VLOOKUP(Agencia[[#This Row],[Filtro URL]],Estructura!$X$4:$Y$366,2,0)</f>
        <v>99200005</v>
      </c>
      <c r="X119" s="35" t="str">
        <f>+VLOOKUP(Agencia[[#This Row],[tema]],Estructura!$A$4:$C$18,3,0)</f>
        <v>T-996</v>
      </c>
      <c r="Y119" s="35" t="str">
        <f>+VLOOKUP(Agencia[[#This Row],[contenido]],Estructura!$E$4:$G$18,3,0)</f>
        <v>C-995</v>
      </c>
      <c r="Z119" s="35" t="str">
        <f>+VLOOKUP(Agencia[[#This Row],[Filtro Integrado]],Estructura!$I$4:$K$18,3,0)</f>
        <v>FI-991</v>
      </c>
      <c r="AA119" s="35" t="str">
        <f>+VLOOKUP(Agencia[[#This Row],[Muestra]],Estructura!$M$4:$O$18,3,0)</f>
        <v>M-999</v>
      </c>
    </row>
    <row r="120" spans="1:27" ht="36" x14ac:dyDescent="0.3">
      <c r="A120" s="29" t="s">
        <v>556</v>
      </c>
      <c r="B120" s="39">
        <f t="shared" si="108"/>
        <v>990</v>
      </c>
      <c r="C120" s="40" t="str">
        <f t="shared" si="108"/>
        <v>Agencia Información</v>
      </c>
      <c r="D120" s="40" t="str">
        <f t="shared" si="105"/>
        <v>Salud</v>
      </c>
      <c r="E120" s="27">
        <v>6</v>
      </c>
      <c r="F120" s="15" t="str">
        <f t="shared" si="111"/>
        <v>Casos activos COVID-19</v>
      </c>
      <c r="G120" s="15" t="str">
        <f t="shared" si="112"/>
        <v>COVID-19</v>
      </c>
      <c r="H120" s="61" t="s">
        <v>16</v>
      </c>
      <c r="I120" s="62" t="s">
        <v>375</v>
      </c>
      <c r="J120" s="14" t="str">
        <f t="shared" si="113"/>
        <v>Comuna</v>
      </c>
      <c r="K120" s="14" t="str">
        <f t="shared" si="114"/>
        <v>Casos Activos por 1 millón de habitantes</v>
      </c>
      <c r="L120" s="14" t="str">
        <f t="shared" si="115"/>
        <v>Periodo 2020-2021</v>
      </c>
      <c r="M120" s="14" t="str">
        <f t="shared" si="116"/>
        <v>Número de Casos</v>
      </c>
      <c r="N120" s="14" t="str">
        <f t="shared" si="117"/>
        <v>Ministerio de Ciencia y Tecnología</v>
      </c>
      <c r="O120" s="28" t="str">
        <f>"Evolución de Casos Activos de COVID-19 por 1 millón de habitantes en las comunas de la "&amp;Agencia[[#This Row],[territorio]]&amp;" durante el "&amp;Agencia[[#This Row],[temporalidad]]</f>
        <v>Evolución de Casos Activos de COVID-19 por 1 millón de habitantes en las comunas de la Región de O'Higgins durante el Periodo 2020-2021</v>
      </c>
      <c r="P120" s="28"/>
      <c r="Q120" s="17" t="str">
        <f t="shared" si="106"/>
        <v>Ranking</v>
      </c>
      <c r="R120" s="28" t="str">
        <f>Agencia[[#This Row],[territorio]]&amp;",COVID-19,región,comuna,casos activos,fallecidos,recuperados"</f>
        <v>Región de O'Higgins,COVID-19,región,comuna,casos activos,fallecidos,recuperados</v>
      </c>
      <c r="S120" s="30" t="s">
        <v>432</v>
      </c>
      <c r="T120" s="31"/>
      <c r="U120" s="36" t="str">
        <f t="shared" si="107"/>
        <v>#1774B9</v>
      </c>
      <c r="V120" s="37" t="str">
        <f>+Agencia[[#This Row],[idcoleccion]]&amp;"-"&amp;Agencia[[#This Row],[id]]</f>
        <v>990-0110</v>
      </c>
      <c r="W120" s="38">
        <f>+VLOOKUP(Agencia[[#This Row],[Filtro URL]],Estructura!$X$4:$Y$366,2,0)</f>
        <v>99200006</v>
      </c>
      <c r="X120" s="35" t="str">
        <f>+VLOOKUP(Agencia[[#This Row],[tema]],Estructura!$A$4:$C$18,3,0)</f>
        <v>T-996</v>
      </c>
      <c r="Y120" s="35" t="str">
        <f>+VLOOKUP(Agencia[[#This Row],[contenido]],Estructura!$E$4:$G$18,3,0)</f>
        <v>C-995</v>
      </c>
      <c r="Z120" s="35" t="str">
        <f>+VLOOKUP(Agencia[[#This Row],[Filtro Integrado]],Estructura!$I$4:$K$18,3,0)</f>
        <v>FI-991</v>
      </c>
      <c r="AA120" s="35" t="str">
        <f>+VLOOKUP(Agencia[[#This Row],[Muestra]],Estructura!$M$4:$O$18,3,0)</f>
        <v>M-999</v>
      </c>
    </row>
    <row r="121" spans="1:27" ht="36" x14ac:dyDescent="0.3">
      <c r="A121" s="29" t="s">
        <v>557</v>
      </c>
      <c r="B121" s="39">
        <f t="shared" si="108"/>
        <v>990</v>
      </c>
      <c r="C121" s="40" t="str">
        <f t="shared" si="108"/>
        <v>Agencia Información</v>
      </c>
      <c r="D121" s="40" t="str">
        <f t="shared" si="105"/>
        <v>Salud</v>
      </c>
      <c r="E121" s="27">
        <v>7</v>
      </c>
      <c r="F121" s="15" t="str">
        <f t="shared" si="111"/>
        <v>Casos activos COVID-19</v>
      </c>
      <c r="G121" s="15" t="str">
        <f t="shared" si="112"/>
        <v>COVID-19</v>
      </c>
      <c r="H121" s="61" t="s">
        <v>16</v>
      </c>
      <c r="I121" s="62" t="s">
        <v>376</v>
      </c>
      <c r="J121" s="14" t="str">
        <f t="shared" si="113"/>
        <v>Comuna</v>
      </c>
      <c r="K121" s="14" t="str">
        <f t="shared" si="114"/>
        <v>Casos Activos por 1 millón de habitantes</v>
      </c>
      <c r="L121" s="14" t="str">
        <f t="shared" si="115"/>
        <v>Periodo 2020-2021</v>
      </c>
      <c r="M121" s="14" t="str">
        <f t="shared" si="116"/>
        <v>Número de Casos</v>
      </c>
      <c r="N121" s="14" t="str">
        <f t="shared" si="117"/>
        <v>Ministerio de Ciencia y Tecnología</v>
      </c>
      <c r="O121" s="28" t="str">
        <f>"Evolución de Casos Activos de COVID-19 por 1 millón de habitantes en las comunas de la "&amp;Agencia[[#This Row],[territorio]]&amp;" durante el "&amp;Agencia[[#This Row],[temporalidad]]</f>
        <v>Evolución de Casos Activos de COVID-19 por 1 millón de habitantes en las comunas de la Región de Maule durante el Periodo 2020-2021</v>
      </c>
      <c r="P121" s="28"/>
      <c r="Q121" s="17" t="str">
        <f t="shared" si="106"/>
        <v>Ranking</v>
      </c>
      <c r="R121" s="28" t="str">
        <f>Agencia[[#This Row],[territorio]]&amp;",COVID-19,región,comuna,casos activos,fallecidos,recuperados"</f>
        <v>Región de Maule,COVID-19,región,comuna,casos activos,fallecidos,recuperados</v>
      </c>
      <c r="S121" s="30" t="s">
        <v>432</v>
      </c>
      <c r="T121" s="31"/>
      <c r="U121" s="36" t="str">
        <f t="shared" si="107"/>
        <v>#1774B9</v>
      </c>
      <c r="V121" s="37" t="str">
        <f>+Agencia[[#This Row],[idcoleccion]]&amp;"-"&amp;Agencia[[#This Row],[id]]</f>
        <v>990-0111</v>
      </c>
      <c r="W121" s="38">
        <f>+VLOOKUP(Agencia[[#This Row],[Filtro URL]],Estructura!$X$4:$Y$366,2,0)</f>
        <v>99200007</v>
      </c>
      <c r="X121" s="35" t="str">
        <f>+VLOOKUP(Agencia[[#This Row],[tema]],Estructura!$A$4:$C$18,3,0)</f>
        <v>T-996</v>
      </c>
      <c r="Y121" s="35" t="str">
        <f>+VLOOKUP(Agencia[[#This Row],[contenido]],Estructura!$E$4:$G$18,3,0)</f>
        <v>C-995</v>
      </c>
      <c r="Z121" s="35" t="str">
        <f>+VLOOKUP(Agencia[[#This Row],[Filtro Integrado]],Estructura!$I$4:$K$18,3,0)</f>
        <v>FI-991</v>
      </c>
      <c r="AA121" s="35" t="str">
        <f>+VLOOKUP(Agencia[[#This Row],[Muestra]],Estructura!$M$4:$O$18,3,0)</f>
        <v>M-999</v>
      </c>
    </row>
    <row r="122" spans="1:27" ht="36" x14ac:dyDescent="0.3">
      <c r="A122" s="29" t="s">
        <v>558</v>
      </c>
      <c r="B122" s="39">
        <f t="shared" si="108"/>
        <v>990</v>
      </c>
      <c r="C122" s="40" t="str">
        <f t="shared" si="108"/>
        <v>Agencia Información</v>
      </c>
      <c r="D122" s="40" t="str">
        <f t="shared" si="105"/>
        <v>Salud</v>
      </c>
      <c r="E122" s="27">
        <v>8</v>
      </c>
      <c r="F122" s="15" t="str">
        <f t="shared" si="111"/>
        <v>Casos activos COVID-19</v>
      </c>
      <c r="G122" s="15" t="str">
        <f t="shared" si="112"/>
        <v>COVID-19</v>
      </c>
      <c r="H122" s="61" t="s">
        <v>16</v>
      </c>
      <c r="I122" s="62" t="s">
        <v>377</v>
      </c>
      <c r="J122" s="14" t="str">
        <f t="shared" si="113"/>
        <v>Comuna</v>
      </c>
      <c r="K122" s="14" t="str">
        <f t="shared" si="114"/>
        <v>Casos Activos por 1 millón de habitantes</v>
      </c>
      <c r="L122" s="14" t="str">
        <f t="shared" si="115"/>
        <v>Periodo 2020-2021</v>
      </c>
      <c r="M122" s="14" t="str">
        <f t="shared" si="116"/>
        <v>Número de Casos</v>
      </c>
      <c r="N122" s="14" t="str">
        <f t="shared" si="117"/>
        <v>Ministerio de Ciencia y Tecnología</v>
      </c>
      <c r="O122" s="28" t="str">
        <f>"Evolución de Casos Activos de COVID-19 por 1 millón de habitantes en las comunas de la "&amp;Agencia[[#This Row],[territorio]]&amp;" durante el "&amp;Agencia[[#This Row],[temporalidad]]</f>
        <v>Evolución de Casos Activos de COVID-19 por 1 millón de habitantes en las comunas de la Región del Biobío durante el Periodo 2020-2021</v>
      </c>
      <c r="P122" s="28"/>
      <c r="Q122" s="17" t="str">
        <f t="shared" si="106"/>
        <v>Ranking</v>
      </c>
      <c r="R122" s="28" t="str">
        <f>Agencia[[#This Row],[territorio]]&amp;",COVID-19,región,comuna,casos activos,fallecidos,recuperados"</f>
        <v>Región del Biobío,COVID-19,región,comuna,casos activos,fallecidos,recuperados</v>
      </c>
      <c r="S122" s="30" t="s">
        <v>432</v>
      </c>
      <c r="T122" s="31"/>
      <c r="U122" s="36" t="str">
        <f t="shared" si="107"/>
        <v>#1774B9</v>
      </c>
      <c r="V122" s="37" t="str">
        <f>+Agencia[[#This Row],[idcoleccion]]&amp;"-"&amp;Agencia[[#This Row],[id]]</f>
        <v>990-0112</v>
      </c>
      <c r="W122" s="38">
        <f>+VLOOKUP(Agencia[[#This Row],[Filtro URL]],Estructura!$X$4:$Y$366,2,0)</f>
        <v>99200008</v>
      </c>
      <c r="X122" s="35" t="str">
        <f>+VLOOKUP(Agencia[[#This Row],[tema]],Estructura!$A$4:$C$18,3,0)</f>
        <v>T-996</v>
      </c>
      <c r="Y122" s="35" t="str">
        <f>+VLOOKUP(Agencia[[#This Row],[contenido]],Estructura!$E$4:$G$18,3,0)</f>
        <v>C-995</v>
      </c>
      <c r="Z122" s="35" t="str">
        <f>+VLOOKUP(Agencia[[#This Row],[Filtro Integrado]],Estructura!$I$4:$K$18,3,0)</f>
        <v>FI-991</v>
      </c>
      <c r="AA122" s="35" t="str">
        <f>+VLOOKUP(Agencia[[#This Row],[Muestra]],Estructura!$M$4:$O$18,3,0)</f>
        <v>M-999</v>
      </c>
    </row>
    <row r="123" spans="1:27" ht="36" x14ac:dyDescent="0.3">
      <c r="A123" s="29" t="s">
        <v>559</v>
      </c>
      <c r="B123" s="39">
        <f t="shared" si="108"/>
        <v>990</v>
      </c>
      <c r="C123" s="40" t="str">
        <f t="shared" si="108"/>
        <v>Agencia Información</v>
      </c>
      <c r="D123" s="40" t="str">
        <f t="shared" si="105"/>
        <v>Salud</v>
      </c>
      <c r="E123" s="27">
        <v>9</v>
      </c>
      <c r="F123" s="15" t="str">
        <f t="shared" si="111"/>
        <v>Casos activos COVID-19</v>
      </c>
      <c r="G123" s="15" t="str">
        <f t="shared" si="112"/>
        <v>COVID-19</v>
      </c>
      <c r="H123" s="61" t="s">
        <v>16</v>
      </c>
      <c r="I123" s="62" t="s">
        <v>378</v>
      </c>
      <c r="J123" s="14" t="str">
        <f t="shared" si="113"/>
        <v>Comuna</v>
      </c>
      <c r="K123" s="14" t="str">
        <f t="shared" si="114"/>
        <v>Casos Activos por 1 millón de habitantes</v>
      </c>
      <c r="L123" s="14" t="str">
        <f t="shared" si="115"/>
        <v>Periodo 2020-2021</v>
      </c>
      <c r="M123" s="14" t="str">
        <f t="shared" si="116"/>
        <v>Número de Casos</v>
      </c>
      <c r="N123" s="14" t="str">
        <f t="shared" si="117"/>
        <v>Ministerio de Ciencia y Tecnología</v>
      </c>
      <c r="O123" s="28" t="str">
        <f>"Evolución de Casos Activos de COVID-19 por 1 millón de habitantes en las comunas de la "&amp;Agencia[[#This Row],[territorio]]&amp;" durante el "&amp;Agencia[[#This Row],[temporalidad]]</f>
        <v>Evolución de Casos Activos de COVID-19 por 1 millón de habitantes en las comunas de la Región de La Araucanía durante el Periodo 2020-2021</v>
      </c>
      <c r="P123" s="28"/>
      <c r="Q123" s="17" t="str">
        <f t="shared" si="106"/>
        <v>Ranking</v>
      </c>
      <c r="R123" s="28" t="str">
        <f>Agencia[[#This Row],[territorio]]&amp;",COVID-19,región,comuna,casos activos,fallecidos,recuperados"</f>
        <v>Región de La Araucanía,COVID-19,región,comuna,casos activos,fallecidos,recuperados</v>
      </c>
      <c r="S123" s="30" t="s">
        <v>432</v>
      </c>
      <c r="T123" s="31"/>
      <c r="U123" s="36" t="str">
        <f t="shared" si="107"/>
        <v>#1774B9</v>
      </c>
      <c r="V123" s="37" t="str">
        <f>+Agencia[[#This Row],[idcoleccion]]&amp;"-"&amp;Agencia[[#This Row],[id]]</f>
        <v>990-0113</v>
      </c>
      <c r="W123" s="38">
        <f>+VLOOKUP(Agencia[[#This Row],[Filtro URL]],Estructura!$X$4:$Y$366,2,0)</f>
        <v>99200009</v>
      </c>
      <c r="X123" s="35" t="str">
        <f>+VLOOKUP(Agencia[[#This Row],[tema]],Estructura!$A$4:$C$18,3,0)</f>
        <v>T-996</v>
      </c>
      <c r="Y123" s="35" t="str">
        <f>+VLOOKUP(Agencia[[#This Row],[contenido]],Estructura!$E$4:$G$18,3,0)</f>
        <v>C-995</v>
      </c>
      <c r="Z123" s="35" t="str">
        <f>+VLOOKUP(Agencia[[#This Row],[Filtro Integrado]],Estructura!$I$4:$K$18,3,0)</f>
        <v>FI-991</v>
      </c>
      <c r="AA123" s="35" t="str">
        <f>+VLOOKUP(Agencia[[#This Row],[Muestra]],Estructura!$M$4:$O$18,3,0)</f>
        <v>M-999</v>
      </c>
    </row>
    <row r="124" spans="1:27" ht="36" x14ac:dyDescent="0.3">
      <c r="A124" s="29" t="s">
        <v>560</v>
      </c>
      <c r="B124" s="39">
        <f t="shared" si="108"/>
        <v>990</v>
      </c>
      <c r="C124" s="40" t="str">
        <f t="shared" si="108"/>
        <v>Agencia Información</v>
      </c>
      <c r="D124" s="40" t="str">
        <f t="shared" si="105"/>
        <v>Salud</v>
      </c>
      <c r="E124" s="27">
        <v>10</v>
      </c>
      <c r="F124" s="15" t="str">
        <f t="shared" si="111"/>
        <v>Casos activos COVID-19</v>
      </c>
      <c r="G124" s="15" t="str">
        <f t="shared" si="112"/>
        <v>COVID-19</v>
      </c>
      <c r="H124" s="61" t="s">
        <v>16</v>
      </c>
      <c r="I124" s="62" t="s">
        <v>379</v>
      </c>
      <c r="J124" s="14" t="str">
        <f t="shared" si="113"/>
        <v>Comuna</v>
      </c>
      <c r="K124" s="14" t="str">
        <f t="shared" si="114"/>
        <v>Casos Activos por 1 millón de habitantes</v>
      </c>
      <c r="L124" s="14" t="str">
        <f t="shared" si="115"/>
        <v>Periodo 2020-2021</v>
      </c>
      <c r="M124" s="14" t="str">
        <f t="shared" si="116"/>
        <v>Número de Casos</v>
      </c>
      <c r="N124" s="14" t="str">
        <f t="shared" si="117"/>
        <v>Ministerio de Ciencia y Tecnología</v>
      </c>
      <c r="O124" s="28" t="str">
        <f>"Evolución de Casos Activos de COVID-19 por 1 millón de habitantes en las comunas de la "&amp;Agencia[[#This Row],[territorio]]&amp;" durante el "&amp;Agencia[[#This Row],[temporalidad]]</f>
        <v>Evolución de Casos Activos de COVID-19 por 1 millón de habitantes en las comunas de la Región de Los Lagos durante el Periodo 2020-2021</v>
      </c>
      <c r="P124" s="28"/>
      <c r="Q124" s="17" t="str">
        <f t="shared" si="106"/>
        <v>Ranking</v>
      </c>
      <c r="R124" s="28" t="str">
        <f>Agencia[[#This Row],[territorio]]&amp;",COVID-19,región,comuna,casos activos,fallecidos,recuperados"</f>
        <v>Región de Los Lagos,COVID-19,región,comuna,casos activos,fallecidos,recuperados</v>
      </c>
      <c r="S124" s="30" t="s">
        <v>432</v>
      </c>
      <c r="T124" s="31"/>
      <c r="U124" s="36" t="str">
        <f t="shared" si="107"/>
        <v>#1774B9</v>
      </c>
      <c r="V124" s="37" t="str">
        <f>+Agencia[[#This Row],[idcoleccion]]&amp;"-"&amp;Agencia[[#This Row],[id]]</f>
        <v>990-0114</v>
      </c>
      <c r="W124" s="38">
        <f>+VLOOKUP(Agencia[[#This Row],[Filtro URL]],Estructura!$X$4:$Y$366,2,0)</f>
        <v>99200010</v>
      </c>
      <c r="X124" s="35" t="str">
        <f>+VLOOKUP(Agencia[[#This Row],[tema]],Estructura!$A$4:$C$18,3,0)</f>
        <v>T-996</v>
      </c>
      <c r="Y124" s="35" t="str">
        <f>+VLOOKUP(Agencia[[#This Row],[contenido]],Estructura!$E$4:$G$18,3,0)</f>
        <v>C-995</v>
      </c>
      <c r="Z124" s="35" t="str">
        <f>+VLOOKUP(Agencia[[#This Row],[Filtro Integrado]],Estructura!$I$4:$K$18,3,0)</f>
        <v>FI-991</v>
      </c>
      <c r="AA124" s="35" t="str">
        <f>+VLOOKUP(Agencia[[#This Row],[Muestra]],Estructura!$M$4:$O$18,3,0)</f>
        <v>M-999</v>
      </c>
    </row>
    <row r="125" spans="1:27" ht="36" x14ac:dyDescent="0.3">
      <c r="A125" s="29" t="s">
        <v>561</v>
      </c>
      <c r="B125" s="39">
        <f t="shared" si="108"/>
        <v>990</v>
      </c>
      <c r="C125" s="40" t="str">
        <f t="shared" si="108"/>
        <v>Agencia Información</v>
      </c>
      <c r="D125" s="40" t="str">
        <f t="shared" si="105"/>
        <v>Salud</v>
      </c>
      <c r="E125" s="27">
        <v>11</v>
      </c>
      <c r="F125" s="15" t="str">
        <f t="shared" si="111"/>
        <v>Casos activos COVID-19</v>
      </c>
      <c r="G125" s="15" t="str">
        <f t="shared" si="112"/>
        <v>COVID-19</v>
      </c>
      <c r="H125" s="61" t="s">
        <v>16</v>
      </c>
      <c r="I125" s="62" t="s">
        <v>380</v>
      </c>
      <c r="J125" s="14" t="str">
        <f t="shared" si="113"/>
        <v>Comuna</v>
      </c>
      <c r="K125" s="14" t="str">
        <f t="shared" si="114"/>
        <v>Casos Activos por 1 millón de habitantes</v>
      </c>
      <c r="L125" s="14" t="str">
        <f t="shared" si="115"/>
        <v>Periodo 2020-2021</v>
      </c>
      <c r="M125" s="14" t="str">
        <f t="shared" si="116"/>
        <v>Número de Casos</v>
      </c>
      <c r="N125" s="14" t="str">
        <f t="shared" si="117"/>
        <v>Ministerio de Ciencia y Tecnología</v>
      </c>
      <c r="O125" s="28" t="str">
        <f>"Evolución de Casos Activos de COVID-19 por 1 millón de habitantes en las comunas de la "&amp;Agencia[[#This Row],[territorio]]&amp;" durante el "&amp;Agencia[[#This Row],[temporalidad]]</f>
        <v>Evolución de Casos Activos de COVID-19 por 1 millón de habitantes en las comunas de la Región de Aysén durante el Periodo 2020-2021</v>
      </c>
      <c r="P125" s="28"/>
      <c r="Q125" s="17" t="str">
        <f t="shared" si="106"/>
        <v>Ranking</v>
      </c>
      <c r="R125" s="28" t="str">
        <f>Agencia[[#This Row],[territorio]]&amp;",COVID-19,región,comuna,casos activos,fallecidos,recuperados"</f>
        <v>Región de Aysén,COVID-19,región,comuna,casos activos,fallecidos,recuperados</v>
      </c>
      <c r="S125" s="30" t="s">
        <v>432</v>
      </c>
      <c r="T125" s="31"/>
      <c r="U125" s="36" t="str">
        <f t="shared" si="107"/>
        <v>#1774B9</v>
      </c>
      <c r="V125" s="37" t="str">
        <f>+Agencia[[#This Row],[idcoleccion]]&amp;"-"&amp;Agencia[[#This Row],[id]]</f>
        <v>990-0115</v>
      </c>
      <c r="W125" s="38">
        <f>+VLOOKUP(Agencia[[#This Row],[Filtro URL]],Estructura!$X$4:$Y$366,2,0)</f>
        <v>99200011</v>
      </c>
      <c r="X125" s="35" t="str">
        <f>+VLOOKUP(Agencia[[#This Row],[tema]],Estructura!$A$4:$C$18,3,0)</f>
        <v>T-996</v>
      </c>
      <c r="Y125" s="35" t="str">
        <f>+VLOOKUP(Agencia[[#This Row],[contenido]],Estructura!$E$4:$G$18,3,0)</f>
        <v>C-995</v>
      </c>
      <c r="Z125" s="35" t="str">
        <f>+VLOOKUP(Agencia[[#This Row],[Filtro Integrado]],Estructura!$I$4:$K$18,3,0)</f>
        <v>FI-991</v>
      </c>
      <c r="AA125" s="35" t="str">
        <f>+VLOOKUP(Agencia[[#This Row],[Muestra]],Estructura!$M$4:$O$18,3,0)</f>
        <v>M-999</v>
      </c>
    </row>
    <row r="126" spans="1:27" ht="36" x14ac:dyDescent="0.3">
      <c r="A126" s="29" t="s">
        <v>562</v>
      </c>
      <c r="B126" s="39">
        <f t="shared" si="108"/>
        <v>990</v>
      </c>
      <c r="C126" s="40" t="str">
        <f t="shared" si="108"/>
        <v>Agencia Información</v>
      </c>
      <c r="D126" s="40" t="str">
        <f t="shared" si="105"/>
        <v>Salud</v>
      </c>
      <c r="E126" s="27">
        <v>12</v>
      </c>
      <c r="F126" s="15" t="str">
        <f t="shared" si="111"/>
        <v>Casos activos COVID-19</v>
      </c>
      <c r="G126" s="15" t="str">
        <f t="shared" si="112"/>
        <v>COVID-19</v>
      </c>
      <c r="H126" s="61" t="s">
        <v>16</v>
      </c>
      <c r="I126" s="62" t="s">
        <v>381</v>
      </c>
      <c r="J126" s="14" t="str">
        <f t="shared" si="113"/>
        <v>Comuna</v>
      </c>
      <c r="K126" s="14" t="str">
        <f t="shared" si="114"/>
        <v>Casos Activos por 1 millón de habitantes</v>
      </c>
      <c r="L126" s="14" t="str">
        <f t="shared" si="115"/>
        <v>Periodo 2020-2021</v>
      </c>
      <c r="M126" s="14" t="str">
        <f t="shared" si="116"/>
        <v>Número de Casos</v>
      </c>
      <c r="N126" s="14" t="str">
        <f t="shared" si="117"/>
        <v>Ministerio de Ciencia y Tecnología</v>
      </c>
      <c r="O126" s="28" t="str">
        <f>"Evolución de Casos Activos de COVID-19 por 1 millón de habitantes en las comunas de la "&amp;Agencia[[#This Row],[territorio]]&amp;" durante el "&amp;Agencia[[#This Row],[temporalidad]]</f>
        <v>Evolución de Casos Activos de COVID-19 por 1 millón de habitantes en las comunas de la Región de Magallanes durante el Periodo 2020-2021</v>
      </c>
      <c r="P126" s="28"/>
      <c r="Q126" s="17" t="str">
        <f t="shared" si="106"/>
        <v>Ranking</v>
      </c>
      <c r="R126" s="28" t="str">
        <f>Agencia[[#This Row],[territorio]]&amp;",COVID-19,región,comuna,casos activos,fallecidos,recuperados"</f>
        <v>Región de Magallanes,COVID-19,región,comuna,casos activos,fallecidos,recuperados</v>
      </c>
      <c r="S126" s="30" t="s">
        <v>432</v>
      </c>
      <c r="T126" s="31"/>
      <c r="U126" s="36" t="str">
        <f t="shared" si="107"/>
        <v>#1774B9</v>
      </c>
      <c r="V126" s="37" t="str">
        <f>+Agencia[[#This Row],[idcoleccion]]&amp;"-"&amp;Agencia[[#This Row],[id]]</f>
        <v>990-0116</v>
      </c>
      <c r="W126" s="38">
        <f>+VLOOKUP(Agencia[[#This Row],[Filtro URL]],Estructura!$X$4:$Y$366,2,0)</f>
        <v>99200012</v>
      </c>
      <c r="X126" s="35" t="str">
        <f>+VLOOKUP(Agencia[[#This Row],[tema]],Estructura!$A$4:$C$18,3,0)</f>
        <v>T-996</v>
      </c>
      <c r="Y126" s="35" t="str">
        <f>+VLOOKUP(Agencia[[#This Row],[contenido]],Estructura!$E$4:$G$18,3,0)</f>
        <v>C-995</v>
      </c>
      <c r="Z126" s="35" t="str">
        <f>+VLOOKUP(Agencia[[#This Row],[Filtro Integrado]],Estructura!$I$4:$K$18,3,0)</f>
        <v>FI-991</v>
      </c>
      <c r="AA126" s="35" t="str">
        <f>+VLOOKUP(Agencia[[#This Row],[Muestra]],Estructura!$M$4:$O$18,3,0)</f>
        <v>M-999</v>
      </c>
    </row>
    <row r="127" spans="1:27" ht="36" x14ac:dyDescent="0.3">
      <c r="A127" s="29" t="s">
        <v>563</v>
      </c>
      <c r="B127" s="39">
        <f t="shared" si="108"/>
        <v>990</v>
      </c>
      <c r="C127" s="40" t="str">
        <f t="shared" si="108"/>
        <v>Agencia Información</v>
      </c>
      <c r="D127" s="40" t="str">
        <f t="shared" si="105"/>
        <v>Salud</v>
      </c>
      <c r="E127" s="27">
        <v>13</v>
      </c>
      <c r="F127" s="15" t="str">
        <f t="shared" si="111"/>
        <v>Casos activos COVID-19</v>
      </c>
      <c r="G127" s="15" t="str">
        <f t="shared" si="112"/>
        <v>COVID-19</v>
      </c>
      <c r="H127" s="61" t="s">
        <v>16</v>
      </c>
      <c r="I127" s="62" t="s">
        <v>382</v>
      </c>
      <c r="J127" s="14" t="str">
        <f t="shared" si="113"/>
        <v>Comuna</v>
      </c>
      <c r="K127" s="14" t="str">
        <f t="shared" si="114"/>
        <v>Casos Activos por 1 millón de habitantes</v>
      </c>
      <c r="L127" s="14" t="str">
        <f t="shared" si="115"/>
        <v>Periodo 2020-2021</v>
      </c>
      <c r="M127" s="14" t="str">
        <f t="shared" si="116"/>
        <v>Número de Casos</v>
      </c>
      <c r="N127" s="14" t="str">
        <f t="shared" si="117"/>
        <v>Ministerio de Ciencia y Tecnología</v>
      </c>
      <c r="O127" s="28" t="str">
        <f>"Evolución de Casos Activos de COVID-19 por 1 millón de habitantes en las comunas de la "&amp;Agencia[[#This Row],[territorio]]&amp;" durante el "&amp;Agencia[[#This Row],[temporalidad]]</f>
        <v>Evolución de Casos Activos de COVID-19 por 1 millón de habitantes en las comunas de la Región Metropolitana durante el Periodo 2020-2021</v>
      </c>
      <c r="P127" s="28"/>
      <c r="Q127" s="17" t="str">
        <f t="shared" si="106"/>
        <v>Ranking</v>
      </c>
      <c r="R127" s="28" t="str">
        <f>Agencia[[#This Row],[territorio]]&amp;",COVID-19,región,comuna,casos activos,fallecidos,recuperados"</f>
        <v>Región Metropolitana,COVID-19,región,comuna,casos activos,fallecidos,recuperados</v>
      </c>
      <c r="S127" s="30" t="s">
        <v>432</v>
      </c>
      <c r="T127" s="31"/>
      <c r="U127" s="36" t="str">
        <f t="shared" si="107"/>
        <v>#1774B9</v>
      </c>
      <c r="V127" s="37" t="str">
        <f>+Agencia[[#This Row],[idcoleccion]]&amp;"-"&amp;Agencia[[#This Row],[id]]</f>
        <v>990-0117</v>
      </c>
      <c r="W127" s="38">
        <f>+VLOOKUP(Agencia[[#This Row],[Filtro URL]],Estructura!$X$4:$Y$366,2,0)</f>
        <v>99200013</v>
      </c>
      <c r="X127" s="35" t="str">
        <f>+VLOOKUP(Agencia[[#This Row],[tema]],Estructura!$A$4:$C$18,3,0)</f>
        <v>T-996</v>
      </c>
      <c r="Y127" s="35" t="str">
        <f>+VLOOKUP(Agencia[[#This Row],[contenido]],Estructura!$E$4:$G$18,3,0)</f>
        <v>C-995</v>
      </c>
      <c r="Z127" s="35" t="str">
        <f>+VLOOKUP(Agencia[[#This Row],[Filtro Integrado]],Estructura!$I$4:$K$18,3,0)</f>
        <v>FI-991</v>
      </c>
      <c r="AA127" s="35" t="str">
        <f>+VLOOKUP(Agencia[[#This Row],[Muestra]],Estructura!$M$4:$O$18,3,0)</f>
        <v>M-999</v>
      </c>
    </row>
    <row r="128" spans="1:27" ht="36" x14ac:dyDescent="0.3">
      <c r="A128" s="29" t="s">
        <v>564</v>
      </c>
      <c r="B128" s="39">
        <f t="shared" si="108"/>
        <v>990</v>
      </c>
      <c r="C128" s="40" t="str">
        <f t="shared" si="108"/>
        <v>Agencia Información</v>
      </c>
      <c r="D128" s="40" t="str">
        <f t="shared" si="105"/>
        <v>Salud</v>
      </c>
      <c r="E128" s="27">
        <v>14</v>
      </c>
      <c r="F128" s="15" t="str">
        <f t="shared" si="111"/>
        <v>Casos activos COVID-19</v>
      </c>
      <c r="G128" s="15" t="str">
        <f t="shared" si="112"/>
        <v>COVID-19</v>
      </c>
      <c r="H128" s="61" t="s">
        <v>16</v>
      </c>
      <c r="I128" s="62" t="s">
        <v>383</v>
      </c>
      <c r="J128" s="14" t="str">
        <f t="shared" si="113"/>
        <v>Comuna</v>
      </c>
      <c r="K128" s="14" t="str">
        <f t="shared" si="114"/>
        <v>Casos Activos por 1 millón de habitantes</v>
      </c>
      <c r="L128" s="14" t="str">
        <f t="shared" si="115"/>
        <v>Periodo 2020-2021</v>
      </c>
      <c r="M128" s="14" t="str">
        <f t="shared" si="116"/>
        <v>Número de Casos</v>
      </c>
      <c r="N128" s="14" t="str">
        <f t="shared" si="117"/>
        <v>Ministerio de Ciencia y Tecnología</v>
      </c>
      <c r="O128" s="28" t="str">
        <f>"Evolución de Casos Activos de COVID-19 por 1 millón de habitantes en las comunas de la "&amp;Agencia[[#This Row],[territorio]]&amp;" durante el "&amp;Agencia[[#This Row],[temporalidad]]</f>
        <v>Evolución de Casos Activos de COVID-19 por 1 millón de habitantes en las comunas de la Región de Los Ríos durante el Periodo 2020-2021</v>
      </c>
      <c r="P128" s="28"/>
      <c r="Q128" s="17" t="str">
        <f t="shared" si="106"/>
        <v>Ranking</v>
      </c>
      <c r="R128" s="28" t="str">
        <f>Agencia[[#This Row],[territorio]]&amp;",COVID-19,región,comuna,casos activos,fallecidos,recuperados"</f>
        <v>Región de Los Ríos,COVID-19,región,comuna,casos activos,fallecidos,recuperados</v>
      </c>
      <c r="S128" s="30" t="s">
        <v>432</v>
      </c>
      <c r="T128" s="31"/>
      <c r="U128" s="36" t="str">
        <f t="shared" si="107"/>
        <v>#1774B9</v>
      </c>
      <c r="V128" s="37" t="str">
        <f>+Agencia[[#This Row],[idcoleccion]]&amp;"-"&amp;Agencia[[#This Row],[id]]</f>
        <v>990-0118</v>
      </c>
      <c r="W128" s="38">
        <f>+VLOOKUP(Agencia[[#This Row],[Filtro URL]],Estructura!$X$4:$Y$366,2,0)</f>
        <v>99200014</v>
      </c>
      <c r="X128" s="35" t="str">
        <f>+VLOOKUP(Agencia[[#This Row],[tema]],Estructura!$A$4:$C$18,3,0)</f>
        <v>T-996</v>
      </c>
      <c r="Y128" s="35" t="str">
        <f>+VLOOKUP(Agencia[[#This Row],[contenido]],Estructura!$E$4:$G$18,3,0)</f>
        <v>C-995</v>
      </c>
      <c r="Z128" s="35" t="str">
        <f>+VLOOKUP(Agencia[[#This Row],[Filtro Integrado]],Estructura!$I$4:$K$18,3,0)</f>
        <v>FI-991</v>
      </c>
      <c r="AA128" s="35" t="str">
        <f>+VLOOKUP(Agencia[[#This Row],[Muestra]],Estructura!$M$4:$O$18,3,0)</f>
        <v>M-999</v>
      </c>
    </row>
    <row r="129" spans="1:27" ht="36" x14ac:dyDescent="0.3">
      <c r="A129" s="29" t="s">
        <v>565</v>
      </c>
      <c r="B129" s="39">
        <f t="shared" si="108"/>
        <v>990</v>
      </c>
      <c r="C129" s="40" t="str">
        <f t="shared" si="108"/>
        <v>Agencia Información</v>
      </c>
      <c r="D129" s="40" t="str">
        <f t="shared" si="105"/>
        <v>Salud</v>
      </c>
      <c r="E129" s="27">
        <v>15</v>
      </c>
      <c r="F129" s="15" t="str">
        <f t="shared" si="111"/>
        <v>Casos activos COVID-19</v>
      </c>
      <c r="G129" s="15" t="str">
        <f t="shared" si="112"/>
        <v>COVID-19</v>
      </c>
      <c r="H129" s="61" t="s">
        <v>16</v>
      </c>
      <c r="I129" s="62" t="s">
        <v>384</v>
      </c>
      <c r="J129" s="14" t="str">
        <f t="shared" si="113"/>
        <v>Comuna</v>
      </c>
      <c r="K129" s="14" t="str">
        <f t="shared" si="114"/>
        <v>Casos Activos por 1 millón de habitantes</v>
      </c>
      <c r="L129" s="14" t="str">
        <f t="shared" si="115"/>
        <v>Periodo 2020-2021</v>
      </c>
      <c r="M129" s="14" t="str">
        <f t="shared" si="116"/>
        <v>Número de Casos</v>
      </c>
      <c r="N129" s="14" t="str">
        <f t="shared" si="117"/>
        <v>Ministerio de Ciencia y Tecnología</v>
      </c>
      <c r="O129" s="28" t="str">
        <f>"Evolución de Casos Activos de COVID-19 por 1 millón de habitantes en las comunas de la "&amp;Agencia[[#This Row],[territorio]]&amp;" durante el "&amp;Agencia[[#This Row],[temporalidad]]</f>
        <v>Evolución de Casos Activos de COVID-19 por 1 millón de habitantes en las comunas de la Región de Arica y Parinacota durante el Periodo 2020-2021</v>
      </c>
      <c r="P129" s="28"/>
      <c r="Q129" s="17" t="str">
        <f t="shared" si="106"/>
        <v>Ranking</v>
      </c>
      <c r="R129" s="28" t="str">
        <f>Agencia[[#This Row],[territorio]]&amp;",COVID-19,región,comuna,casos activos,fallecidos,recuperados"</f>
        <v>Región de Arica y Parinacota,COVID-19,región,comuna,casos activos,fallecidos,recuperados</v>
      </c>
      <c r="S129" s="30" t="s">
        <v>432</v>
      </c>
      <c r="T129" s="31"/>
      <c r="U129" s="36" t="str">
        <f t="shared" si="107"/>
        <v>#1774B9</v>
      </c>
      <c r="V129" s="37" t="str">
        <f>+Agencia[[#This Row],[idcoleccion]]&amp;"-"&amp;Agencia[[#This Row],[id]]</f>
        <v>990-0119</v>
      </c>
      <c r="W129" s="38">
        <f>+VLOOKUP(Agencia[[#This Row],[Filtro URL]],Estructura!$X$4:$Y$366,2,0)</f>
        <v>99200015</v>
      </c>
      <c r="X129" s="35" t="str">
        <f>+VLOOKUP(Agencia[[#This Row],[tema]],Estructura!$A$4:$C$18,3,0)</f>
        <v>T-996</v>
      </c>
      <c r="Y129" s="35" t="str">
        <f>+VLOOKUP(Agencia[[#This Row],[contenido]],Estructura!$E$4:$G$18,3,0)</f>
        <v>C-995</v>
      </c>
      <c r="Z129" s="35" t="str">
        <f>+VLOOKUP(Agencia[[#This Row],[Filtro Integrado]],Estructura!$I$4:$K$18,3,0)</f>
        <v>FI-991</v>
      </c>
      <c r="AA129" s="35" t="str">
        <f>+VLOOKUP(Agencia[[#This Row],[Muestra]],Estructura!$M$4:$O$18,3,0)</f>
        <v>M-999</v>
      </c>
    </row>
    <row r="130" spans="1:27" ht="36" x14ac:dyDescent="0.3">
      <c r="A130" s="29" t="s">
        <v>566</v>
      </c>
      <c r="B130" s="39">
        <f t="shared" si="108"/>
        <v>990</v>
      </c>
      <c r="C130" s="40" t="str">
        <f t="shared" si="108"/>
        <v>Agencia Información</v>
      </c>
      <c r="D130" s="40" t="str">
        <f t="shared" si="105"/>
        <v>Salud</v>
      </c>
      <c r="E130" s="27">
        <v>16</v>
      </c>
      <c r="F130" s="15" t="str">
        <f t="shared" si="111"/>
        <v>Casos activos COVID-19</v>
      </c>
      <c r="G130" s="15" t="str">
        <f t="shared" si="112"/>
        <v>COVID-19</v>
      </c>
      <c r="H130" s="61" t="s">
        <v>16</v>
      </c>
      <c r="I130" s="62" t="s">
        <v>385</v>
      </c>
      <c r="J130" s="14" t="str">
        <f t="shared" si="113"/>
        <v>Comuna</v>
      </c>
      <c r="K130" s="14" t="str">
        <f t="shared" si="114"/>
        <v>Casos Activos por 1 millón de habitantes</v>
      </c>
      <c r="L130" s="14" t="str">
        <f t="shared" si="115"/>
        <v>Periodo 2020-2021</v>
      </c>
      <c r="M130" s="14" t="str">
        <f t="shared" si="116"/>
        <v>Número de Casos</v>
      </c>
      <c r="N130" s="14" t="str">
        <f t="shared" si="117"/>
        <v>Ministerio de Ciencia y Tecnología</v>
      </c>
      <c r="O130" s="28" t="str">
        <f>"Evolución de Casos Activos de COVID-19 por 1 millón de habitantes en las comunas de la "&amp;Agencia[[#This Row],[territorio]]&amp;" durante el "&amp;Agencia[[#This Row],[temporalidad]]</f>
        <v>Evolución de Casos Activos de COVID-19 por 1 millón de habitantes en las comunas de la Región de Ñuble durante el Periodo 2020-2021</v>
      </c>
      <c r="P130" s="28"/>
      <c r="Q130" s="17" t="str">
        <f t="shared" si="106"/>
        <v>Ranking</v>
      </c>
      <c r="R130" s="28" t="str">
        <f>Agencia[[#This Row],[territorio]]&amp;",COVID-19,región,comuna,casos activos,fallecidos,recuperados"</f>
        <v>Región de Ñuble,COVID-19,región,comuna,casos activos,fallecidos,recuperados</v>
      </c>
      <c r="S130" s="30" t="s">
        <v>432</v>
      </c>
      <c r="T130" s="31"/>
      <c r="U130" s="36" t="str">
        <f t="shared" si="107"/>
        <v>#1774B9</v>
      </c>
      <c r="V130" s="37" t="str">
        <f>+Agencia[[#This Row],[idcoleccion]]&amp;"-"&amp;Agencia[[#This Row],[id]]</f>
        <v>990-0120</v>
      </c>
      <c r="W130" s="38">
        <f>+VLOOKUP(Agencia[[#This Row],[Filtro URL]],Estructura!$X$4:$Y$366,2,0)</f>
        <v>99200016</v>
      </c>
      <c r="X130" s="35" t="str">
        <f>+VLOOKUP(Agencia[[#This Row],[tema]],Estructura!$A$4:$C$18,3,0)</f>
        <v>T-996</v>
      </c>
      <c r="Y130" s="35" t="str">
        <f>+VLOOKUP(Agencia[[#This Row],[contenido]],Estructura!$E$4:$G$18,3,0)</f>
        <v>C-995</v>
      </c>
      <c r="Z130" s="35" t="str">
        <f>+VLOOKUP(Agencia[[#This Row],[Filtro Integrado]],Estructura!$I$4:$K$18,3,0)</f>
        <v>FI-991</v>
      </c>
      <c r="AA130" s="35" t="str">
        <f>+VLOOKUP(Agencia[[#This Row],[Muestra]],Estructura!$M$4:$O$18,3,0)</f>
        <v>M-999</v>
      </c>
    </row>
    <row r="131" spans="1:27" ht="57.6" x14ac:dyDescent="0.3">
      <c r="A131" s="26" t="s">
        <v>567</v>
      </c>
      <c r="B131" s="39">
        <f t="shared" ref="B131:C146" si="118">+B130</f>
        <v>990</v>
      </c>
      <c r="C131" s="40" t="str">
        <f t="shared" si="118"/>
        <v>Agencia Información</v>
      </c>
      <c r="D131" s="40" t="s">
        <v>635</v>
      </c>
      <c r="E131" s="21">
        <v>0</v>
      </c>
      <c r="F131" s="15" t="s">
        <v>636</v>
      </c>
      <c r="G131" s="15" t="s">
        <v>637</v>
      </c>
      <c r="H131" s="59" t="s">
        <v>20</v>
      </c>
      <c r="I131" s="60" t="s">
        <v>15</v>
      </c>
      <c r="J131" s="14" t="s">
        <v>16</v>
      </c>
      <c r="K131" s="14" t="s">
        <v>658</v>
      </c>
      <c r="L131" s="14" t="s">
        <v>638</v>
      </c>
      <c r="M131" s="14" t="s">
        <v>639</v>
      </c>
      <c r="N131" s="14" t="s">
        <v>640</v>
      </c>
      <c r="O131" s="28" t="str">
        <f>"Volumen de Exportaciones Frutícolas en "&amp;Agencia[[#This Row],[territorio]]&amp;", "&amp;Agencia[[#This Row],[temporalidad]]</f>
        <v>Volumen de Exportaciones Frutícolas en Chile, Periodo 2012-2020</v>
      </c>
      <c r="P131" s="28" t="s">
        <v>641</v>
      </c>
      <c r="Q131" s="17" t="s">
        <v>642</v>
      </c>
      <c r="R131" s="28" t="str">
        <f>Agencia[[#This Row],[territorio]]&amp;",fruta,toneladas,manzanas,uva,exportaciones "</f>
        <v xml:space="preserve">Chile,fruta,toneladas,manzanas,uva,exportaciones </v>
      </c>
      <c r="S131" s="58" t="s">
        <v>643</v>
      </c>
      <c r="T131" s="31"/>
      <c r="U131" s="36" t="str">
        <f t="shared" si="107"/>
        <v>#1774B9</v>
      </c>
      <c r="V131" s="37" t="str">
        <f>+Agencia[[#This Row],[idcoleccion]]&amp;"-"&amp;Agencia[[#This Row],[id]]</f>
        <v>990-0121</v>
      </c>
      <c r="W131" s="38">
        <f>+VLOOKUP(Agencia[[#This Row],[Filtro URL]],Estructura!$X$4:$Y$366,2,0)</f>
        <v>99100000</v>
      </c>
      <c r="X131" s="35" t="str">
        <f>+VLOOKUP(Agencia[[#This Row],[tema]],Estructura!$A$4:$C$18,3,0)</f>
        <v>T-997</v>
      </c>
      <c r="Y131" s="35" t="str">
        <f>+VLOOKUP(Agencia[[#This Row],[contenido]],Estructura!$E$4:$G$18,3,0)</f>
        <v>C-996</v>
      </c>
      <c r="Z131" s="35" t="str">
        <f>+VLOOKUP(Agencia[[#This Row],[Filtro Integrado]],Estructura!$I$4:$K$18,3,0)</f>
        <v>FI-992</v>
      </c>
      <c r="AA131" s="35" t="str">
        <f>+VLOOKUP(Agencia[[#This Row],[Muestra]],Estructura!$M$4:$O$18,3,0)</f>
        <v>M-1000</v>
      </c>
    </row>
    <row r="132" spans="1:27" ht="36" x14ac:dyDescent="0.3">
      <c r="A132" s="29" t="s">
        <v>568</v>
      </c>
      <c r="B132" s="39">
        <f t="shared" si="118"/>
        <v>990</v>
      </c>
      <c r="C132" s="40" t="str">
        <f t="shared" si="118"/>
        <v>Agencia Información</v>
      </c>
      <c r="D132" s="40" t="str">
        <f t="shared" si="105"/>
        <v>Agropecuario y Forestal</v>
      </c>
      <c r="E132" s="27">
        <v>1</v>
      </c>
      <c r="F132" s="15" t="str">
        <f t="shared" si="111"/>
        <v>Fruta exportada</v>
      </c>
      <c r="G132" s="15" t="str">
        <f t="shared" si="112"/>
        <v>Exportaciones</v>
      </c>
      <c r="H132" s="61" t="s">
        <v>16</v>
      </c>
      <c r="I132" s="62" t="s">
        <v>370</v>
      </c>
      <c r="J132" s="14" t="s">
        <v>411</v>
      </c>
      <c r="K132" s="14" t="str">
        <f t="shared" si="114"/>
        <v>Volumen fruta exportada</v>
      </c>
      <c r="L132" s="14" t="str">
        <f t="shared" si="115"/>
        <v>Periodo 2012-2020</v>
      </c>
      <c r="M132" s="14" t="str">
        <f t="shared" si="116"/>
        <v>Toneladas</v>
      </c>
      <c r="N132" s="14" t="str">
        <f t="shared" si="117"/>
        <v>Servicio Nacional de Aduanas</v>
      </c>
      <c r="O132" s="28" t="str">
        <f>"Volumen de Exportaciones Frutícolas en la "&amp;Agencia[[#This Row],[territorio]]&amp;", "&amp;Agencia[[#This Row],[temporalidad]]</f>
        <v>Volumen de Exportaciones Frutícolas en la Región de Tarapacá, Periodo 2012-2020</v>
      </c>
      <c r="P132" s="28"/>
      <c r="Q132" s="17" t="str">
        <f t="shared" si="106"/>
        <v>Gráfico</v>
      </c>
      <c r="R132" s="28" t="str">
        <f>Agencia[[#This Row],[territorio]]&amp;",fruta,toneladas,manzanas,uva,exportaciones "</f>
        <v xml:space="preserve">Región de Tarapacá,fruta,toneladas,manzanas,uva,exportaciones </v>
      </c>
      <c r="S132" s="30" t="s">
        <v>432</v>
      </c>
      <c r="T132" s="31"/>
      <c r="U132" s="36" t="str">
        <f t="shared" si="107"/>
        <v>#1774B9</v>
      </c>
      <c r="V132" s="37" t="str">
        <f>+Agencia[[#This Row],[idcoleccion]]&amp;"-"&amp;Agencia[[#This Row],[id]]</f>
        <v>990-0122</v>
      </c>
      <c r="W132" s="38">
        <f>+VLOOKUP(Agencia[[#This Row],[Filtro URL]],Estructura!$X$4:$Y$366,2,0)</f>
        <v>99200001</v>
      </c>
      <c r="X132" s="35" t="str">
        <f>+VLOOKUP(Agencia[[#This Row],[tema]],Estructura!$A$4:$C$18,3,0)</f>
        <v>T-997</v>
      </c>
      <c r="Y132" s="35" t="str">
        <f>+VLOOKUP(Agencia[[#This Row],[contenido]],Estructura!$E$4:$G$18,3,0)</f>
        <v>C-996</v>
      </c>
      <c r="Z132" s="35" t="str">
        <f>+VLOOKUP(Agencia[[#This Row],[Filtro Integrado]],Estructura!$I$4:$K$18,3,0)</f>
        <v>FI-993</v>
      </c>
      <c r="AA132" s="35" t="str">
        <f>+VLOOKUP(Agencia[[#This Row],[Muestra]],Estructura!$M$4:$O$18,3,0)</f>
        <v>M-1000</v>
      </c>
    </row>
    <row r="133" spans="1:27" ht="36" x14ac:dyDescent="0.3">
      <c r="A133" s="29" t="s">
        <v>569</v>
      </c>
      <c r="B133" s="39">
        <f t="shared" si="118"/>
        <v>990</v>
      </c>
      <c r="C133" s="40" t="str">
        <f t="shared" si="118"/>
        <v>Agencia Información</v>
      </c>
      <c r="D133" s="40" t="str">
        <f t="shared" si="105"/>
        <v>Agropecuario y Forestal</v>
      </c>
      <c r="E133" s="27">
        <v>2</v>
      </c>
      <c r="F133" s="15" t="str">
        <f t="shared" si="111"/>
        <v>Fruta exportada</v>
      </c>
      <c r="G133" s="15" t="str">
        <f t="shared" si="112"/>
        <v>Exportaciones</v>
      </c>
      <c r="H133" s="61" t="s">
        <v>16</v>
      </c>
      <c r="I133" s="62" t="s">
        <v>371</v>
      </c>
      <c r="J133" s="14" t="str">
        <f t="shared" si="113"/>
        <v>Ninguno</v>
      </c>
      <c r="K133" s="14" t="str">
        <f t="shared" si="114"/>
        <v>Volumen fruta exportada</v>
      </c>
      <c r="L133" s="14" t="str">
        <f t="shared" si="115"/>
        <v>Periodo 2012-2020</v>
      </c>
      <c r="M133" s="14" t="str">
        <f t="shared" si="116"/>
        <v>Toneladas</v>
      </c>
      <c r="N133" s="14" t="str">
        <f t="shared" si="117"/>
        <v>Servicio Nacional de Aduanas</v>
      </c>
      <c r="O133" s="28" t="str">
        <f>"Volumen de Exportaciones Frutícolas en la "&amp;Agencia[[#This Row],[territorio]]&amp;", "&amp;Agencia[[#This Row],[temporalidad]]</f>
        <v>Volumen de Exportaciones Frutícolas en la Región de Antofagasta, Periodo 2012-2020</v>
      </c>
      <c r="P133" s="28"/>
      <c r="Q133" s="17" t="str">
        <f t="shared" si="106"/>
        <v>Gráfico</v>
      </c>
      <c r="R133" s="28" t="str">
        <f>Agencia[[#This Row],[territorio]]&amp;",fruta,toneladas,manzanas,uva,exportaciones "</f>
        <v xml:space="preserve">Región de Antofagasta,fruta,toneladas,manzanas,uva,exportaciones </v>
      </c>
      <c r="S133" s="30" t="s">
        <v>432</v>
      </c>
      <c r="T133" s="31"/>
      <c r="U133" s="36" t="str">
        <f t="shared" si="107"/>
        <v>#1774B9</v>
      </c>
      <c r="V133" s="37" t="str">
        <f>+Agencia[[#This Row],[idcoleccion]]&amp;"-"&amp;Agencia[[#This Row],[id]]</f>
        <v>990-0123</v>
      </c>
      <c r="W133" s="38">
        <f>+VLOOKUP(Agencia[[#This Row],[Filtro URL]],Estructura!$X$4:$Y$366,2,0)</f>
        <v>99200002</v>
      </c>
      <c r="X133" s="35" t="str">
        <f>+VLOOKUP(Agencia[[#This Row],[tema]],Estructura!$A$4:$C$18,3,0)</f>
        <v>T-997</v>
      </c>
      <c r="Y133" s="35" t="str">
        <f>+VLOOKUP(Agencia[[#This Row],[contenido]],Estructura!$E$4:$G$18,3,0)</f>
        <v>C-996</v>
      </c>
      <c r="Z133" s="35" t="str">
        <f>+VLOOKUP(Agencia[[#This Row],[Filtro Integrado]],Estructura!$I$4:$K$18,3,0)</f>
        <v>FI-993</v>
      </c>
      <c r="AA133" s="35" t="str">
        <f>+VLOOKUP(Agencia[[#This Row],[Muestra]],Estructura!$M$4:$O$18,3,0)</f>
        <v>M-1000</v>
      </c>
    </row>
    <row r="134" spans="1:27" ht="36" x14ac:dyDescent="0.3">
      <c r="A134" s="29" t="s">
        <v>570</v>
      </c>
      <c r="B134" s="39">
        <f t="shared" si="118"/>
        <v>990</v>
      </c>
      <c r="C134" s="40" t="str">
        <f t="shared" si="118"/>
        <v>Agencia Información</v>
      </c>
      <c r="D134" s="40" t="str">
        <f t="shared" si="105"/>
        <v>Agropecuario y Forestal</v>
      </c>
      <c r="E134" s="27">
        <v>3</v>
      </c>
      <c r="F134" s="15" t="str">
        <f t="shared" si="111"/>
        <v>Fruta exportada</v>
      </c>
      <c r="G134" s="15" t="str">
        <f t="shared" si="112"/>
        <v>Exportaciones</v>
      </c>
      <c r="H134" s="61" t="s">
        <v>16</v>
      </c>
      <c r="I134" s="62" t="s">
        <v>372</v>
      </c>
      <c r="J134" s="14" t="str">
        <f t="shared" si="113"/>
        <v>Ninguno</v>
      </c>
      <c r="K134" s="14" t="str">
        <f t="shared" si="114"/>
        <v>Volumen fruta exportada</v>
      </c>
      <c r="L134" s="14" t="str">
        <f t="shared" si="115"/>
        <v>Periodo 2012-2020</v>
      </c>
      <c r="M134" s="14" t="str">
        <f t="shared" si="116"/>
        <v>Toneladas</v>
      </c>
      <c r="N134" s="14" t="str">
        <f t="shared" si="117"/>
        <v>Servicio Nacional de Aduanas</v>
      </c>
      <c r="O134" s="28" t="str">
        <f>"Volumen de Exportaciones Frutícolas en la "&amp;Agencia[[#This Row],[territorio]]&amp;", "&amp;Agencia[[#This Row],[temporalidad]]</f>
        <v>Volumen de Exportaciones Frutícolas en la Región de Atacama, Periodo 2012-2020</v>
      </c>
      <c r="P134" s="28"/>
      <c r="Q134" s="17" t="str">
        <f t="shared" si="106"/>
        <v>Gráfico</v>
      </c>
      <c r="R134" s="28" t="str">
        <f>Agencia[[#This Row],[territorio]]&amp;",fruta,toneladas,manzanas,uva,exportaciones "</f>
        <v xml:space="preserve">Región de Atacama,fruta,toneladas,manzanas,uva,exportaciones </v>
      </c>
      <c r="S134" s="30" t="s">
        <v>432</v>
      </c>
      <c r="T134" s="31"/>
      <c r="U134" s="36" t="str">
        <f t="shared" si="107"/>
        <v>#1774B9</v>
      </c>
      <c r="V134" s="37" t="str">
        <f>+Agencia[[#This Row],[idcoleccion]]&amp;"-"&amp;Agencia[[#This Row],[id]]</f>
        <v>990-0124</v>
      </c>
      <c r="W134" s="38">
        <f>+VLOOKUP(Agencia[[#This Row],[Filtro URL]],Estructura!$X$4:$Y$366,2,0)</f>
        <v>99200003</v>
      </c>
      <c r="X134" s="35" t="str">
        <f>+VLOOKUP(Agencia[[#This Row],[tema]],Estructura!$A$4:$C$18,3,0)</f>
        <v>T-997</v>
      </c>
      <c r="Y134" s="35" t="str">
        <f>+VLOOKUP(Agencia[[#This Row],[contenido]],Estructura!$E$4:$G$18,3,0)</f>
        <v>C-996</v>
      </c>
      <c r="Z134" s="35" t="str">
        <f>+VLOOKUP(Agencia[[#This Row],[Filtro Integrado]],Estructura!$I$4:$K$18,3,0)</f>
        <v>FI-993</v>
      </c>
      <c r="AA134" s="35" t="str">
        <f>+VLOOKUP(Agencia[[#This Row],[Muestra]],Estructura!$M$4:$O$18,3,0)</f>
        <v>M-1000</v>
      </c>
    </row>
    <row r="135" spans="1:27" ht="36" x14ac:dyDescent="0.3">
      <c r="A135" s="29" t="s">
        <v>571</v>
      </c>
      <c r="B135" s="39">
        <f t="shared" si="118"/>
        <v>990</v>
      </c>
      <c r="C135" s="40" t="str">
        <f t="shared" si="118"/>
        <v>Agencia Información</v>
      </c>
      <c r="D135" s="40" t="str">
        <f t="shared" si="105"/>
        <v>Agropecuario y Forestal</v>
      </c>
      <c r="E135" s="27">
        <v>4</v>
      </c>
      <c r="F135" s="15" t="str">
        <f t="shared" si="111"/>
        <v>Fruta exportada</v>
      </c>
      <c r="G135" s="15" t="str">
        <f t="shared" si="112"/>
        <v>Exportaciones</v>
      </c>
      <c r="H135" s="61" t="s">
        <v>16</v>
      </c>
      <c r="I135" s="62" t="s">
        <v>373</v>
      </c>
      <c r="J135" s="14" t="str">
        <f t="shared" si="113"/>
        <v>Ninguno</v>
      </c>
      <c r="K135" s="14" t="str">
        <f t="shared" si="114"/>
        <v>Volumen fruta exportada</v>
      </c>
      <c r="L135" s="14" t="str">
        <f t="shared" si="115"/>
        <v>Periodo 2012-2020</v>
      </c>
      <c r="M135" s="14" t="str">
        <f t="shared" si="116"/>
        <v>Toneladas</v>
      </c>
      <c r="N135" s="14" t="str">
        <f t="shared" si="117"/>
        <v>Servicio Nacional de Aduanas</v>
      </c>
      <c r="O135" s="28" t="str">
        <f>"Volumen de Exportaciones Frutícolas en la "&amp;Agencia[[#This Row],[territorio]]&amp;", "&amp;Agencia[[#This Row],[temporalidad]]</f>
        <v>Volumen de Exportaciones Frutícolas en la Región de Coquimbo, Periodo 2012-2020</v>
      </c>
      <c r="P135" s="28"/>
      <c r="Q135" s="17" t="str">
        <f t="shared" si="106"/>
        <v>Gráfico</v>
      </c>
      <c r="R135" s="28" t="str">
        <f>Agencia[[#This Row],[territorio]]&amp;",fruta,toneladas,manzanas,uva,exportaciones "</f>
        <v xml:space="preserve">Región de Coquimbo,fruta,toneladas,manzanas,uva,exportaciones </v>
      </c>
      <c r="S135" s="30" t="s">
        <v>432</v>
      </c>
      <c r="T135" s="31"/>
      <c r="U135" s="36" t="str">
        <f t="shared" si="107"/>
        <v>#1774B9</v>
      </c>
      <c r="V135" s="37" t="str">
        <f>+Agencia[[#This Row],[idcoleccion]]&amp;"-"&amp;Agencia[[#This Row],[id]]</f>
        <v>990-0125</v>
      </c>
      <c r="W135" s="38">
        <f>+VLOOKUP(Agencia[[#This Row],[Filtro URL]],Estructura!$X$4:$Y$366,2,0)</f>
        <v>99200004</v>
      </c>
      <c r="X135" s="35" t="str">
        <f>+VLOOKUP(Agencia[[#This Row],[tema]],Estructura!$A$4:$C$18,3,0)</f>
        <v>T-997</v>
      </c>
      <c r="Y135" s="35" t="str">
        <f>+VLOOKUP(Agencia[[#This Row],[contenido]],Estructura!$E$4:$G$18,3,0)</f>
        <v>C-996</v>
      </c>
      <c r="Z135" s="35" t="str">
        <f>+VLOOKUP(Agencia[[#This Row],[Filtro Integrado]],Estructura!$I$4:$K$18,3,0)</f>
        <v>FI-993</v>
      </c>
      <c r="AA135" s="35" t="str">
        <f>+VLOOKUP(Agencia[[#This Row],[Muestra]],Estructura!$M$4:$O$18,3,0)</f>
        <v>M-1000</v>
      </c>
    </row>
    <row r="136" spans="1:27" ht="36" x14ac:dyDescent="0.3">
      <c r="A136" s="29" t="s">
        <v>572</v>
      </c>
      <c r="B136" s="39">
        <f t="shared" si="118"/>
        <v>990</v>
      </c>
      <c r="C136" s="40" t="str">
        <f t="shared" si="118"/>
        <v>Agencia Información</v>
      </c>
      <c r="D136" s="40" t="str">
        <f t="shared" si="105"/>
        <v>Agropecuario y Forestal</v>
      </c>
      <c r="E136" s="27">
        <v>5</v>
      </c>
      <c r="F136" s="15" t="str">
        <f t="shared" si="111"/>
        <v>Fruta exportada</v>
      </c>
      <c r="G136" s="15" t="str">
        <f t="shared" si="112"/>
        <v>Exportaciones</v>
      </c>
      <c r="H136" s="61" t="s">
        <v>16</v>
      </c>
      <c r="I136" s="62" t="s">
        <v>374</v>
      </c>
      <c r="J136" s="14" t="str">
        <f t="shared" si="113"/>
        <v>Ninguno</v>
      </c>
      <c r="K136" s="14" t="str">
        <f t="shared" si="114"/>
        <v>Volumen fruta exportada</v>
      </c>
      <c r="L136" s="14" t="str">
        <f t="shared" si="115"/>
        <v>Periodo 2012-2020</v>
      </c>
      <c r="M136" s="14" t="str">
        <f t="shared" si="116"/>
        <v>Toneladas</v>
      </c>
      <c r="N136" s="14" t="str">
        <f t="shared" si="117"/>
        <v>Servicio Nacional de Aduanas</v>
      </c>
      <c r="O136" s="28" t="str">
        <f>"Volumen de Exportaciones Frutícolas en la "&amp;Agencia[[#This Row],[territorio]]&amp;", "&amp;Agencia[[#This Row],[temporalidad]]</f>
        <v>Volumen de Exportaciones Frutícolas en la Región de Valparaíso, Periodo 2012-2020</v>
      </c>
      <c r="P136" s="28"/>
      <c r="Q136" s="17" t="str">
        <f t="shared" si="106"/>
        <v>Gráfico</v>
      </c>
      <c r="R136" s="28" t="str">
        <f>Agencia[[#This Row],[territorio]]&amp;",fruta,toneladas,manzanas,uva,exportaciones "</f>
        <v xml:space="preserve">Región de Valparaíso,fruta,toneladas,manzanas,uva,exportaciones </v>
      </c>
      <c r="S136" s="30" t="s">
        <v>432</v>
      </c>
      <c r="T136" s="31"/>
      <c r="U136" s="36" t="str">
        <f t="shared" si="107"/>
        <v>#1774B9</v>
      </c>
      <c r="V136" s="37" t="str">
        <f>+Agencia[[#This Row],[idcoleccion]]&amp;"-"&amp;Agencia[[#This Row],[id]]</f>
        <v>990-0126</v>
      </c>
      <c r="W136" s="38">
        <f>+VLOOKUP(Agencia[[#This Row],[Filtro URL]],Estructura!$X$4:$Y$366,2,0)</f>
        <v>99200005</v>
      </c>
      <c r="X136" s="35" t="str">
        <f>+VLOOKUP(Agencia[[#This Row],[tema]],Estructura!$A$4:$C$18,3,0)</f>
        <v>T-997</v>
      </c>
      <c r="Y136" s="35" t="str">
        <f>+VLOOKUP(Agencia[[#This Row],[contenido]],Estructura!$E$4:$G$18,3,0)</f>
        <v>C-996</v>
      </c>
      <c r="Z136" s="35" t="str">
        <f>+VLOOKUP(Agencia[[#This Row],[Filtro Integrado]],Estructura!$I$4:$K$18,3,0)</f>
        <v>FI-993</v>
      </c>
      <c r="AA136" s="35" t="str">
        <f>+VLOOKUP(Agencia[[#This Row],[Muestra]],Estructura!$M$4:$O$18,3,0)</f>
        <v>M-1000</v>
      </c>
    </row>
    <row r="137" spans="1:27" ht="36" x14ac:dyDescent="0.3">
      <c r="A137" s="29" t="s">
        <v>573</v>
      </c>
      <c r="B137" s="39">
        <f t="shared" si="118"/>
        <v>990</v>
      </c>
      <c r="C137" s="40" t="str">
        <f t="shared" si="118"/>
        <v>Agencia Información</v>
      </c>
      <c r="D137" s="40" t="str">
        <f t="shared" si="105"/>
        <v>Agropecuario y Forestal</v>
      </c>
      <c r="E137" s="27">
        <v>6</v>
      </c>
      <c r="F137" s="15" t="str">
        <f t="shared" si="111"/>
        <v>Fruta exportada</v>
      </c>
      <c r="G137" s="15" t="str">
        <f t="shared" si="112"/>
        <v>Exportaciones</v>
      </c>
      <c r="H137" s="61" t="s">
        <v>16</v>
      </c>
      <c r="I137" s="62" t="s">
        <v>375</v>
      </c>
      <c r="J137" s="14" t="str">
        <f t="shared" si="113"/>
        <v>Ninguno</v>
      </c>
      <c r="K137" s="14" t="str">
        <f t="shared" si="114"/>
        <v>Volumen fruta exportada</v>
      </c>
      <c r="L137" s="14" t="str">
        <f t="shared" si="115"/>
        <v>Periodo 2012-2020</v>
      </c>
      <c r="M137" s="14" t="str">
        <f t="shared" si="116"/>
        <v>Toneladas</v>
      </c>
      <c r="N137" s="14" t="str">
        <f t="shared" si="117"/>
        <v>Servicio Nacional de Aduanas</v>
      </c>
      <c r="O137" s="28" t="str">
        <f>"Volumen de Exportaciones Frutícolas en la "&amp;Agencia[[#This Row],[territorio]]&amp;", "&amp;Agencia[[#This Row],[temporalidad]]</f>
        <v>Volumen de Exportaciones Frutícolas en la Región de O'Higgins, Periodo 2012-2020</v>
      </c>
      <c r="P137" s="28"/>
      <c r="Q137" s="17" t="str">
        <f t="shared" si="106"/>
        <v>Gráfico</v>
      </c>
      <c r="R137" s="28" t="str">
        <f>Agencia[[#This Row],[territorio]]&amp;",fruta,toneladas,manzanas,uva,exportaciones "</f>
        <v xml:space="preserve">Región de O'Higgins,fruta,toneladas,manzanas,uva,exportaciones </v>
      </c>
      <c r="S137" s="30" t="s">
        <v>432</v>
      </c>
      <c r="T137" s="31"/>
      <c r="U137" s="36" t="str">
        <f t="shared" si="107"/>
        <v>#1774B9</v>
      </c>
      <c r="V137" s="37" t="str">
        <f>+Agencia[[#This Row],[idcoleccion]]&amp;"-"&amp;Agencia[[#This Row],[id]]</f>
        <v>990-0127</v>
      </c>
      <c r="W137" s="38">
        <f>+VLOOKUP(Agencia[[#This Row],[Filtro URL]],Estructura!$X$4:$Y$366,2,0)</f>
        <v>99200006</v>
      </c>
      <c r="X137" s="35" t="str">
        <f>+VLOOKUP(Agencia[[#This Row],[tema]],Estructura!$A$4:$C$18,3,0)</f>
        <v>T-997</v>
      </c>
      <c r="Y137" s="35" t="str">
        <f>+VLOOKUP(Agencia[[#This Row],[contenido]],Estructura!$E$4:$G$18,3,0)</f>
        <v>C-996</v>
      </c>
      <c r="Z137" s="35" t="str">
        <f>+VLOOKUP(Agencia[[#This Row],[Filtro Integrado]],Estructura!$I$4:$K$18,3,0)</f>
        <v>FI-993</v>
      </c>
      <c r="AA137" s="35" t="str">
        <f>+VLOOKUP(Agencia[[#This Row],[Muestra]],Estructura!$M$4:$O$18,3,0)</f>
        <v>M-1000</v>
      </c>
    </row>
    <row r="138" spans="1:27" ht="36" x14ac:dyDescent="0.3">
      <c r="A138" s="29" t="s">
        <v>574</v>
      </c>
      <c r="B138" s="39">
        <f t="shared" si="118"/>
        <v>990</v>
      </c>
      <c r="C138" s="40" t="str">
        <f t="shared" si="118"/>
        <v>Agencia Información</v>
      </c>
      <c r="D138" s="40" t="str">
        <f t="shared" si="105"/>
        <v>Agropecuario y Forestal</v>
      </c>
      <c r="E138" s="27">
        <v>7</v>
      </c>
      <c r="F138" s="15" t="str">
        <f t="shared" si="111"/>
        <v>Fruta exportada</v>
      </c>
      <c r="G138" s="15" t="str">
        <f t="shared" si="112"/>
        <v>Exportaciones</v>
      </c>
      <c r="H138" s="61" t="s">
        <v>16</v>
      </c>
      <c r="I138" s="62" t="s">
        <v>376</v>
      </c>
      <c r="J138" s="14" t="str">
        <f t="shared" si="113"/>
        <v>Ninguno</v>
      </c>
      <c r="K138" s="14" t="str">
        <f t="shared" si="114"/>
        <v>Volumen fruta exportada</v>
      </c>
      <c r="L138" s="14" t="str">
        <f t="shared" si="115"/>
        <v>Periodo 2012-2020</v>
      </c>
      <c r="M138" s="14" t="str">
        <f t="shared" si="116"/>
        <v>Toneladas</v>
      </c>
      <c r="N138" s="14" t="str">
        <f t="shared" si="117"/>
        <v>Servicio Nacional de Aduanas</v>
      </c>
      <c r="O138" s="28" t="str">
        <f>"Volumen de Exportaciones Frutícolas en la "&amp;Agencia[[#This Row],[territorio]]&amp;", "&amp;Agencia[[#This Row],[temporalidad]]</f>
        <v>Volumen de Exportaciones Frutícolas en la Región de Maule, Periodo 2012-2020</v>
      </c>
      <c r="P138" s="28"/>
      <c r="Q138" s="17" t="str">
        <f t="shared" si="106"/>
        <v>Gráfico</v>
      </c>
      <c r="R138" s="28" t="str">
        <f>Agencia[[#This Row],[territorio]]&amp;",fruta,toneladas,manzanas,uva,exportaciones "</f>
        <v xml:space="preserve">Región de Maule,fruta,toneladas,manzanas,uva,exportaciones </v>
      </c>
      <c r="S138" s="30" t="s">
        <v>432</v>
      </c>
      <c r="T138" s="31"/>
      <c r="U138" s="36" t="str">
        <f t="shared" si="107"/>
        <v>#1774B9</v>
      </c>
      <c r="V138" s="37" t="str">
        <f>+Agencia[[#This Row],[idcoleccion]]&amp;"-"&amp;Agencia[[#This Row],[id]]</f>
        <v>990-0128</v>
      </c>
      <c r="W138" s="38">
        <f>+VLOOKUP(Agencia[[#This Row],[Filtro URL]],Estructura!$X$4:$Y$366,2,0)</f>
        <v>99200007</v>
      </c>
      <c r="X138" s="35" t="str">
        <f>+VLOOKUP(Agencia[[#This Row],[tema]],Estructura!$A$4:$C$18,3,0)</f>
        <v>T-997</v>
      </c>
      <c r="Y138" s="35" t="str">
        <f>+VLOOKUP(Agencia[[#This Row],[contenido]],Estructura!$E$4:$G$18,3,0)</f>
        <v>C-996</v>
      </c>
      <c r="Z138" s="35" t="str">
        <f>+VLOOKUP(Agencia[[#This Row],[Filtro Integrado]],Estructura!$I$4:$K$18,3,0)</f>
        <v>FI-993</v>
      </c>
      <c r="AA138" s="35" t="str">
        <f>+VLOOKUP(Agencia[[#This Row],[Muestra]],Estructura!$M$4:$O$18,3,0)</f>
        <v>M-1000</v>
      </c>
    </row>
    <row r="139" spans="1:27" ht="36" x14ac:dyDescent="0.3">
      <c r="A139" s="29" t="s">
        <v>575</v>
      </c>
      <c r="B139" s="39">
        <f t="shared" si="118"/>
        <v>990</v>
      </c>
      <c r="C139" s="40" t="str">
        <f t="shared" si="118"/>
        <v>Agencia Información</v>
      </c>
      <c r="D139" s="40" t="str">
        <f t="shared" si="105"/>
        <v>Agropecuario y Forestal</v>
      </c>
      <c r="E139" s="27">
        <v>8</v>
      </c>
      <c r="F139" s="15" t="str">
        <f t="shared" si="111"/>
        <v>Fruta exportada</v>
      </c>
      <c r="G139" s="15" t="str">
        <f t="shared" si="112"/>
        <v>Exportaciones</v>
      </c>
      <c r="H139" s="61" t="s">
        <v>16</v>
      </c>
      <c r="I139" s="62" t="s">
        <v>377</v>
      </c>
      <c r="J139" s="14" t="str">
        <f t="shared" si="113"/>
        <v>Ninguno</v>
      </c>
      <c r="K139" s="14" t="str">
        <f t="shared" si="114"/>
        <v>Volumen fruta exportada</v>
      </c>
      <c r="L139" s="14" t="str">
        <f t="shared" si="115"/>
        <v>Periodo 2012-2020</v>
      </c>
      <c r="M139" s="14" t="str">
        <f t="shared" si="116"/>
        <v>Toneladas</v>
      </c>
      <c r="N139" s="14" t="str">
        <f t="shared" si="117"/>
        <v>Servicio Nacional de Aduanas</v>
      </c>
      <c r="O139" s="28" t="str">
        <f>"Volumen de Exportaciones Frutícolas en la "&amp;Agencia[[#This Row],[territorio]]&amp;", "&amp;Agencia[[#This Row],[temporalidad]]</f>
        <v>Volumen de Exportaciones Frutícolas en la Región del Biobío, Periodo 2012-2020</v>
      </c>
      <c r="P139" s="28"/>
      <c r="Q139" s="17" t="str">
        <f t="shared" si="106"/>
        <v>Gráfico</v>
      </c>
      <c r="R139" s="28" t="str">
        <f>Agencia[[#This Row],[territorio]]&amp;",fruta,toneladas,manzanas,uva,exportaciones "</f>
        <v xml:space="preserve">Región del Biobío,fruta,toneladas,manzanas,uva,exportaciones </v>
      </c>
      <c r="S139" s="30" t="s">
        <v>432</v>
      </c>
      <c r="T139" s="31"/>
      <c r="U139" s="36" t="str">
        <f t="shared" si="107"/>
        <v>#1774B9</v>
      </c>
      <c r="V139" s="37" t="str">
        <f>+Agencia[[#This Row],[idcoleccion]]&amp;"-"&amp;Agencia[[#This Row],[id]]</f>
        <v>990-0129</v>
      </c>
      <c r="W139" s="38">
        <f>+VLOOKUP(Agencia[[#This Row],[Filtro URL]],Estructura!$X$4:$Y$366,2,0)</f>
        <v>99200008</v>
      </c>
      <c r="X139" s="35" t="str">
        <f>+VLOOKUP(Agencia[[#This Row],[tema]],Estructura!$A$4:$C$18,3,0)</f>
        <v>T-997</v>
      </c>
      <c r="Y139" s="35" t="str">
        <f>+VLOOKUP(Agencia[[#This Row],[contenido]],Estructura!$E$4:$G$18,3,0)</f>
        <v>C-996</v>
      </c>
      <c r="Z139" s="35" t="str">
        <f>+VLOOKUP(Agencia[[#This Row],[Filtro Integrado]],Estructura!$I$4:$K$18,3,0)</f>
        <v>FI-993</v>
      </c>
      <c r="AA139" s="35" t="str">
        <f>+VLOOKUP(Agencia[[#This Row],[Muestra]],Estructura!$M$4:$O$18,3,0)</f>
        <v>M-1000</v>
      </c>
    </row>
    <row r="140" spans="1:27" ht="36" x14ac:dyDescent="0.3">
      <c r="A140" s="29" t="s">
        <v>576</v>
      </c>
      <c r="B140" s="39">
        <f t="shared" si="118"/>
        <v>990</v>
      </c>
      <c r="C140" s="40" t="str">
        <f t="shared" si="118"/>
        <v>Agencia Información</v>
      </c>
      <c r="D140" s="40" t="str">
        <f t="shared" si="105"/>
        <v>Agropecuario y Forestal</v>
      </c>
      <c r="E140" s="27">
        <v>9</v>
      </c>
      <c r="F140" s="15" t="str">
        <f t="shared" si="111"/>
        <v>Fruta exportada</v>
      </c>
      <c r="G140" s="15" t="str">
        <f t="shared" si="112"/>
        <v>Exportaciones</v>
      </c>
      <c r="H140" s="61" t="s">
        <v>16</v>
      </c>
      <c r="I140" s="62" t="s">
        <v>378</v>
      </c>
      <c r="J140" s="14" t="str">
        <f t="shared" si="113"/>
        <v>Ninguno</v>
      </c>
      <c r="K140" s="14" t="str">
        <f t="shared" si="114"/>
        <v>Volumen fruta exportada</v>
      </c>
      <c r="L140" s="14" t="str">
        <f t="shared" si="115"/>
        <v>Periodo 2012-2020</v>
      </c>
      <c r="M140" s="14" t="str">
        <f t="shared" si="116"/>
        <v>Toneladas</v>
      </c>
      <c r="N140" s="14" t="str">
        <f t="shared" si="117"/>
        <v>Servicio Nacional de Aduanas</v>
      </c>
      <c r="O140" s="28" t="str">
        <f>"Volumen de Exportaciones Frutícolas en la "&amp;Agencia[[#This Row],[territorio]]&amp;", "&amp;Agencia[[#This Row],[temporalidad]]</f>
        <v>Volumen de Exportaciones Frutícolas en la Región de La Araucanía, Periodo 2012-2020</v>
      </c>
      <c r="P140" s="28"/>
      <c r="Q140" s="17" t="str">
        <f t="shared" si="106"/>
        <v>Gráfico</v>
      </c>
      <c r="R140" s="28" t="str">
        <f>Agencia[[#This Row],[territorio]]&amp;",fruta,toneladas,manzanas,uva,exportaciones "</f>
        <v xml:space="preserve">Región de La Araucanía,fruta,toneladas,manzanas,uva,exportaciones </v>
      </c>
      <c r="S140" s="30" t="s">
        <v>432</v>
      </c>
      <c r="T140" s="31"/>
      <c r="U140" s="36" t="str">
        <f t="shared" si="107"/>
        <v>#1774B9</v>
      </c>
      <c r="V140" s="37" t="str">
        <f>+Agencia[[#This Row],[idcoleccion]]&amp;"-"&amp;Agencia[[#This Row],[id]]</f>
        <v>990-0130</v>
      </c>
      <c r="W140" s="38">
        <f>+VLOOKUP(Agencia[[#This Row],[Filtro URL]],Estructura!$X$4:$Y$366,2,0)</f>
        <v>99200009</v>
      </c>
      <c r="X140" s="35" t="str">
        <f>+VLOOKUP(Agencia[[#This Row],[tema]],Estructura!$A$4:$C$18,3,0)</f>
        <v>T-997</v>
      </c>
      <c r="Y140" s="35" t="str">
        <f>+VLOOKUP(Agencia[[#This Row],[contenido]],Estructura!$E$4:$G$18,3,0)</f>
        <v>C-996</v>
      </c>
      <c r="Z140" s="35" t="str">
        <f>+VLOOKUP(Agencia[[#This Row],[Filtro Integrado]],Estructura!$I$4:$K$18,3,0)</f>
        <v>FI-993</v>
      </c>
      <c r="AA140" s="35" t="str">
        <f>+VLOOKUP(Agencia[[#This Row],[Muestra]],Estructura!$M$4:$O$18,3,0)</f>
        <v>M-1000</v>
      </c>
    </row>
    <row r="141" spans="1:27" ht="36" x14ac:dyDescent="0.3">
      <c r="A141" s="29" t="s">
        <v>577</v>
      </c>
      <c r="B141" s="39">
        <f t="shared" si="118"/>
        <v>990</v>
      </c>
      <c r="C141" s="40" t="str">
        <f t="shared" si="118"/>
        <v>Agencia Información</v>
      </c>
      <c r="D141" s="40" t="str">
        <f t="shared" si="105"/>
        <v>Agropecuario y Forestal</v>
      </c>
      <c r="E141" s="27">
        <v>10</v>
      </c>
      <c r="F141" s="15" t="str">
        <f t="shared" si="111"/>
        <v>Fruta exportada</v>
      </c>
      <c r="G141" s="15" t="str">
        <f t="shared" si="112"/>
        <v>Exportaciones</v>
      </c>
      <c r="H141" s="61" t="s">
        <v>16</v>
      </c>
      <c r="I141" s="62" t="s">
        <v>379</v>
      </c>
      <c r="J141" s="14" t="str">
        <f t="shared" si="113"/>
        <v>Ninguno</v>
      </c>
      <c r="K141" s="14" t="str">
        <f t="shared" si="114"/>
        <v>Volumen fruta exportada</v>
      </c>
      <c r="L141" s="14" t="str">
        <f t="shared" si="115"/>
        <v>Periodo 2012-2020</v>
      </c>
      <c r="M141" s="14" t="str">
        <f t="shared" si="116"/>
        <v>Toneladas</v>
      </c>
      <c r="N141" s="14" t="str">
        <f t="shared" si="117"/>
        <v>Servicio Nacional de Aduanas</v>
      </c>
      <c r="O141" s="28" t="str">
        <f>"Volumen de Exportaciones Frutícolas en la "&amp;Agencia[[#This Row],[territorio]]&amp;", "&amp;Agencia[[#This Row],[temporalidad]]</f>
        <v>Volumen de Exportaciones Frutícolas en la Región de Los Lagos, Periodo 2012-2020</v>
      </c>
      <c r="P141" s="28"/>
      <c r="Q141" s="17" t="str">
        <f t="shared" si="106"/>
        <v>Gráfico</v>
      </c>
      <c r="R141" s="28" t="str">
        <f>Agencia[[#This Row],[territorio]]&amp;",fruta,toneladas,manzanas,uva,exportaciones "</f>
        <v xml:space="preserve">Región de Los Lagos,fruta,toneladas,manzanas,uva,exportaciones </v>
      </c>
      <c r="S141" s="30" t="s">
        <v>432</v>
      </c>
      <c r="T141" s="31"/>
      <c r="U141" s="36" t="str">
        <f t="shared" si="107"/>
        <v>#1774B9</v>
      </c>
      <c r="V141" s="37" t="str">
        <f>+Agencia[[#This Row],[idcoleccion]]&amp;"-"&amp;Agencia[[#This Row],[id]]</f>
        <v>990-0131</v>
      </c>
      <c r="W141" s="38">
        <f>+VLOOKUP(Agencia[[#This Row],[Filtro URL]],Estructura!$X$4:$Y$366,2,0)</f>
        <v>99200010</v>
      </c>
      <c r="X141" s="35" t="str">
        <f>+VLOOKUP(Agencia[[#This Row],[tema]],Estructura!$A$4:$C$18,3,0)</f>
        <v>T-997</v>
      </c>
      <c r="Y141" s="35" t="str">
        <f>+VLOOKUP(Agencia[[#This Row],[contenido]],Estructura!$E$4:$G$18,3,0)</f>
        <v>C-996</v>
      </c>
      <c r="Z141" s="35" t="str">
        <f>+VLOOKUP(Agencia[[#This Row],[Filtro Integrado]],Estructura!$I$4:$K$18,3,0)</f>
        <v>FI-993</v>
      </c>
      <c r="AA141" s="35" t="str">
        <f>+VLOOKUP(Agencia[[#This Row],[Muestra]],Estructura!$M$4:$O$18,3,0)</f>
        <v>M-1000</v>
      </c>
    </row>
    <row r="142" spans="1:27" ht="36" x14ac:dyDescent="0.3">
      <c r="A142" s="29" t="s">
        <v>578</v>
      </c>
      <c r="B142" s="39">
        <f t="shared" si="118"/>
        <v>990</v>
      </c>
      <c r="C142" s="40" t="str">
        <f t="shared" si="118"/>
        <v>Agencia Información</v>
      </c>
      <c r="D142" s="40" t="str">
        <f t="shared" si="105"/>
        <v>Agropecuario y Forestal</v>
      </c>
      <c r="E142" s="27">
        <v>11</v>
      </c>
      <c r="F142" s="15" t="str">
        <f t="shared" si="111"/>
        <v>Fruta exportada</v>
      </c>
      <c r="G142" s="15" t="str">
        <f t="shared" si="112"/>
        <v>Exportaciones</v>
      </c>
      <c r="H142" s="61" t="s">
        <v>16</v>
      </c>
      <c r="I142" s="62" t="s">
        <v>380</v>
      </c>
      <c r="J142" s="14" t="str">
        <f t="shared" si="113"/>
        <v>Ninguno</v>
      </c>
      <c r="K142" s="14" t="str">
        <f t="shared" si="114"/>
        <v>Volumen fruta exportada</v>
      </c>
      <c r="L142" s="14" t="str">
        <f t="shared" si="115"/>
        <v>Periodo 2012-2020</v>
      </c>
      <c r="M142" s="14" t="str">
        <f t="shared" si="116"/>
        <v>Toneladas</v>
      </c>
      <c r="N142" s="14" t="str">
        <f t="shared" si="117"/>
        <v>Servicio Nacional de Aduanas</v>
      </c>
      <c r="O142" s="28" t="str">
        <f>"Volumen de Exportaciones Frutícolas en la "&amp;Agencia[[#This Row],[territorio]]&amp;", "&amp;Agencia[[#This Row],[temporalidad]]</f>
        <v>Volumen de Exportaciones Frutícolas en la Región de Aysén, Periodo 2012-2020</v>
      </c>
      <c r="P142" s="28"/>
      <c r="Q142" s="17" t="str">
        <f t="shared" si="106"/>
        <v>Gráfico</v>
      </c>
      <c r="R142" s="28" t="str">
        <f>Agencia[[#This Row],[territorio]]&amp;",fruta,toneladas,manzanas,uva,exportaciones "</f>
        <v xml:space="preserve">Región de Aysén,fruta,toneladas,manzanas,uva,exportaciones </v>
      </c>
      <c r="S142" s="30" t="s">
        <v>432</v>
      </c>
      <c r="T142" s="31"/>
      <c r="U142" s="36" t="str">
        <f t="shared" si="107"/>
        <v>#1774B9</v>
      </c>
      <c r="V142" s="37" t="str">
        <f>+Agencia[[#This Row],[idcoleccion]]&amp;"-"&amp;Agencia[[#This Row],[id]]</f>
        <v>990-0132</v>
      </c>
      <c r="W142" s="38">
        <f>+VLOOKUP(Agencia[[#This Row],[Filtro URL]],Estructura!$X$4:$Y$366,2,0)</f>
        <v>99200011</v>
      </c>
      <c r="X142" s="35" t="str">
        <f>+VLOOKUP(Agencia[[#This Row],[tema]],Estructura!$A$4:$C$18,3,0)</f>
        <v>T-997</v>
      </c>
      <c r="Y142" s="35" t="str">
        <f>+VLOOKUP(Agencia[[#This Row],[contenido]],Estructura!$E$4:$G$18,3,0)</f>
        <v>C-996</v>
      </c>
      <c r="Z142" s="35" t="str">
        <f>+VLOOKUP(Agencia[[#This Row],[Filtro Integrado]],Estructura!$I$4:$K$18,3,0)</f>
        <v>FI-993</v>
      </c>
      <c r="AA142" s="35" t="str">
        <f>+VLOOKUP(Agencia[[#This Row],[Muestra]],Estructura!$M$4:$O$18,3,0)</f>
        <v>M-1000</v>
      </c>
    </row>
    <row r="143" spans="1:27" ht="36" x14ac:dyDescent="0.3">
      <c r="A143" s="29" t="s">
        <v>579</v>
      </c>
      <c r="B143" s="39">
        <f t="shared" si="118"/>
        <v>990</v>
      </c>
      <c r="C143" s="40" t="str">
        <f t="shared" si="118"/>
        <v>Agencia Información</v>
      </c>
      <c r="D143" s="40" t="str">
        <f t="shared" si="105"/>
        <v>Agropecuario y Forestal</v>
      </c>
      <c r="E143" s="27">
        <v>12</v>
      </c>
      <c r="F143" s="15" t="str">
        <f t="shared" si="111"/>
        <v>Fruta exportada</v>
      </c>
      <c r="G143" s="15" t="str">
        <f t="shared" si="112"/>
        <v>Exportaciones</v>
      </c>
      <c r="H143" s="61" t="s">
        <v>16</v>
      </c>
      <c r="I143" s="62" t="s">
        <v>381</v>
      </c>
      <c r="J143" s="14" t="str">
        <f t="shared" si="113"/>
        <v>Ninguno</v>
      </c>
      <c r="K143" s="14" t="str">
        <f t="shared" si="114"/>
        <v>Volumen fruta exportada</v>
      </c>
      <c r="L143" s="14" t="str">
        <f t="shared" si="115"/>
        <v>Periodo 2012-2020</v>
      </c>
      <c r="M143" s="14" t="str">
        <f t="shared" si="116"/>
        <v>Toneladas</v>
      </c>
      <c r="N143" s="14" t="str">
        <f t="shared" si="117"/>
        <v>Servicio Nacional de Aduanas</v>
      </c>
      <c r="O143" s="28" t="str">
        <f>"Volumen de Exportaciones Frutícolas en la "&amp;Agencia[[#This Row],[territorio]]&amp;", "&amp;Agencia[[#This Row],[temporalidad]]</f>
        <v>Volumen de Exportaciones Frutícolas en la Región de Magallanes, Periodo 2012-2020</v>
      </c>
      <c r="P143" s="28"/>
      <c r="Q143" s="17" t="str">
        <f t="shared" si="106"/>
        <v>Gráfico</v>
      </c>
      <c r="R143" s="28" t="str">
        <f>Agencia[[#This Row],[territorio]]&amp;",fruta,toneladas,manzanas,uva,exportaciones "</f>
        <v xml:space="preserve">Región de Magallanes,fruta,toneladas,manzanas,uva,exportaciones </v>
      </c>
      <c r="S143" s="30" t="s">
        <v>432</v>
      </c>
      <c r="T143" s="31"/>
      <c r="U143" s="36" t="str">
        <f t="shared" si="107"/>
        <v>#1774B9</v>
      </c>
      <c r="V143" s="37" t="str">
        <f>+Agencia[[#This Row],[idcoleccion]]&amp;"-"&amp;Agencia[[#This Row],[id]]</f>
        <v>990-0133</v>
      </c>
      <c r="W143" s="38">
        <f>+VLOOKUP(Agencia[[#This Row],[Filtro URL]],Estructura!$X$4:$Y$366,2,0)</f>
        <v>99200012</v>
      </c>
      <c r="X143" s="35" t="str">
        <f>+VLOOKUP(Agencia[[#This Row],[tema]],Estructura!$A$4:$C$18,3,0)</f>
        <v>T-997</v>
      </c>
      <c r="Y143" s="35" t="str">
        <f>+VLOOKUP(Agencia[[#This Row],[contenido]],Estructura!$E$4:$G$18,3,0)</f>
        <v>C-996</v>
      </c>
      <c r="Z143" s="35" t="str">
        <f>+VLOOKUP(Agencia[[#This Row],[Filtro Integrado]],Estructura!$I$4:$K$18,3,0)</f>
        <v>FI-993</v>
      </c>
      <c r="AA143" s="35" t="str">
        <f>+VLOOKUP(Agencia[[#This Row],[Muestra]],Estructura!$M$4:$O$18,3,0)</f>
        <v>M-1000</v>
      </c>
    </row>
    <row r="144" spans="1:27" ht="36" x14ac:dyDescent="0.3">
      <c r="A144" s="29" t="s">
        <v>580</v>
      </c>
      <c r="B144" s="39">
        <f t="shared" si="118"/>
        <v>990</v>
      </c>
      <c r="C144" s="40" t="str">
        <f t="shared" si="118"/>
        <v>Agencia Información</v>
      </c>
      <c r="D144" s="40" t="str">
        <f t="shared" si="105"/>
        <v>Agropecuario y Forestal</v>
      </c>
      <c r="E144" s="27">
        <v>13</v>
      </c>
      <c r="F144" s="15" t="str">
        <f t="shared" si="111"/>
        <v>Fruta exportada</v>
      </c>
      <c r="G144" s="15" t="str">
        <f t="shared" si="112"/>
        <v>Exportaciones</v>
      </c>
      <c r="H144" s="61" t="s">
        <v>16</v>
      </c>
      <c r="I144" s="62" t="s">
        <v>382</v>
      </c>
      <c r="J144" s="14" t="str">
        <f t="shared" si="113"/>
        <v>Ninguno</v>
      </c>
      <c r="K144" s="14" t="str">
        <f t="shared" si="114"/>
        <v>Volumen fruta exportada</v>
      </c>
      <c r="L144" s="14" t="str">
        <f t="shared" si="115"/>
        <v>Periodo 2012-2020</v>
      </c>
      <c r="M144" s="14" t="str">
        <f t="shared" si="116"/>
        <v>Toneladas</v>
      </c>
      <c r="N144" s="14" t="str">
        <f t="shared" si="117"/>
        <v>Servicio Nacional de Aduanas</v>
      </c>
      <c r="O144" s="28" t="str">
        <f>"Volumen de Exportaciones Frutícolas en la "&amp;Agencia[[#This Row],[territorio]]&amp;", "&amp;Agencia[[#This Row],[temporalidad]]</f>
        <v>Volumen de Exportaciones Frutícolas en la Región Metropolitana, Periodo 2012-2020</v>
      </c>
      <c r="P144" s="28"/>
      <c r="Q144" s="17" t="str">
        <f t="shared" si="106"/>
        <v>Gráfico</v>
      </c>
      <c r="R144" s="28" t="str">
        <f>Agencia[[#This Row],[territorio]]&amp;",fruta,toneladas,manzanas,uva,exportaciones "</f>
        <v xml:space="preserve">Región Metropolitana,fruta,toneladas,manzanas,uva,exportaciones </v>
      </c>
      <c r="S144" s="30" t="s">
        <v>432</v>
      </c>
      <c r="T144" s="31"/>
      <c r="U144" s="36" t="str">
        <f t="shared" si="107"/>
        <v>#1774B9</v>
      </c>
      <c r="V144" s="37" t="str">
        <f>+Agencia[[#This Row],[idcoleccion]]&amp;"-"&amp;Agencia[[#This Row],[id]]</f>
        <v>990-0134</v>
      </c>
      <c r="W144" s="38">
        <f>+VLOOKUP(Agencia[[#This Row],[Filtro URL]],Estructura!$X$4:$Y$366,2,0)</f>
        <v>99200013</v>
      </c>
      <c r="X144" s="35" t="str">
        <f>+VLOOKUP(Agencia[[#This Row],[tema]],Estructura!$A$4:$C$18,3,0)</f>
        <v>T-997</v>
      </c>
      <c r="Y144" s="35" t="str">
        <f>+VLOOKUP(Agencia[[#This Row],[contenido]],Estructura!$E$4:$G$18,3,0)</f>
        <v>C-996</v>
      </c>
      <c r="Z144" s="35" t="str">
        <f>+VLOOKUP(Agencia[[#This Row],[Filtro Integrado]],Estructura!$I$4:$K$18,3,0)</f>
        <v>FI-993</v>
      </c>
      <c r="AA144" s="35" t="str">
        <f>+VLOOKUP(Agencia[[#This Row],[Muestra]],Estructura!$M$4:$O$18,3,0)</f>
        <v>M-1000</v>
      </c>
    </row>
    <row r="145" spans="1:27" ht="36" x14ac:dyDescent="0.3">
      <c r="A145" s="29" t="s">
        <v>581</v>
      </c>
      <c r="B145" s="39">
        <f t="shared" si="118"/>
        <v>990</v>
      </c>
      <c r="C145" s="40" t="str">
        <f t="shared" si="118"/>
        <v>Agencia Información</v>
      </c>
      <c r="D145" s="40" t="str">
        <f t="shared" si="105"/>
        <v>Agropecuario y Forestal</v>
      </c>
      <c r="E145" s="27">
        <v>14</v>
      </c>
      <c r="F145" s="15" t="str">
        <f t="shared" si="111"/>
        <v>Fruta exportada</v>
      </c>
      <c r="G145" s="15" t="str">
        <f t="shared" si="112"/>
        <v>Exportaciones</v>
      </c>
      <c r="H145" s="61" t="s">
        <v>16</v>
      </c>
      <c r="I145" s="62" t="s">
        <v>383</v>
      </c>
      <c r="J145" s="14" t="str">
        <f t="shared" si="113"/>
        <v>Ninguno</v>
      </c>
      <c r="K145" s="14" t="str">
        <f t="shared" si="114"/>
        <v>Volumen fruta exportada</v>
      </c>
      <c r="L145" s="14" t="str">
        <f t="shared" si="115"/>
        <v>Periodo 2012-2020</v>
      </c>
      <c r="M145" s="14" t="str">
        <f t="shared" si="116"/>
        <v>Toneladas</v>
      </c>
      <c r="N145" s="14" t="str">
        <f t="shared" si="117"/>
        <v>Servicio Nacional de Aduanas</v>
      </c>
      <c r="O145" s="28" t="str">
        <f>"Volumen de Exportaciones Frutícolas en la "&amp;Agencia[[#This Row],[territorio]]&amp;", "&amp;Agencia[[#This Row],[temporalidad]]</f>
        <v>Volumen de Exportaciones Frutícolas en la Región de Los Ríos, Periodo 2012-2020</v>
      </c>
      <c r="P145" s="28"/>
      <c r="Q145" s="17" t="str">
        <f t="shared" si="106"/>
        <v>Gráfico</v>
      </c>
      <c r="R145" s="28" t="str">
        <f>Agencia[[#This Row],[territorio]]&amp;",fruta,toneladas,manzanas,uva,exportaciones "</f>
        <v xml:space="preserve">Región de Los Ríos,fruta,toneladas,manzanas,uva,exportaciones </v>
      </c>
      <c r="S145" s="30" t="s">
        <v>432</v>
      </c>
      <c r="T145" s="31"/>
      <c r="U145" s="36" t="str">
        <f t="shared" si="107"/>
        <v>#1774B9</v>
      </c>
      <c r="V145" s="37" t="str">
        <f>+Agencia[[#This Row],[idcoleccion]]&amp;"-"&amp;Agencia[[#This Row],[id]]</f>
        <v>990-0135</v>
      </c>
      <c r="W145" s="38">
        <f>+VLOOKUP(Agencia[[#This Row],[Filtro URL]],Estructura!$X$4:$Y$366,2,0)</f>
        <v>99200014</v>
      </c>
      <c r="X145" s="35" t="str">
        <f>+VLOOKUP(Agencia[[#This Row],[tema]],Estructura!$A$4:$C$18,3,0)</f>
        <v>T-997</v>
      </c>
      <c r="Y145" s="35" t="str">
        <f>+VLOOKUP(Agencia[[#This Row],[contenido]],Estructura!$E$4:$G$18,3,0)</f>
        <v>C-996</v>
      </c>
      <c r="Z145" s="35" t="str">
        <f>+VLOOKUP(Agencia[[#This Row],[Filtro Integrado]],Estructura!$I$4:$K$18,3,0)</f>
        <v>FI-993</v>
      </c>
      <c r="AA145" s="35" t="str">
        <f>+VLOOKUP(Agencia[[#This Row],[Muestra]],Estructura!$M$4:$O$18,3,0)</f>
        <v>M-1000</v>
      </c>
    </row>
    <row r="146" spans="1:27" ht="36" x14ac:dyDescent="0.3">
      <c r="A146" s="29" t="s">
        <v>582</v>
      </c>
      <c r="B146" s="39">
        <f t="shared" si="118"/>
        <v>990</v>
      </c>
      <c r="C146" s="40" t="str">
        <f t="shared" si="118"/>
        <v>Agencia Información</v>
      </c>
      <c r="D146" s="40" t="str">
        <f t="shared" si="105"/>
        <v>Agropecuario y Forestal</v>
      </c>
      <c r="E146" s="27">
        <v>15</v>
      </c>
      <c r="F146" s="15" t="str">
        <f t="shared" si="111"/>
        <v>Fruta exportada</v>
      </c>
      <c r="G146" s="15" t="str">
        <f t="shared" si="112"/>
        <v>Exportaciones</v>
      </c>
      <c r="H146" s="61" t="s">
        <v>16</v>
      </c>
      <c r="I146" s="62" t="s">
        <v>384</v>
      </c>
      <c r="J146" s="14" t="str">
        <f t="shared" si="113"/>
        <v>Ninguno</v>
      </c>
      <c r="K146" s="14" t="str">
        <f t="shared" si="114"/>
        <v>Volumen fruta exportada</v>
      </c>
      <c r="L146" s="14" t="str">
        <f t="shared" si="115"/>
        <v>Periodo 2012-2020</v>
      </c>
      <c r="M146" s="14" t="str">
        <f t="shared" si="116"/>
        <v>Toneladas</v>
      </c>
      <c r="N146" s="14" t="str">
        <f t="shared" si="117"/>
        <v>Servicio Nacional de Aduanas</v>
      </c>
      <c r="O146" s="28" t="str">
        <f>"Volumen de Exportaciones Frutícolas en la "&amp;Agencia[[#This Row],[territorio]]&amp;", "&amp;Agencia[[#This Row],[temporalidad]]</f>
        <v>Volumen de Exportaciones Frutícolas en la Región de Arica y Parinacota, Periodo 2012-2020</v>
      </c>
      <c r="P146" s="28"/>
      <c r="Q146" s="17" t="str">
        <f t="shared" ref="Q146:Q177" si="119">+Q145</f>
        <v>Gráfico</v>
      </c>
      <c r="R146" s="28" t="str">
        <f>Agencia[[#This Row],[territorio]]&amp;",fruta,toneladas,manzanas,uva,exportaciones "</f>
        <v xml:space="preserve">Región de Arica y Parinacota,fruta,toneladas,manzanas,uva,exportaciones </v>
      </c>
      <c r="S146" s="30" t="s">
        <v>432</v>
      </c>
      <c r="T146" s="31"/>
      <c r="U146" s="36" t="str">
        <f t="shared" ref="U146:U177" si="120">+U145</f>
        <v>#1774B9</v>
      </c>
      <c r="V146" s="37" t="str">
        <f>+Agencia[[#This Row],[idcoleccion]]&amp;"-"&amp;Agencia[[#This Row],[id]]</f>
        <v>990-0136</v>
      </c>
      <c r="W146" s="38">
        <f>+VLOOKUP(Agencia[[#This Row],[Filtro URL]],Estructura!$X$4:$Y$366,2,0)</f>
        <v>99200015</v>
      </c>
      <c r="X146" s="35" t="str">
        <f>+VLOOKUP(Agencia[[#This Row],[tema]],Estructura!$A$4:$C$18,3,0)</f>
        <v>T-997</v>
      </c>
      <c r="Y146" s="35" t="str">
        <f>+VLOOKUP(Agencia[[#This Row],[contenido]],Estructura!$E$4:$G$18,3,0)</f>
        <v>C-996</v>
      </c>
      <c r="Z146" s="35" t="str">
        <f>+VLOOKUP(Agencia[[#This Row],[Filtro Integrado]],Estructura!$I$4:$K$18,3,0)</f>
        <v>FI-993</v>
      </c>
      <c r="AA146" s="35" t="str">
        <f>+VLOOKUP(Agencia[[#This Row],[Muestra]],Estructura!$M$4:$O$18,3,0)</f>
        <v>M-1000</v>
      </c>
    </row>
    <row r="147" spans="1:27" ht="36" x14ac:dyDescent="0.3">
      <c r="A147" s="29" t="s">
        <v>583</v>
      </c>
      <c r="B147" s="39">
        <f t="shared" ref="B147:C162" si="121">+B146</f>
        <v>990</v>
      </c>
      <c r="C147" s="40" t="str">
        <f t="shared" si="121"/>
        <v>Agencia Información</v>
      </c>
      <c r="D147" s="40" t="str">
        <f t="shared" si="105"/>
        <v>Agropecuario y Forestal</v>
      </c>
      <c r="E147" s="27">
        <v>16</v>
      </c>
      <c r="F147" s="15" t="str">
        <f t="shared" si="111"/>
        <v>Fruta exportada</v>
      </c>
      <c r="G147" s="15" t="str">
        <f t="shared" si="112"/>
        <v>Exportaciones</v>
      </c>
      <c r="H147" s="61" t="s">
        <v>16</v>
      </c>
      <c r="I147" s="62" t="s">
        <v>385</v>
      </c>
      <c r="J147" s="14" t="str">
        <f t="shared" si="113"/>
        <v>Ninguno</v>
      </c>
      <c r="K147" s="14" t="str">
        <f t="shared" si="114"/>
        <v>Volumen fruta exportada</v>
      </c>
      <c r="L147" s="14" t="str">
        <f t="shared" si="115"/>
        <v>Periodo 2012-2020</v>
      </c>
      <c r="M147" s="14" t="str">
        <f t="shared" si="116"/>
        <v>Toneladas</v>
      </c>
      <c r="N147" s="14" t="str">
        <f t="shared" si="117"/>
        <v>Servicio Nacional de Aduanas</v>
      </c>
      <c r="O147" s="28" t="str">
        <f>"Volumen de Exportaciones Frutícolas en la "&amp;Agencia[[#This Row],[territorio]]&amp;", "&amp;Agencia[[#This Row],[temporalidad]]</f>
        <v>Volumen de Exportaciones Frutícolas en la Región de Ñuble, Periodo 2012-2020</v>
      </c>
      <c r="P147" s="28"/>
      <c r="Q147" s="17" t="str">
        <f t="shared" si="119"/>
        <v>Gráfico</v>
      </c>
      <c r="R147" s="28" t="str">
        <f>Agencia[[#This Row],[territorio]]&amp;",fruta,toneladas,manzanas,uva,exportaciones "</f>
        <v xml:space="preserve">Región de Ñuble,fruta,toneladas,manzanas,uva,exportaciones </v>
      </c>
      <c r="S147" s="30" t="s">
        <v>432</v>
      </c>
      <c r="T147" s="31"/>
      <c r="U147" s="36" t="str">
        <f t="shared" si="120"/>
        <v>#1774B9</v>
      </c>
      <c r="V147" s="37" t="str">
        <f>+Agencia[[#This Row],[idcoleccion]]&amp;"-"&amp;Agencia[[#This Row],[id]]</f>
        <v>990-0137</v>
      </c>
      <c r="W147" s="38">
        <f>+VLOOKUP(Agencia[[#This Row],[Filtro URL]],Estructura!$X$4:$Y$366,2,0)</f>
        <v>99200016</v>
      </c>
      <c r="X147" s="35" t="str">
        <f>+VLOOKUP(Agencia[[#This Row],[tema]],Estructura!$A$4:$C$18,3,0)</f>
        <v>T-997</v>
      </c>
      <c r="Y147" s="35" t="str">
        <f>+VLOOKUP(Agencia[[#This Row],[contenido]],Estructura!$E$4:$G$18,3,0)</f>
        <v>C-996</v>
      </c>
      <c r="Z147" s="35" t="str">
        <f>+VLOOKUP(Agencia[[#This Row],[Filtro Integrado]],Estructura!$I$4:$K$18,3,0)</f>
        <v>FI-993</v>
      </c>
      <c r="AA147" s="35" t="str">
        <f>+VLOOKUP(Agencia[[#This Row],[Muestra]],Estructura!$M$4:$O$18,3,0)</f>
        <v>M-1000</v>
      </c>
    </row>
    <row r="148" spans="1:27" ht="51" x14ac:dyDescent="0.3">
      <c r="A148" s="26" t="s">
        <v>584</v>
      </c>
      <c r="B148" s="39">
        <f t="shared" si="121"/>
        <v>990</v>
      </c>
      <c r="C148" s="40" t="str">
        <f t="shared" si="121"/>
        <v>Agencia Información</v>
      </c>
      <c r="D148" s="40" t="str">
        <f t="shared" si="105"/>
        <v>Agropecuario y Forestal</v>
      </c>
      <c r="E148" s="21">
        <v>0</v>
      </c>
      <c r="F148" s="15" t="str">
        <f t="shared" si="111"/>
        <v>Fruta exportada</v>
      </c>
      <c r="G148" s="15" t="str">
        <f t="shared" si="112"/>
        <v>Exportaciones</v>
      </c>
      <c r="H148" s="59" t="s">
        <v>20</v>
      </c>
      <c r="I148" s="60" t="s">
        <v>15</v>
      </c>
      <c r="J148" s="14" t="str">
        <f t="shared" si="113"/>
        <v>Ninguno</v>
      </c>
      <c r="K148" s="14" t="s">
        <v>15</v>
      </c>
      <c r="L148" s="14" t="str">
        <f t="shared" si="115"/>
        <v>Periodo 2012-2020</v>
      </c>
      <c r="M148" s="14" t="str">
        <f t="shared" si="116"/>
        <v>Toneladas</v>
      </c>
      <c r="N148" s="14" t="str">
        <f t="shared" si="117"/>
        <v>Servicio Nacional de Aduanas</v>
      </c>
      <c r="O148" s="28" t="str">
        <f>"Volumen de Exportaciones Frutícolas por país"&amp;", "&amp;Agencia[[#This Row],[temporalidad]]</f>
        <v>Volumen de Exportaciones Frutícolas por país, Periodo 2012-2020</v>
      </c>
      <c r="P148" s="28" t="s">
        <v>645</v>
      </c>
      <c r="Q148" s="17" t="s">
        <v>644</v>
      </c>
      <c r="R148" s="28" t="str">
        <f>Agencia[[#This Row],[territorio]]&amp;",fruta,toneladas,exportaciones "</f>
        <v xml:space="preserve">Chile,fruta,toneladas,exportaciones </v>
      </c>
      <c r="S148" s="48" t="s">
        <v>643</v>
      </c>
      <c r="T148" s="31"/>
      <c r="U148" s="36" t="str">
        <f t="shared" si="120"/>
        <v>#1774B9</v>
      </c>
      <c r="V148" s="37" t="str">
        <f>+Agencia[[#This Row],[idcoleccion]]&amp;"-"&amp;Agencia[[#This Row],[id]]</f>
        <v>990-0138</v>
      </c>
      <c r="W148" s="38">
        <f>+VLOOKUP(Agencia[[#This Row],[Filtro URL]],Estructura!$X$4:$Y$366,2,0)</f>
        <v>99100000</v>
      </c>
      <c r="X148" s="35" t="str">
        <f>+VLOOKUP(Agencia[[#This Row],[tema]],Estructura!$A$4:$C$18,3,0)</f>
        <v>T-997</v>
      </c>
      <c r="Y148" s="35" t="str">
        <f>+VLOOKUP(Agencia[[#This Row],[contenido]],Estructura!$E$4:$G$18,3,0)</f>
        <v>C-996</v>
      </c>
      <c r="Z148" s="35" t="str">
        <f>+VLOOKUP(Agencia[[#This Row],[Filtro Integrado]],Estructura!$I$4:$K$18,3,0)</f>
        <v>FI-993</v>
      </c>
      <c r="AA148" s="35" t="str">
        <f>+VLOOKUP(Agencia[[#This Row],[Muestra]],Estructura!$M$4:$O$18,3,0)</f>
        <v>M-994</v>
      </c>
    </row>
    <row r="149" spans="1:27" ht="24" x14ac:dyDescent="0.3">
      <c r="A149" s="26" t="s">
        <v>585</v>
      </c>
      <c r="B149" s="39">
        <f t="shared" si="121"/>
        <v>990</v>
      </c>
      <c r="C149" s="40" t="str">
        <f t="shared" si="121"/>
        <v>Agencia Información</v>
      </c>
      <c r="D149" s="40" t="s">
        <v>473</v>
      </c>
      <c r="E149" s="21">
        <v>0</v>
      </c>
      <c r="F149" s="15" t="s">
        <v>646</v>
      </c>
      <c r="G149" s="15" t="s">
        <v>647</v>
      </c>
      <c r="H149" s="59" t="s">
        <v>20</v>
      </c>
      <c r="I149" s="60" t="s">
        <v>15</v>
      </c>
      <c r="J149" s="14" t="s">
        <v>16</v>
      </c>
      <c r="K149" s="14" t="s">
        <v>16</v>
      </c>
      <c r="L149" s="14" t="s">
        <v>648</v>
      </c>
      <c r="M149" s="14" t="s">
        <v>649</v>
      </c>
      <c r="N149" s="14" t="s">
        <v>650</v>
      </c>
      <c r="O149" s="28" t="str">
        <f>"Sentencias Dictadas por delitos de Abuso Sexual en "&amp;Agencia[[#This Row],[territorio]]&amp;" para el "&amp;Agencia[[#This Row],[temporalidad]]</f>
        <v>Sentencias Dictadas por delitos de Abuso Sexual en Chile para el Periodo 2013-2019</v>
      </c>
      <c r="P149" s="28"/>
      <c r="Q149" s="17" t="s">
        <v>642</v>
      </c>
      <c r="R149" s="28" t="str">
        <f>Agencia[[#This Row],[territorio]]&amp;",violencia,mujer,abuso, sexual, sentencia,menor,juzgado"</f>
        <v>Chile,violencia,mujer,abuso, sexual, sentencia,menor,juzgado</v>
      </c>
      <c r="S149" s="30" t="s">
        <v>432</v>
      </c>
      <c r="T149" s="31"/>
      <c r="U149" s="36" t="str">
        <f t="shared" si="120"/>
        <v>#1774B9</v>
      </c>
      <c r="V149" s="37" t="str">
        <f>+Agencia[[#This Row],[idcoleccion]]&amp;"-"&amp;Agencia[[#This Row],[id]]</f>
        <v>990-0139</v>
      </c>
      <c r="W149" s="38">
        <f>+VLOOKUP(Agencia[[#This Row],[Filtro URL]],Estructura!$X$4:$Y$366,2,0)</f>
        <v>99100000</v>
      </c>
      <c r="X149" s="35" t="str">
        <f>+VLOOKUP(Agencia[[#This Row],[tema]],Estructura!$A$4:$C$18,3,0)</f>
        <v>T-998</v>
      </c>
      <c r="Y149" s="35" t="str">
        <f>+VLOOKUP(Agencia[[#This Row],[contenido]],Estructura!$E$4:$G$18,3,0)</f>
        <v>C-997</v>
      </c>
      <c r="Z149" s="35" t="str">
        <f>+VLOOKUP(Agencia[[#This Row],[Filtro Integrado]],Estructura!$I$4:$K$18,3,0)</f>
        <v>FI-992</v>
      </c>
      <c r="AA149" s="35" t="str">
        <f>+VLOOKUP(Agencia[[#This Row],[Muestra]],Estructura!$M$4:$O$18,3,0)</f>
        <v>M-992</v>
      </c>
    </row>
    <row r="150" spans="1:27" ht="24" x14ac:dyDescent="0.3">
      <c r="A150" s="29" t="s">
        <v>586</v>
      </c>
      <c r="B150" s="39">
        <f t="shared" si="121"/>
        <v>990</v>
      </c>
      <c r="C150" s="40" t="str">
        <f t="shared" si="121"/>
        <v>Agencia Información</v>
      </c>
      <c r="D150" s="40" t="str">
        <f t="shared" si="105"/>
        <v>Mujeres</v>
      </c>
      <c r="E150" s="27">
        <v>1</v>
      </c>
      <c r="F150" s="15" t="str">
        <f t="shared" si="111"/>
        <v>Sentencias por delitos de abuso sexual</v>
      </c>
      <c r="G150" s="15" t="str">
        <f t="shared" si="112"/>
        <v>Abuso sexual</v>
      </c>
      <c r="H150" s="61" t="s">
        <v>16</v>
      </c>
      <c r="I150" s="62" t="s">
        <v>370</v>
      </c>
      <c r="J150" s="14" t="s">
        <v>411</v>
      </c>
      <c r="K150" s="14" t="str">
        <f t="shared" si="114"/>
        <v>Región</v>
      </c>
      <c r="L150" s="14" t="str">
        <f t="shared" si="115"/>
        <v>Periodo 2013-2019</v>
      </c>
      <c r="M150" s="14" t="str">
        <f t="shared" si="116"/>
        <v>Número de Sentencias</v>
      </c>
      <c r="N150" s="14" t="str">
        <f t="shared" si="117"/>
        <v>Poder Judicial</v>
      </c>
      <c r="O150" s="28" t="str">
        <f>"Sentencias Dictadas por delitos de Abuso Sexual en la "&amp;Agencia[[#This Row],[territorio]]&amp;" para el "&amp;Agencia[[#This Row],[temporalidad]]</f>
        <v>Sentencias Dictadas por delitos de Abuso Sexual en la Región de Tarapacá para el Periodo 2013-2019</v>
      </c>
      <c r="P150" s="28"/>
      <c r="Q150" s="17" t="str">
        <f t="shared" si="119"/>
        <v>Gráfico</v>
      </c>
      <c r="R150" s="28" t="str">
        <f>Agencia[[#This Row],[territorio]]&amp;",violencia,mujer,abuso, sexual, sentencia,menor,juzgado"</f>
        <v>Región de Tarapacá,violencia,mujer,abuso, sexual, sentencia,menor,juzgado</v>
      </c>
      <c r="S150" s="30" t="s">
        <v>432</v>
      </c>
      <c r="T150" s="31"/>
      <c r="U150" s="36" t="str">
        <f t="shared" si="120"/>
        <v>#1774B9</v>
      </c>
      <c r="V150" s="37" t="str">
        <f>+Agencia[[#This Row],[idcoleccion]]&amp;"-"&amp;Agencia[[#This Row],[id]]</f>
        <v>990-0140</v>
      </c>
      <c r="W150" s="38">
        <f>+VLOOKUP(Agencia[[#This Row],[Filtro URL]],Estructura!$X$4:$Y$366,2,0)</f>
        <v>99200001</v>
      </c>
      <c r="X150" s="35" t="str">
        <f>+VLOOKUP(Agencia[[#This Row],[tema]],Estructura!$A$4:$C$18,3,0)</f>
        <v>T-998</v>
      </c>
      <c r="Y150" s="35" t="str">
        <f>+VLOOKUP(Agencia[[#This Row],[contenido]],Estructura!$E$4:$G$18,3,0)</f>
        <v>C-997</v>
      </c>
      <c r="Z150" s="35" t="str">
        <f>+VLOOKUP(Agencia[[#This Row],[Filtro Integrado]],Estructura!$I$4:$K$18,3,0)</f>
        <v>FI-993</v>
      </c>
      <c r="AA150" s="35" t="str">
        <f>+VLOOKUP(Agencia[[#This Row],[Muestra]],Estructura!$M$4:$O$18,3,0)</f>
        <v>M-992</v>
      </c>
    </row>
    <row r="151" spans="1:27" ht="24" x14ac:dyDescent="0.3">
      <c r="A151" s="29" t="s">
        <v>587</v>
      </c>
      <c r="B151" s="39">
        <f t="shared" si="121"/>
        <v>990</v>
      </c>
      <c r="C151" s="40" t="str">
        <f t="shared" si="121"/>
        <v>Agencia Información</v>
      </c>
      <c r="D151" s="40" t="str">
        <f t="shared" si="105"/>
        <v>Mujeres</v>
      </c>
      <c r="E151" s="27">
        <v>2</v>
      </c>
      <c r="F151" s="15" t="str">
        <f t="shared" si="111"/>
        <v>Sentencias por delitos de abuso sexual</v>
      </c>
      <c r="G151" s="15" t="str">
        <f t="shared" si="112"/>
        <v>Abuso sexual</v>
      </c>
      <c r="H151" s="61" t="s">
        <v>16</v>
      </c>
      <c r="I151" s="62" t="s">
        <v>371</v>
      </c>
      <c r="J151" s="14" t="str">
        <f t="shared" si="113"/>
        <v>Ninguno</v>
      </c>
      <c r="K151" s="14" t="str">
        <f t="shared" si="114"/>
        <v>Región</v>
      </c>
      <c r="L151" s="14" t="str">
        <f t="shared" si="115"/>
        <v>Periodo 2013-2019</v>
      </c>
      <c r="M151" s="14" t="str">
        <f t="shared" si="116"/>
        <v>Número de Sentencias</v>
      </c>
      <c r="N151" s="14" t="str">
        <f t="shared" si="117"/>
        <v>Poder Judicial</v>
      </c>
      <c r="O151" s="28" t="str">
        <f>"Sentencias Dictadas por delitos de Abuso Sexual en la "&amp;Agencia[[#This Row],[territorio]]&amp;" para el "&amp;Agencia[[#This Row],[temporalidad]]</f>
        <v>Sentencias Dictadas por delitos de Abuso Sexual en la Región de Antofagasta para el Periodo 2013-2019</v>
      </c>
      <c r="P151" s="28"/>
      <c r="Q151" s="17" t="str">
        <f t="shared" si="119"/>
        <v>Gráfico</v>
      </c>
      <c r="R151" s="28" t="str">
        <f>Agencia[[#This Row],[territorio]]&amp;",violencia,mujer,abuso, sexual, sentencia,menor,juzgado"</f>
        <v>Región de Antofagasta,violencia,mujer,abuso, sexual, sentencia,menor,juzgado</v>
      </c>
      <c r="S151" s="30" t="s">
        <v>432</v>
      </c>
      <c r="T151" s="31"/>
      <c r="U151" s="36" t="str">
        <f t="shared" si="120"/>
        <v>#1774B9</v>
      </c>
      <c r="V151" s="37" t="str">
        <f>+Agencia[[#This Row],[idcoleccion]]&amp;"-"&amp;Agencia[[#This Row],[id]]</f>
        <v>990-0141</v>
      </c>
      <c r="W151" s="38">
        <f>+VLOOKUP(Agencia[[#This Row],[Filtro URL]],Estructura!$X$4:$Y$366,2,0)</f>
        <v>99200002</v>
      </c>
      <c r="X151" s="35" t="str">
        <f>+VLOOKUP(Agencia[[#This Row],[tema]],Estructura!$A$4:$C$18,3,0)</f>
        <v>T-998</v>
      </c>
      <c r="Y151" s="35" t="str">
        <f>+VLOOKUP(Agencia[[#This Row],[contenido]],Estructura!$E$4:$G$18,3,0)</f>
        <v>C-997</v>
      </c>
      <c r="Z151" s="35" t="str">
        <f>+VLOOKUP(Agencia[[#This Row],[Filtro Integrado]],Estructura!$I$4:$K$18,3,0)</f>
        <v>FI-993</v>
      </c>
      <c r="AA151" s="35" t="str">
        <f>+VLOOKUP(Agencia[[#This Row],[Muestra]],Estructura!$M$4:$O$18,3,0)</f>
        <v>M-992</v>
      </c>
    </row>
    <row r="152" spans="1:27" ht="24" x14ac:dyDescent="0.3">
      <c r="A152" s="29" t="s">
        <v>588</v>
      </c>
      <c r="B152" s="39">
        <f t="shared" si="121"/>
        <v>990</v>
      </c>
      <c r="C152" s="40" t="str">
        <f t="shared" si="121"/>
        <v>Agencia Información</v>
      </c>
      <c r="D152" s="40" t="str">
        <f t="shared" si="105"/>
        <v>Mujeres</v>
      </c>
      <c r="E152" s="27">
        <v>3</v>
      </c>
      <c r="F152" s="15" t="str">
        <f t="shared" si="111"/>
        <v>Sentencias por delitos de abuso sexual</v>
      </c>
      <c r="G152" s="15" t="str">
        <f t="shared" si="112"/>
        <v>Abuso sexual</v>
      </c>
      <c r="H152" s="61" t="s">
        <v>16</v>
      </c>
      <c r="I152" s="62" t="s">
        <v>372</v>
      </c>
      <c r="J152" s="14" t="str">
        <f t="shared" si="113"/>
        <v>Ninguno</v>
      </c>
      <c r="K152" s="14" t="str">
        <f t="shared" si="114"/>
        <v>Región</v>
      </c>
      <c r="L152" s="14" t="str">
        <f t="shared" si="115"/>
        <v>Periodo 2013-2019</v>
      </c>
      <c r="M152" s="14" t="str">
        <f t="shared" si="116"/>
        <v>Número de Sentencias</v>
      </c>
      <c r="N152" s="14" t="str">
        <f t="shared" si="117"/>
        <v>Poder Judicial</v>
      </c>
      <c r="O152" s="28" t="str">
        <f>"Sentencias Dictadas por delitos de Abuso Sexual en la "&amp;Agencia[[#This Row],[territorio]]&amp;" para el "&amp;Agencia[[#This Row],[temporalidad]]</f>
        <v>Sentencias Dictadas por delitos de Abuso Sexual en la Región de Atacama para el Periodo 2013-2019</v>
      </c>
      <c r="P152" s="28"/>
      <c r="Q152" s="17" t="str">
        <f t="shared" si="119"/>
        <v>Gráfico</v>
      </c>
      <c r="R152" s="28" t="str">
        <f>Agencia[[#This Row],[territorio]]&amp;",violencia,mujer,abuso, sexual, sentencia,menor,juzgado"</f>
        <v>Región de Atacama,violencia,mujer,abuso, sexual, sentencia,menor,juzgado</v>
      </c>
      <c r="S152" s="30" t="s">
        <v>432</v>
      </c>
      <c r="T152" s="31"/>
      <c r="U152" s="36" t="str">
        <f t="shared" si="120"/>
        <v>#1774B9</v>
      </c>
      <c r="V152" s="37" t="str">
        <f>+Agencia[[#This Row],[idcoleccion]]&amp;"-"&amp;Agencia[[#This Row],[id]]</f>
        <v>990-0142</v>
      </c>
      <c r="W152" s="38">
        <f>+VLOOKUP(Agencia[[#This Row],[Filtro URL]],Estructura!$X$4:$Y$366,2,0)</f>
        <v>99200003</v>
      </c>
      <c r="X152" s="35" t="str">
        <f>+VLOOKUP(Agencia[[#This Row],[tema]],Estructura!$A$4:$C$18,3,0)</f>
        <v>T-998</v>
      </c>
      <c r="Y152" s="35" t="str">
        <f>+VLOOKUP(Agencia[[#This Row],[contenido]],Estructura!$E$4:$G$18,3,0)</f>
        <v>C-997</v>
      </c>
      <c r="Z152" s="35" t="str">
        <f>+VLOOKUP(Agencia[[#This Row],[Filtro Integrado]],Estructura!$I$4:$K$18,3,0)</f>
        <v>FI-993</v>
      </c>
      <c r="AA152" s="35" t="str">
        <f>+VLOOKUP(Agencia[[#This Row],[Muestra]],Estructura!$M$4:$O$18,3,0)</f>
        <v>M-992</v>
      </c>
    </row>
    <row r="153" spans="1:27" ht="24" x14ac:dyDescent="0.3">
      <c r="A153" s="29" t="s">
        <v>589</v>
      </c>
      <c r="B153" s="39">
        <f t="shared" si="121"/>
        <v>990</v>
      </c>
      <c r="C153" s="40" t="str">
        <f t="shared" si="121"/>
        <v>Agencia Información</v>
      </c>
      <c r="D153" s="40" t="str">
        <f t="shared" si="105"/>
        <v>Mujeres</v>
      </c>
      <c r="E153" s="27">
        <v>4</v>
      </c>
      <c r="F153" s="15" t="str">
        <f t="shared" si="111"/>
        <v>Sentencias por delitos de abuso sexual</v>
      </c>
      <c r="G153" s="15" t="str">
        <f t="shared" si="112"/>
        <v>Abuso sexual</v>
      </c>
      <c r="H153" s="61" t="s">
        <v>16</v>
      </c>
      <c r="I153" s="62" t="s">
        <v>373</v>
      </c>
      <c r="J153" s="14" t="str">
        <f t="shared" si="113"/>
        <v>Ninguno</v>
      </c>
      <c r="K153" s="14" t="str">
        <f t="shared" si="114"/>
        <v>Región</v>
      </c>
      <c r="L153" s="14" t="str">
        <f t="shared" si="115"/>
        <v>Periodo 2013-2019</v>
      </c>
      <c r="M153" s="14" t="str">
        <f t="shared" si="116"/>
        <v>Número de Sentencias</v>
      </c>
      <c r="N153" s="14" t="str">
        <f t="shared" si="117"/>
        <v>Poder Judicial</v>
      </c>
      <c r="O153" s="28" t="str">
        <f>"Sentencias Dictadas por delitos de Abuso Sexual en la "&amp;Agencia[[#This Row],[territorio]]&amp;" para el "&amp;Agencia[[#This Row],[temporalidad]]</f>
        <v>Sentencias Dictadas por delitos de Abuso Sexual en la Región de Coquimbo para el Periodo 2013-2019</v>
      </c>
      <c r="P153" s="28"/>
      <c r="Q153" s="17" t="str">
        <f t="shared" si="119"/>
        <v>Gráfico</v>
      </c>
      <c r="R153" s="28" t="str">
        <f>Agencia[[#This Row],[territorio]]&amp;",violencia,mujer,abuso, sexual, sentencia,menor,juzgado"</f>
        <v>Región de Coquimbo,violencia,mujer,abuso, sexual, sentencia,menor,juzgado</v>
      </c>
      <c r="S153" s="30" t="s">
        <v>432</v>
      </c>
      <c r="T153" s="31"/>
      <c r="U153" s="36" t="str">
        <f t="shared" si="120"/>
        <v>#1774B9</v>
      </c>
      <c r="V153" s="37" t="str">
        <f>+Agencia[[#This Row],[idcoleccion]]&amp;"-"&amp;Agencia[[#This Row],[id]]</f>
        <v>990-0143</v>
      </c>
      <c r="W153" s="38">
        <f>+VLOOKUP(Agencia[[#This Row],[Filtro URL]],Estructura!$X$4:$Y$366,2,0)</f>
        <v>99200004</v>
      </c>
      <c r="X153" s="35" t="str">
        <f>+VLOOKUP(Agencia[[#This Row],[tema]],Estructura!$A$4:$C$18,3,0)</f>
        <v>T-998</v>
      </c>
      <c r="Y153" s="35" t="str">
        <f>+VLOOKUP(Agencia[[#This Row],[contenido]],Estructura!$E$4:$G$18,3,0)</f>
        <v>C-997</v>
      </c>
      <c r="Z153" s="35" t="str">
        <f>+VLOOKUP(Agencia[[#This Row],[Filtro Integrado]],Estructura!$I$4:$K$18,3,0)</f>
        <v>FI-993</v>
      </c>
      <c r="AA153" s="35" t="str">
        <f>+VLOOKUP(Agencia[[#This Row],[Muestra]],Estructura!$M$4:$O$18,3,0)</f>
        <v>M-992</v>
      </c>
    </row>
    <row r="154" spans="1:27" ht="24" x14ac:dyDescent="0.3">
      <c r="A154" s="29" t="s">
        <v>590</v>
      </c>
      <c r="B154" s="39">
        <f t="shared" si="121"/>
        <v>990</v>
      </c>
      <c r="C154" s="40" t="str">
        <f t="shared" si="121"/>
        <v>Agencia Información</v>
      </c>
      <c r="D154" s="40" t="str">
        <f t="shared" si="105"/>
        <v>Mujeres</v>
      </c>
      <c r="E154" s="27">
        <v>5</v>
      </c>
      <c r="F154" s="15" t="str">
        <f t="shared" si="111"/>
        <v>Sentencias por delitos de abuso sexual</v>
      </c>
      <c r="G154" s="15" t="str">
        <f t="shared" si="112"/>
        <v>Abuso sexual</v>
      </c>
      <c r="H154" s="61" t="s">
        <v>16</v>
      </c>
      <c r="I154" s="62" t="s">
        <v>374</v>
      </c>
      <c r="J154" s="14" t="str">
        <f t="shared" si="113"/>
        <v>Ninguno</v>
      </c>
      <c r="K154" s="14" t="str">
        <f t="shared" si="114"/>
        <v>Región</v>
      </c>
      <c r="L154" s="14" t="str">
        <f t="shared" si="115"/>
        <v>Periodo 2013-2019</v>
      </c>
      <c r="M154" s="14" t="str">
        <f t="shared" si="116"/>
        <v>Número de Sentencias</v>
      </c>
      <c r="N154" s="14" t="str">
        <f t="shared" si="117"/>
        <v>Poder Judicial</v>
      </c>
      <c r="O154" s="28" t="str">
        <f>"Sentencias Dictadas por delitos de Abuso Sexual en la "&amp;Agencia[[#This Row],[territorio]]&amp;" para el "&amp;Agencia[[#This Row],[temporalidad]]</f>
        <v>Sentencias Dictadas por delitos de Abuso Sexual en la Región de Valparaíso para el Periodo 2013-2019</v>
      </c>
      <c r="P154" s="28"/>
      <c r="Q154" s="17" t="str">
        <f t="shared" si="119"/>
        <v>Gráfico</v>
      </c>
      <c r="R154" s="28" t="str">
        <f>Agencia[[#This Row],[territorio]]&amp;",violencia,mujer,abuso, sexual, sentencia,menor,juzgado"</f>
        <v>Región de Valparaíso,violencia,mujer,abuso, sexual, sentencia,menor,juzgado</v>
      </c>
      <c r="S154" s="30" t="s">
        <v>432</v>
      </c>
      <c r="T154" s="31"/>
      <c r="U154" s="36" t="str">
        <f t="shared" si="120"/>
        <v>#1774B9</v>
      </c>
      <c r="V154" s="37" t="str">
        <f>+Agencia[[#This Row],[idcoleccion]]&amp;"-"&amp;Agencia[[#This Row],[id]]</f>
        <v>990-0144</v>
      </c>
      <c r="W154" s="38">
        <f>+VLOOKUP(Agencia[[#This Row],[Filtro URL]],Estructura!$X$4:$Y$366,2,0)</f>
        <v>99200005</v>
      </c>
      <c r="X154" s="35" t="str">
        <f>+VLOOKUP(Agencia[[#This Row],[tema]],Estructura!$A$4:$C$18,3,0)</f>
        <v>T-998</v>
      </c>
      <c r="Y154" s="35" t="str">
        <f>+VLOOKUP(Agencia[[#This Row],[contenido]],Estructura!$E$4:$G$18,3,0)</f>
        <v>C-997</v>
      </c>
      <c r="Z154" s="35" t="str">
        <f>+VLOOKUP(Agencia[[#This Row],[Filtro Integrado]],Estructura!$I$4:$K$18,3,0)</f>
        <v>FI-993</v>
      </c>
      <c r="AA154" s="35" t="str">
        <f>+VLOOKUP(Agencia[[#This Row],[Muestra]],Estructura!$M$4:$O$18,3,0)</f>
        <v>M-992</v>
      </c>
    </row>
    <row r="155" spans="1:27" ht="24" x14ac:dyDescent="0.3">
      <c r="A155" s="29" t="s">
        <v>591</v>
      </c>
      <c r="B155" s="39">
        <f t="shared" si="121"/>
        <v>990</v>
      </c>
      <c r="C155" s="40" t="str">
        <f t="shared" si="121"/>
        <v>Agencia Información</v>
      </c>
      <c r="D155" s="40" t="str">
        <f t="shared" si="105"/>
        <v>Mujeres</v>
      </c>
      <c r="E155" s="27">
        <v>6</v>
      </c>
      <c r="F155" s="15" t="str">
        <f t="shared" si="111"/>
        <v>Sentencias por delitos de abuso sexual</v>
      </c>
      <c r="G155" s="15" t="str">
        <f t="shared" si="112"/>
        <v>Abuso sexual</v>
      </c>
      <c r="H155" s="61" t="s">
        <v>16</v>
      </c>
      <c r="I155" s="62" t="s">
        <v>375</v>
      </c>
      <c r="J155" s="14" t="str">
        <f t="shared" si="113"/>
        <v>Ninguno</v>
      </c>
      <c r="K155" s="14" t="str">
        <f t="shared" si="114"/>
        <v>Región</v>
      </c>
      <c r="L155" s="14" t="str">
        <f t="shared" si="115"/>
        <v>Periodo 2013-2019</v>
      </c>
      <c r="M155" s="14" t="str">
        <f t="shared" si="116"/>
        <v>Número de Sentencias</v>
      </c>
      <c r="N155" s="14" t="str">
        <f t="shared" si="117"/>
        <v>Poder Judicial</v>
      </c>
      <c r="O155" s="28" t="str">
        <f>"Sentencias Dictadas por delitos de Abuso Sexual en la "&amp;Agencia[[#This Row],[territorio]]&amp;" para el "&amp;Agencia[[#This Row],[temporalidad]]</f>
        <v>Sentencias Dictadas por delitos de Abuso Sexual en la Región de O'Higgins para el Periodo 2013-2019</v>
      </c>
      <c r="P155" s="28"/>
      <c r="Q155" s="17" t="str">
        <f t="shared" si="119"/>
        <v>Gráfico</v>
      </c>
      <c r="R155" s="28" t="str">
        <f>Agencia[[#This Row],[territorio]]&amp;",violencia,mujer,abuso, sexual, sentencia,menor,juzgado"</f>
        <v>Región de O'Higgins,violencia,mujer,abuso, sexual, sentencia,menor,juzgado</v>
      </c>
      <c r="S155" s="30" t="s">
        <v>432</v>
      </c>
      <c r="T155" s="31"/>
      <c r="U155" s="36" t="str">
        <f t="shared" si="120"/>
        <v>#1774B9</v>
      </c>
      <c r="V155" s="37" t="str">
        <f>+Agencia[[#This Row],[idcoleccion]]&amp;"-"&amp;Agencia[[#This Row],[id]]</f>
        <v>990-0145</v>
      </c>
      <c r="W155" s="38">
        <f>+VLOOKUP(Agencia[[#This Row],[Filtro URL]],Estructura!$X$4:$Y$366,2,0)</f>
        <v>99200006</v>
      </c>
      <c r="X155" s="35" t="str">
        <f>+VLOOKUP(Agencia[[#This Row],[tema]],Estructura!$A$4:$C$18,3,0)</f>
        <v>T-998</v>
      </c>
      <c r="Y155" s="35" t="str">
        <f>+VLOOKUP(Agencia[[#This Row],[contenido]],Estructura!$E$4:$G$18,3,0)</f>
        <v>C-997</v>
      </c>
      <c r="Z155" s="35" t="str">
        <f>+VLOOKUP(Agencia[[#This Row],[Filtro Integrado]],Estructura!$I$4:$K$18,3,0)</f>
        <v>FI-993</v>
      </c>
      <c r="AA155" s="35" t="str">
        <f>+VLOOKUP(Agencia[[#This Row],[Muestra]],Estructura!$M$4:$O$18,3,0)</f>
        <v>M-992</v>
      </c>
    </row>
    <row r="156" spans="1:27" ht="24" x14ac:dyDescent="0.3">
      <c r="A156" s="29" t="s">
        <v>592</v>
      </c>
      <c r="B156" s="39">
        <f t="shared" si="121"/>
        <v>990</v>
      </c>
      <c r="C156" s="40" t="str">
        <f t="shared" si="121"/>
        <v>Agencia Información</v>
      </c>
      <c r="D156" s="40" t="str">
        <f t="shared" si="105"/>
        <v>Mujeres</v>
      </c>
      <c r="E156" s="27">
        <v>7</v>
      </c>
      <c r="F156" s="15" t="str">
        <f t="shared" si="111"/>
        <v>Sentencias por delitos de abuso sexual</v>
      </c>
      <c r="G156" s="15" t="str">
        <f t="shared" si="112"/>
        <v>Abuso sexual</v>
      </c>
      <c r="H156" s="61" t="s">
        <v>16</v>
      </c>
      <c r="I156" s="62" t="s">
        <v>376</v>
      </c>
      <c r="J156" s="14" t="str">
        <f t="shared" si="113"/>
        <v>Ninguno</v>
      </c>
      <c r="K156" s="14" t="str">
        <f t="shared" si="114"/>
        <v>Región</v>
      </c>
      <c r="L156" s="14" t="str">
        <f t="shared" si="115"/>
        <v>Periodo 2013-2019</v>
      </c>
      <c r="M156" s="14" t="str">
        <f t="shared" si="116"/>
        <v>Número de Sentencias</v>
      </c>
      <c r="N156" s="14" t="str">
        <f t="shared" si="117"/>
        <v>Poder Judicial</v>
      </c>
      <c r="O156" s="28" t="str">
        <f>"Sentencias Dictadas por delitos de Abuso Sexual en la "&amp;Agencia[[#This Row],[territorio]]&amp;" para el "&amp;Agencia[[#This Row],[temporalidad]]</f>
        <v>Sentencias Dictadas por delitos de Abuso Sexual en la Región de Maule para el Periodo 2013-2019</v>
      </c>
      <c r="P156" s="28"/>
      <c r="Q156" s="17" t="str">
        <f t="shared" si="119"/>
        <v>Gráfico</v>
      </c>
      <c r="R156" s="28" t="str">
        <f>Agencia[[#This Row],[territorio]]&amp;",violencia,mujer,abuso, sexual, sentencia,menor,juzgado"</f>
        <v>Región de Maule,violencia,mujer,abuso, sexual, sentencia,menor,juzgado</v>
      </c>
      <c r="S156" s="30" t="s">
        <v>432</v>
      </c>
      <c r="T156" s="31"/>
      <c r="U156" s="36" t="str">
        <f t="shared" si="120"/>
        <v>#1774B9</v>
      </c>
      <c r="V156" s="37" t="str">
        <f>+Agencia[[#This Row],[idcoleccion]]&amp;"-"&amp;Agencia[[#This Row],[id]]</f>
        <v>990-0146</v>
      </c>
      <c r="W156" s="38">
        <f>+VLOOKUP(Agencia[[#This Row],[Filtro URL]],Estructura!$X$4:$Y$366,2,0)</f>
        <v>99200007</v>
      </c>
      <c r="X156" s="35" t="str">
        <f>+VLOOKUP(Agencia[[#This Row],[tema]],Estructura!$A$4:$C$18,3,0)</f>
        <v>T-998</v>
      </c>
      <c r="Y156" s="35" t="str">
        <f>+VLOOKUP(Agencia[[#This Row],[contenido]],Estructura!$E$4:$G$18,3,0)</f>
        <v>C-997</v>
      </c>
      <c r="Z156" s="35" t="str">
        <f>+VLOOKUP(Agencia[[#This Row],[Filtro Integrado]],Estructura!$I$4:$K$18,3,0)</f>
        <v>FI-993</v>
      </c>
      <c r="AA156" s="35" t="str">
        <f>+VLOOKUP(Agencia[[#This Row],[Muestra]],Estructura!$M$4:$O$18,3,0)</f>
        <v>M-992</v>
      </c>
    </row>
    <row r="157" spans="1:27" ht="24" x14ac:dyDescent="0.3">
      <c r="A157" s="29" t="s">
        <v>593</v>
      </c>
      <c r="B157" s="39">
        <f t="shared" si="121"/>
        <v>990</v>
      </c>
      <c r="C157" s="40" t="str">
        <f t="shared" si="121"/>
        <v>Agencia Información</v>
      </c>
      <c r="D157" s="40" t="str">
        <f t="shared" si="105"/>
        <v>Mujeres</v>
      </c>
      <c r="E157" s="27">
        <v>8</v>
      </c>
      <c r="F157" s="15" t="str">
        <f t="shared" si="111"/>
        <v>Sentencias por delitos de abuso sexual</v>
      </c>
      <c r="G157" s="15" t="str">
        <f t="shared" si="112"/>
        <v>Abuso sexual</v>
      </c>
      <c r="H157" s="61" t="s">
        <v>16</v>
      </c>
      <c r="I157" s="62" t="s">
        <v>377</v>
      </c>
      <c r="J157" s="14" t="str">
        <f t="shared" si="113"/>
        <v>Ninguno</v>
      </c>
      <c r="K157" s="14" t="str">
        <f t="shared" si="114"/>
        <v>Región</v>
      </c>
      <c r="L157" s="14" t="str">
        <f t="shared" si="115"/>
        <v>Periodo 2013-2019</v>
      </c>
      <c r="M157" s="14" t="str">
        <f t="shared" si="116"/>
        <v>Número de Sentencias</v>
      </c>
      <c r="N157" s="14" t="str">
        <f t="shared" si="117"/>
        <v>Poder Judicial</v>
      </c>
      <c r="O157" s="28" t="str">
        <f>"Sentencias Dictadas por delitos de Abuso Sexual en la "&amp;Agencia[[#This Row],[territorio]]&amp;" para el "&amp;Agencia[[#This Row],[temporalidad]]</f>
        <v>Sentencias Dictadas por delitos de Abuso Sexual en la Región del Biobío para el Periodo 2013-2019</v>
      </c>
      <c r="P157" s="28"/>
      <c r="Q157" s="17" t="str">
        <f t="shared" si="119"/>
        <v>Gráfico</v>
      </c>
      <c r="R157" s="28" t="str">
        <f>Agencia[[#This Row],[territorio]]&amp;",violencia,mujer,abuso, sexual, sentencia,menor,juzgado"</f>
        <v>Región del Biobío,violencia,mujer,abuso, sexual, sentencia,menor,juzgado</v>
      </c>
      <c r="S157" s="30" t="s">
        <v>432</v>
      </c>
      <c r="T157" s="31"/>
      <c r="U157" s="36" t="str">
        <f t="shared" si="120"/>
        <v>#1774B9</v>
      </c>
      <c r="V157" s="37" t="str">
        <f>+Agencia[[#This Row],[idcoleccion]]&amp;"-"&amp;Agencia[[#This Row],[id]]</f>
        <v>990-0147</v>
      </c>
      <c r="W157" s="38">
        <f>+VLOOKUP(Agencia[[#This Row],[Filtro URL]],Estructura!$X$4:$Y$366,2,0)</f>
        <v>99200008</v>
      </c>
      <c r="X157" s="35" t="str">
        <f>+VLOOKUP(Agencia[[#This Row],[tema]],Estructura!$A$4:$C$18,3,0)</f>
        <v>T-998</v>
      </c>
      <c r="Y157" s="35" t="str">
        <f>+VLOOKUP(Agencia[[#This Row],[contenido]],Estructura!$E$4:$G$18,3,0)</f>
        <v>C-997</v>
      </c>
      <c r="Z157" s="35" t="str">
        <f>+VLOOKUP(Agencia[[#This Row],[Filtro Integrado]],Estructura!$I$4:$K$18,3,0)</f>
        <v>FI-993</v>
      </c>
      <c r="AA157" s="35" t="str">
        <f>+VLOOKUP(Agencia[[#This Row],[Muestra]],Estructura!$M$4:$O$18,3,0)</f>
        <v>M-992</v>
      </c>
    </row>
    <row r="158" spans="1:27" ht="24" x14ac:dyDescent="0.3">
      <c r="A158" s="29" t="s">
        <v>594</v>
      </c>
      <c r="B158" s="39">
        <f t="shared" si="121"/>
        <v>990</v>
      </c>
      <c r="C158" s="40" t="str">
        <f t="shared" si="121"/>
        <v>Agencia Información</v>
      </c>
      <c r="D158" s="40" t="str">
        <f t="shared" si="105"/>
        <v>Mujeres</v>
      </c>
      <c r="E158" s="27">
        <v>9</v>
      </c>
      <c r="F158" s="15" t="str">
        <f t="shared" si="111"/>
        <v>Sentencias por delitos de abuso sexual</v>
      </c>
      <c r="G158" s="15" t="str">
        <f t="shared" si="112"/>
        <v>Abuso sexual</v>
      </c>
      <c r="H158" s="61" t="s">
        <v>16</v>
      </c>
      <c r="I158" s="62" t="s">
        <v>378</v>
      </c>
      <c r="J158" s="14" t="str">
        <f t="shared" si="113"/>
        <v>Ninguno</v>
      </c>
      <c r="K158" s="14" t="str">
        <f t="shared" si="114"/>
        <v>Región</v>
      </c>
      <c r="L158" s="14" t="str">
        <f t="shared" si="115"/>
        <v>Periodo 2013-2019</v>
      </c>
      <c r="M158" s="14" t="str">
        <f t="shared" si="116"/>
        <v>Número de Sentencias</v>
      </c>
      <c r="N158" s="14" t="str">
        <f t="shared" si="117"/>
        <v>Poder Judicial</v>
      </c>
      <c r="O158" s="28" t="str">
        <f>"Sentencias Dictadas por delitos de Abuso Sexual en la "&amp;Agencia[[#This Row],[territorio]]&amp;" para el "&amp;Agencia[[#This Row],[temporalidad]]</f>
        <v>Sentencias Dictadas por delitos de Abuso Sexual en la Región de La Araucanía para el Periodo 2013-2019</v>
      </c>
      <c r="P158" s="28"/>
      <c r="Q158" s="17" t="str">
        <f t="shared" si="119"/>
        <v>Gráfico</v>
      </c>
      <c r="R158" s="28" t="str">
        <f>Agencia[[#This Row],[territorio]]&amp;",violencia,mujer,abuso, sexual, sentencia,menor,juzgado"</f>
        <v>Región de La Araucanía,violencia,mujer,abuso, sexual, sentencia,menor,juzgado</v>
      </c>
      <c r="S158" s="30" t="s">
        <v>432</v>
      </c>
      <c r="T158" s="31"/>
      <c r="U158" s="36" t="str">
        <f t="shared" si="120"/>
        <v>#1774B9</v>
      </c>
      <c r="V158" s="37" t="str">
        <f>+Agencia[[#This Row],[idcoleccion]]&amp;"-"&amp;Agencia[[#This Row],[id]]</f>
        <v>990-0148</v>
      </c>
      <c r="W158" s="38">
        <f>+VLOOKUP(Agencia[[#This Row],[Filtro URL]],Estructura!$X$4:$Y$366,2,0)</f>
        <v>99200009</v>
      </c>
      <c r="X158" s="35" t="str">
        <f>+VLOOKUP(Agencia[[#This Row],[tema]],Estructura!$A$4:$C$18,3,0)</f>
        <v>T-998</v>
      </c>
      <c r="Y158" s="35" t="str">
        <f>+VLOOKUP(Agencia[[#This Row],[contenido]],Estructura!$E$4:$G$18,3,0)</f>
        <v>C-997</v>
      </c>
      <c r="Z158" s="35" t="str">
        <f>+VLOOKUP(Agencia[[#This Row],[Filtro Integrado]],Estructura!$I$4:$K$18,3,0)</f>
        <v>FI-993</v>
      </c>
      <c r="AA158" s="35" t="str">
        <f>+VLOOKUP(Agencia[[#This Row],[Muestra]],Estructura!$M$4:$O$18,3,0)</f>
        <v>M-992</v>
      </c>
    </row>
    <row r="159" spans="1:27" ht="24" x14ac:dyDescent="0.3">
      <c r="A159" s="29" t="s">
        <v>595</v>
      </c>
      <c r="B159" s="39">
        <f t="shared" si="121"/>
        <v>990</v>
      </c>
      <c r="C159" s="40" t="str">
        <f t="shared" si="121"/>
        <v>Agencia Información</v>
      </c>
      <c r="D159" s="40" t="str">
        <f t="shared" si="105"/>
        <v>Mujeres</v>
      </c>
      <c r="E159" s="27">
        <v>10</v>
      </c>
      <c r="F159" s="15" t="str">
        <f t="shared" si="111"/>
        <v>Sentencias por delitos de abuso sexual</v>
      </c>
      <c r="G159" s="15" t="str">
        <f t="shared" si="112"/>
        <v>Abuso sexual</v>
      </c>
      <c r="H159" s="61" t="s">
        <v>16</v>
      </c>
      <c r="I159" s="62" t="s">
        <v>379</v>
      </c>
      <c r="J159" s="14" t="str">
        <f t="shared" si="113"/>
        <v>Ninguno</v>
      </c>
      <c r="K159" s="14" t="str">
        <f t="shared" si="114"/>
        <v>Región</v>
      </c>
      <c r="L159" s="14" t="str">
        <f t="shared" si="115"/>
        <v>Periodo 2013-2019</v>
      </c>
      <c r="M159" s="14" t="str">
        <f t="shared" si="116"/>
        <v>Número de Sentencias</v>
      </c>
      <c r="N159" s="14" t="str">
        <f t="shared" si="117"/>
        <v>Poder Judicial</v>
      </c>
      <c r="O159" s="28" t="str">
        <f>"Sentencias Dictadas por delitos de Abuso Sexual en la "&amp;Agencia[[#This Row],[territorio]]&amp;" para el "&amp;Agencia[[#This Row],[temporalidad]]</f>
        <v>Sentencias Dictadas por delitos de Abuso Sexual en la Región de Los Lagos para el Periodo 2013-2019</v>
      </c>
      <c r="P159" s="28"/>
      <c r="Q159" s="17" t="str">
        <f t="shared" si="119"/>
        <v>Gráfico</v>
      </c>
      <c r="R159" s="28" t="str">
        <f>Agencia[[#This Row],[territorio]]&amp;",violencia,mujer,abuso, sexual, sentencia,menor,juzgado"</f>
        <v>Región de Los Lagos,violencia,mujer,abuso, sexual, sentencia,menor,juzgado</v>
      </c>
      <c r="S159" s="30" t="s">
        <v>432</v>
      </c>
      <c r="T159" s="31"/>
      <c r="U159" s="36" t="str">
        <f t="shared" si="120"/>
        <v>#1774B9</v>
      </c>
      <c r="V159" s="37" t="str">
        <f>+Agencia[[#This Row],[idcoleccion]]&amp;"-"&amp;Agencia[[#This Row],[id]]</f>
        <v>990-0149</v>
      </c>
      <c r="W159" s="38">
        <f>+VLOOKUP(Agencia[[#This Row],[Filtro URL]],Estructura!$X$4:$Y$366,2,0)</f>
        <v>99200010</v>
      </c>
      <c r="X159" s="35" t="str">
        <f>+VLOOKUP(Agencia[[#This Row],[tema]],Estructura!$A$4:$C$18,3,0)</f>
        <v>T-998</v>
      </c>
      <c r="Y159" s="35" t="str">
        <f>+VLOOKUP(Agencia[[#This Row],[contenido]],Estructura!$E$4:$G$18,3,0)</f>
        <v>C-997</v>
      </c>
      <c r="Z159" s="35" t="str">
        <f>+VLOOKUP(Agencia[[#This Row],[Filtro Integrado]],Estructura!$I$4:$K$18,3,0)</f>
        <v>FI-993</v>
      </c>
      <c r="AA159" s="35" t="str">
        <f>+VLOOKUP(Agencia[[#This Row],[Muestra]],Estructura!$M$4:$O$18,3,0)</f>
        <v>M-992</v>
      </c>
    </row>
    <row r="160" spans="1:27" ht="24" x14ac:dyDescent="0.3">
      <c r="A160" s="29" t="s">
        <v>596</v>
      </c>
      <c r="B160" s="39">
        <f t="shared" si="121"/>
        <v>990</v>
      </c>
      <c r="C160" s="40" t="str">
        <f t="shared" si="121"/>
        <v>Agencia Información</v>
      </c>
      <c r="D160" s="40" t="str">
        <f t="shared" si="105"/>
        <v>Mujeres</v>
      </c>
      <c r="E160" s="27">
        <v>11</v>
      </c>
      <c r="F160" s="15" t="str">
        <f t="shared" si="111"/>
        <v>Sentencias por delitos de abuso sexual</v>
      </c>
      <c r="G160" s="15" t="str">
        <f t="shared" si="112"/>
        <v>Abuso sexual</v>
      </c>
      <c r="H160" s="61" t="s">
        <v>16</v>
      </c>
      <c r="I160" s="62" t="s">
        <v>380</v>
      </c>
      <c r="J160" s="14" t="str">
        <f t="shared" si="113"/>
        <v>Ninguno</v>
      </c>
      <c r="K160" s="14" t="str">
        <f t="shared" si="114"/>
        <v>Región</v>
      </c>
      <c r="L160" s="14" t="str">
        <f t="shared" si="115"/>
        <v>Periodo 2013-2019</v>
      </c>
      <c r="M160" s="14" t="str">
        <f t="shared" si="116"/>
        <v>Número de Sentencias</v>
      </c>
      <c r="N160" s="14" t="str">
        <f t="shared" si="117"/>
        <v>Poder Judicial</v>
      </c>
      <c r="O160" s="28" t="str">
        <f>"Sentencias Dictadas por delitos de Abuso Sexual en la "&amp;Agencia[[#This Row],[territorio]]&amp;" para el "&amp;Agencia[[#This Row],[temporalidad]]</f>
        <v>Sentencias Dictadas por delitos de Abuso Sexual en la Región de Aysén para el Periodo 2013-2019</v>
      </c>
      <c r="P160" s="28"/>
      <c r="Q160" s="17" t="str">
        <f t="shared" si="119"/>
        <v>Gráfico</v>
      </c>
      <c r="R160" s="28" t="str">
        <f>Agencia[[#This Row],[territorio]]&amp;",violencia,mujer,abuso, sexual, sentencia,menor,juzgado"</f>
        <v>Región de Aysén,violencia,mujer,abuso, sexual, sentencia,menor,juzgado</v>
      </c>
      <c r="S160" s="30" t="s">
        <v>432</v>
      </c>
      <c r="T160" s="31"/>
      <c r="U160" s="36" t="str">
        <f t="shared" si="120"/>
        <v>#1774B9</v>
      </c>
      <c r="V160" s="37" t="str">
        <f>+Agencia[[#This Row],[idcoleccion]]&amp;"-"&amp;Agencia[[#This Row],[id]]</f>
        <v>990-0150</v>
      </c>
      <c r="W160" s="38">
        <f>+VLOOKUP(Agencia[[#This Row],[Filtro URL]],Estructura!$X$4:$Y$366,2,0)</f>
        <v>99200011</v>
      </c>
      <c r="X160" s="35" t="str">
        <f>+VLOOKUP(Agencia[[#This Row],[tema]],Estructura!$A$4:$C$18,3,0)</f>
        <v>T-998</v>
      </c>
      <c r="Y160" s="35" t="str">
        <f>+VLOOKUP(Agencia[[#This Row],[contenido]],Estructura!$E$4:$G$18,3,0)</f>
        <v>C-997</v>
      </c>
      <c r="Z160" s="35" t="str">
        <f>+VLOOKUP(Agencia[[#This Row],[Filtro Integrado]],Estructura!$I$4:$K$18,3,0)</f>
        <v>FI-993</v>
      </c>
      <c r="AA160" s="35" t="str">
        <f>+VLOOKUP(Agencia[[#This Row],[Muestra]],Estructura!$M$4:$O$18,3,0)</f>
        <v>M-992</v>
      </c>
    </row>
    <row r="161" spans="1:27" ht="24" x14ac:dyDescent="0.3">
      <c r="A161" s="29" t="s">
        <v>597</v>
      </c>
      <c r="B161" s="39">
        <f t="shared" si="121"/>
        <v>990</v>
      </c>
      <c r="C161" s="40" t="str">
        <f t="shared" si="121"/>
        <v>Agencia Información</v>
      </c>
      <c r="D161" s="40" t="str">
        <f t="shared" si="105"/>
        <v>Mujeres</v>
      </c>
      <c r="E161" s="27">
        <v>12</v>
      </c>
      <c r="F161" s="15" t="str">
        <f t="shared" si="111"/>
        <v>Sentencias por delitos de abuso sexual</v>
      </c>
      <c r="G161" s="15" t="str">
        <f t="shared" si="112"/>
        <v>Abuso sexual</v>
      </c>
      <c r="H161" s="61" t="s">
        <v>16</v>
      </c>
      <c r="I161" s="62" t="s">
        <v>381</v>
      </c>
      <c r="J161" s="14" t="str">
        <f t="shared" si="113"/>
        <v>Ninguno</v>
      </c>
      <c r="K161" s="14" t="str">
        <f t="shared" si="114"/>
        <v>Región</v>
      </c>
      <c r="L161" s="14" t="str">
        <f t="shared" si="115"/>
        <v>Periodo 2013-2019</v>
      </c>
      <c r="M161" s="14" t="str">
        <f t="shared" si="116"/>
        <v>Número de Sentencias</v>
      </c>
      <c r="N161" s="14" t="str">
        <f t="shared" si="117"/>
        <v>Poder Judicial</v>
      </c>
      <c r="O161" s="28" t="str">
        <f>"Sentencias Dictadas por delitos de Abuso Sexual en la "&amp;Agencia[[#This Row],[territorio]]&amp;" para el "&amp;Agencia[[#This Row],[temporalidad]]</f>
        <v>Sentencias Dictadas por delitos de Abuso Sexual en la Región de Magallanes para el Periodo 2013-2019</v>
      </c>
      <c r="P161" s="28"/>
      <c r="Q161" s="17" t="str">
        <f t="shared" si="119"/>
        <v>Gráfico</v>
      </c>
      <c r="R161" s="28" t="str">
        <f>Agencia[[#This Row],[territorio]]&amp;",violencia,mujer,abuso, sexual, sentencia,menor,juzgado"</f>
        <v>Región de Magallanes,violencia,mujer,abuso, sexual, sentencia,menor,juzgado</v>
      </c>
      <c r="S161" s="30" t="s">
        <v>432</v>
      </c>
      <c r="T161" s="31"/>
      <c r="U161" s="36" t="str">
        <f t="shared" si="120"/>
        <v>#1774B9</v>
      </c>
      <c r="V161" s="37" t="str">
        <f>+Agencia[[#This Row],[idcoleccion]]&amp;"-"&amp;Agencia[[#This Row],[id]]</f>
        <v>990-0151</v>
      </c>
      <c r="W161" s="38">
        <f>+VLOOKUP(Agencia[[#This Row],[Filtro URL]],Estructura!$X$4:$Y$366,2,0)</f>
        <v>99200012</v>
      </c>
      <c r="X161" s="35" t="str">
        <f>+VLOOKUP(Agencia[[#This Row],[tema]],Estructura!$A$4:$C$18,3,0)</f>
        <v>T-998</v>
      </c>
      <c r="Y161" s="35" t="str">
        <f>+VLOOKUP(Agencia[[#This Row],[contenido]],Estructura!$E$4:$G$18,3,0)</f>
        <v>C-997</v>
      </c>
      <c r="Z161" s="35" t="str">
        <f>+VLOOKUP(Agencia[[#This Row],[Filtro Integrado]],Estructura!$I$4:$K$18,3,0)</f>
        <v>FI-993</v>
      </c>
      <c r="AA161" s="35" t="str">
        <f>+VLOOKUP(Agencia[[#This Row],[Muestra]],Estructura!$M$4:$O$18,3,0)</f>
        <v>M-992</v>
      </c>
    </row>
    <row r="162" spans="1:27" ht="51" x14ac:dyDescent="0.3">
      <c r="A162" s="29" t="s">
        <v>598</v>
      </c>
      <c r="B162" s="39">
        <f t="shared" si="121"/>
        <v>990</v>
      </c>
      <c r="C162" s="40" t="str">
        <f t="shared" si="121"/>
        <v>Agencia Información</v>
      </c>
      <c r="D162" s="40" t="str">
        <f t="shared" si="105"/>
        <v>Mujeres</v>
      </c>
      <c r="E162" s="27">
        <v>13</v>
      </c>
      <c r="F162" s="15" t="str">
        <f t="shared" si="111"/>
        <v>Sentencias por delitos de abuso sexual</v>
      </c>
      <c r="G162" s="15" t="str">
        <f t="shared" si="112"/>
        <v>Abuso sexual</v>
      </c>
      <c r="H162" s="61" t="s">
        <v>16</v>
      </c>
      <c r="I162" s="62" t="s">
        <v>382</v>
      </c>
      <c r="J162" s="14" t="str">
        <f t="shared" si="113"/>
        <v>Ninguno</v>
      </c>
      <c r="K162" s="14" t="str">
        <f t="shared" si="114"/>
        <v>Región</v>
      </c>
      <c r="L162" s="14" t="str">
        <f t="shared" si="115"/>
        <v>Periodo 2013-2019</v>
      </c>
      <c r="M162" s="14" t="str">
        <f t="shared" si="116"/>
        <v>Número de Sentencias</v>
      </c>
      <c r="N162" s="14" t="str">
        <f t="shared" si="117"/>
        <v>Poder Judicial</v>
      </c>
      <c r="O162" s="28" t="str">
        <f>"Sentencias Dictadas por delitos de Abuso Sexual en la "&amp;Agencia[[#This Row],[territorio]]&amp;" para el "&amp;Agencia[[#This Row],[temporalidad]]</f>
        <v>Sentencias Dictadas por delitos de Abuso Sexual en la Región Metropolitana para el Periodo 2013-2019</v>
      </c>
      <c r="P162" s="28" t="s">
        <v>651</v>
      </c>
      <c r="Q162" s="17" t="str">
        <f t="shared" si="119"/>
        <v>Gráfico</v>
      </c>
      <c r="R162" s="28" t="str">
        <f>Agencia[[#This Row],[territorio]]&amp;",violencia,mujer,abuso, sexual, sentencia,menor,juzgado"</f>
        <v>Región Metropolitana,violencia,mujer,abuso, sexual, sentencia,menor,juzgado</v>
      </c>
      <c r="S162" s="48" t="s">
        <v>652</v>
      </c>
      <c r="T162" s="31"/>
      <c r="U162" s="36" t="str">
        <f t="shared" si="120"/>
        <v>#1774B9</v>
      </c>
      <c r="V162" s="37" t="str">
        <f>+Agencia[[#This Row],[idcoleccion]]&amp;"-"&amp;Agencia[[#This Row],[id]]</f>
        <v>990-0152</v>
      </c>
      <c r="W162" s="38">
        <f>+VLOOKUP(Agencia[[#This Row],[Filtro URL]],Estructura!$X$4:$Y$366,2,0)</f>
        <v>99200013</v>
      </c>
      <c r="X162" s="35" t="str">
        <f>+VLOOKUP(Agencia[[#This Row],[tema]],Estructura!$A$4:$C$18,3,0)</f>
        <v>T-998</v>
      </c>
      <c r="Y162" s="35" t="str">
        <f>+VLOOKUP(Agencia[[#This Row],[contenido]],Estructura!$E$4:$G$18,3,0)</f>
        <v>C-997</v>
      </c>
      <c r="Z162" s="35" t="str">
        <f>+VLOOKUP(Agencia[[#This Row],[Filtro Integrado]],Estructura!$I$4:$K$18,3,0)</f>
        <v>FI-993</v>
      </c>
      <c r="AA162" s="35" t="str">
        <f>+VLOOKUP(Agencia[[#This Row],[Muestra]],Estructura!$M$4:$O$18,3,0)</f>
        <v>M-992</v>
      </c>
    </row>
    <row r="163" spans="1:27" ht="24" x14ac:dyDescent="0.3">
      <c r="A163" s="29" t="s">
        <v>599</v>
      </c>
      <c r="B163" s="39">
        <f t="shared" ref="B163:D178" si="122">+B162</f>
        <v>990</v>
      </c>
      <c r="C163" s="40" t="str">
        <f t="shared" si="122"/>
        <v>Agencia Información</v>
      </c>
      <c r="D163" s="40" t="str">
        <f t="shared" si="105"/>
        <v>Mujeres</v>
      </c>
      <c r="E163" s="27">
        <v>14</v>
      </c>
      <c r="F163" s="15" t="str">
        <f t="shared" si="111"/>
        <v>Sentencias por delitos de abuso sexual</v>
      </c>
      <c r="G163" s="15" t="str">
        <f t="shared" si="112"/>
        <v>Abuso sexual</v>
      </c>
      <c r="H163" s="61" t="s">
        <v>16</v>
      </c>
      <c r="I163" s="62" t="s">
        <v>383</v>
      </c>
      <c r="J163" s="14" t="str">
        <f t="shared" si="113"/>
        <v>Ninguno</v>
      </c>
      <c r="K163" s="14" t="str">
        <f t="shared" si="114"/>
        <v>Región</v>
      </c>
      <c r="L163" s="14" t="str">
        <f t="shared" si="115"/>
        <v>Periodo 2013-2019</v>
      </c>
      <c r="M163" s="14" t="str">
        <f t="shared" si="116"/>
        <v>Número de Sentencias</v>
      </c>
      <c r="N163" s="14" t="str">
        <f t="shared" si="117"/>
        <v>Poder Judicial</v>
      </c>
      <c r="O163" s="28" t="str">
        <f>"Sentencias Dictadas por delitos de Abuso Sexual en la "&amp;Agencia[[#This Row],[territorio]]&amp;" para el "&amp;Agencia[[#This Row],[temporalidad]]</f>
        <v>Sentencias Dictadas por delitos de Abuso Sexual en la Región de Los Ríos para el Periodo 2013-2019</v>
      </c>
      <c r="P163" s="28"/>
      <c r="Q163" s="17" t="str">
        <f t="shared" si="119"/>
        <v>Gráfico</v>
      </c>
      <c r="R163" s="28" t="str">
        <f>Agencia[[#This Row],[territorio]]&amp;",violencia,mujer,abuso, sexual, sentencia,menor,juzgado"</f>
        <v>Región de Los Ríos,violencia,mujer,abuso, sexual, sentencia,menor,juzgado</v>
      </c>
      <c r="S163" s="30" t="s">
        <v>432</v>
      </c>
      <c r="T163" s="31"/>
      <c r="U163" s="36" t="str">
        <f t="shared" si="120"/>
        <v>#1774B9</v>
      </c>
      <c r="V163" s="37" t="str">
        <f>+Agencia[[#This Row],[idcoleccion]]&amp;"-"&amp;Agencia[[#This Row],[id]]</f>
        <v>990-0153</v>
      </c>
      <c r="W163" s="38">
        <f>+VLOOKUP(Agencia[[#This Row],[Filtro URL]],Estructura!$X$4:$Y$366,2,0)</f>
        <v>99200014</v>
      </c>
      <c r="X163" s="35" t="str">
        <f>+VLOOKUP(Agencia[[#This Row],[tema]],Estructura!$A$4:$C$18,3,0)</f>
        <v>T-998</v>
      </c>
      <c r="Y163" s="35" t="str">
        <f>+VLOOKUP(Agencia[[#This Row],[contenido]],Estructura!$E$4:$G$18,3,0)</f>
        <v>C-997</v>
      </c>
      <c r="Z163" s="35" t="str">
        <f>+VLOOKUP(Agencia[[#This Row],[Filtro Integrado]],Estructura!$I$4:$K$18,3,0)</f>
        <v>FI-993</v>
      </c>
      <c r="AA163" s="35" t="str">
        <f>+VLOOKUP(Agencia[[#This Row],[Muestra]],Estructura!$M$4:$O$18,3,0)</f>
        <v>M-992</v>
      </c>
    </row>
    <row r="164" spans="1:27" ht="30.6" x14ac:dyDescent="0.3">
      <c r="A164" s="29" t="s">
        <v>600</v>
      </c>
      <c r="B164" s="39">
        <f t="shared" si="122"/>
        <v>990</v>
      </c>
      <c r="C164" s="40" t="str">
        <f t="shared" si="122"/>
        <v>Agencia Información</v>
      </c>
      <c r="D164" s="40" t="str">
        <f t="shared" si="105"/>
        <v>Mujeres</v>
      </c>
      <c r="E164" s="27">
        <v>15</v>
      </c>
      <c r="F164" s="15" t="str">
        <f t="shared" si="111"/>
        <v>Sentencias por delitos de abuso sexual</v>
      </c>
      <c r="G164" s="15" t="str">
        <f t="shared" si="112"/>
        <v>Abuso sexual</v>
      </c>
      <c r="H164" s="61" t="s">
        <v>16</v>
      </c>
      <c r="I164" s="62" t="s">
        <v>384</v>
      </c>
      <c r="J164" s="14" t="str">
        <f t="shared" si="113"/>
        <v>Ninguno</v>
      </c>
      <c r="K164" s="14" t="str">
        <f t="shared" si="114"/>
        <v>Región</v>
      </c>
      <c r="L164" s="14" t="str">
        <f t="shared" si="115"/>
        <v>Periodo 2013-2019</v>
      </c>
      <c r="M164" s="14" t="str">
        <f t="shared" si="116"/>
        <v>Número de Sentencias</v>
      </c>
      <c r="N164" s="14" t="str">
        <f t="shared" si="117"/>
        <v>Poder Judicial</v>
      </c>
      <c r="O164" s="28" t="str">
        <f>"Sentencias Dictadas por delitos de Abuso Sexual en la "&amp;Agencia[[#This Row],[territorio]]&amp;" para el "&amp;Agencia[[#This Row],[temporalidad]]</f>
        <v>Sentencias Dictadas por delitos de Abuso Sexual en la Región de Arica y Parinacota para el Periodo 2013-2019</v>
      </c>
      <c r="P164" s="28"/>
      <c r="Q164" s="17" t="str">
        <f t="shared" si="119"/>
        <v>Gráfico</v>
      </c>
      <c r="R164" s="28" t="str">
        <f>Agencia[[#This Row],[territorio]]&amp;",violencia,mujer,abuso, sexual, sentencia,menor,juzgado"</f>
        <v>Región de Arica y Parinacota,violencia,mujer,abuso, sexual, sentencia,menor,juzgado</v>
      </c>
      <c r="S164" s="30" t="s">
        <v>432</v>
      </c>
      <c r="T164" s="31"/>
      <c r="U164" s="36" t="str">
        <f t="shared" si="120"/>
        <v>#1774B9</v>
      </c>
      <c r="V164" s="37" t="str">
        <f>+Agencia[[#This Row],[idcoleccion]]&amp;"-"&amp;Agencia[[#This Row],[id]]</f>
        <v>990-0154</v>
      </c>
      <c r="W164" s="38">
        <f>+VLOOKUP(Agencia[[#This Row],[Filtro URL]],Estructura!$X$4:$Y$366,2,0)</f>
        <v>99200015</v>
      </c>
      <c r="X164" s="35" t="str">
        <f>+VLOOKUP(Agencia[[#This Row],[tema]],Estructura!$A$4:$C$18,3,0)</f>
        <v>T-998</v>
      </c>
      <c r="Y164" s="35" t="str">
        <f>+VLOOKUP(Agencia[[#This Row],[contenido]],Estructura!$E$4:$G$18,3,0)</f>
        <v>C-997</v>
      </c>
      <c r="Z164" s="35" t="str">
        <f>+VLOOKUP(Agencia[[#This Row],[Filtro Integrado]],Estructura!$I$4:$K$18,3,0)</f>
        <v>FI-993</v>
      </c>
      <c r="AA164" s="35" t="str">
        <f>+VLOOKUP(Agencia[[#This Row],[Muestra]],Estructura!$M$4:$O$18,3,0)</f>
        <v>M-992</v>
      </c>
    </row>
    <row r="165" spans="1:27" ht="24" x14ac:dyDescent="0.3">
      <c r="A165" s="29" t="s">
        <v>601</v>
      </c>
      <c r="B165" s="39">
        <f t="shared" si="122"/>
        <v>990</v>
      </c>
      <c r="C165" s="40" t="str">
        <f t="shared" si="122"/>
        <v>Agencia Información</v>
      </c>
      <c r="D165" s="40" t="str">
        <f t="shared" si="105"/>
        <v>Mujeres</v>
      </c>
      <c r="E165" s="27">
        <v>16</v>
      </c>
      <c r="F165" s="15" t="str">
        <f t="shared" si="111"/>
        <v>Sentencias por delitos de abuso sexual</v>
      </c>
      <c r="G165" s="15" t="str">
        <f t="shared" si="112"/>
        <v>Abuso sexual</v>
      </c>
      <c r="H165" s="61" t="s">
        <v>16</v>
      </c>
      <c r="I165" s="62" t="s">
        <v>385</v>
      </c>
      <c r="J165" s="14" t="str">
        <f t="shared" si="113"/>
        <v>Ninguno</v>
      </c>
      <c r="K165" s="14" t="str">
        <f t="shared" si="114"/>
        <v>Región</v>
      </c>
      <c r="L165" s="14" t="str">
        <f t="shared" si="115"/>
        <v>Periodo 2013-2019</v>
      </c>
      <c r="M165" s="14" t="str">
        <f t="shared" si="116"/>
        <v>Número de Sentencias</v>
      </c>
      <c r="N165" s="14" t="str">
        <f t="shared" si="117"/>
        <v>Poder Judicial</v>
      </c>
      <c r="O165" s="28" t="str">
        <f>"Sentencias Dictadas por delitos de Abuso Sexual en la "&amp;Agencia[[#This Row],[territorio]]&amp;" para el "&amp;Agencia[[#This Row],[temporalidad]]</f>
        <v>Sentencias Dictadas por delitos de Abuso Sexual en la Región de Ñuble para el Periodo 2013-2019</v>
      </c>
      <c r="P165" s="28"/>
      <c r="Q165" s="17" t="str">
        <f t="shared" si="119"/>
        <v>Gráfico</v>
      </c>
      <c r="R165" s="28" t="str">
        <f>Agencia[[#This Row],[territorio]]&amp;",violencia,mujer,abuso, sexual, sentencia,menor,juzgado"</f>
        <v>Región de Ñuble,violencia,mujer,abuso, sexual, sentencia,menor,juzgado</v>
      </c>
      <c r="S165" s="30" t="s">
        <v>432</v>
      </c>
      <c r="T165" s="31"/>
      <c r="U165" s="36" t="str">
        <f t="shared" si="120"/>
        <v>#1774B9</v>
      </c>
      <c r="V165" s="37" t="str">
        <f>+Agencia[[#This Row],[idcoleccion]]&amp;"-"&amp;Agencia[[#This Row],[id]]</f>
        <v>990-0155</v>
      </c>
      <c r="W165" s="38">
        <f>+VLOOKUP(Agencia[[#This Row],[Filtro URL]],Estructura!$X$4:$Y$366,2,0)</f>
        <v>99200016</v>
      </c>
      <c r="X165" s="35" t="str">
        <f>+VLOOKUP(Agencia[[#This Row],[tema]],Estructura!$A$4:$C$18,3,0)</f>
        <v>T-998</v>
      </c>
      <c r="Y165" s="35" t="str">
        <f>+VLOOKUP(Agencia[[#This Row],[contenido]],Estructura!$E$4:$G$18,3,0)</f>
        <v>C-997</v>
      </c>
      <c r="Z165" s="35" t="str">
        <f>+VLOOKUP(Agencia[[#This Row],[Filtro Integrado]],Estructura!$I$4:$K$18,3,0)</f>
        <v>FI-993</v>
      </c>
      <c r="AA165" s="35" t="str">
        <f>+VLOOKUP(Agencia[[#This Row],[Muestra]],Estructura!$M$4:$O$18,3,0)</f>
        <v>M-992</v>
      </c>
    </row>
    <row r="166" spans="1:27" ht="24" x14ac:dyDescent="0.3">
      <c r="A166" s="26" t="s">
        <v>602</v>
      </c>
      <c r="B166" s="39">
        <f t="shared" si="122"/>
        <v>990</v>
      </c>
      <c r="C166" s="40" t="str">
        <f t="shared" si="122"/>
        <v>Agencia Información</v>
      </c>
      <c r="D166" s="40" t="str">
        <f t="shared" si="105"/>
        <v>Mujeres</v>
      </c>
      <c r="E166" s="21">
        <v>0</v>
      </c>
      <c r="F166" s="15" t="str">
        <f t="shared" si="111"/>
        <v>Sentencias por delitos de abuso sexual</v>
      </c>
      <c r="G166" s="15" t="str">
        <f t="shared" si="112"/>
        <v>Abuso sexual</v>
      </c>
      <c r="H166" s="59" t="s">
        <v>20</v>
      </c>
      <c r="I166" s="60" t="s">
        <v>15</v>
      </c>
      <c r="J166" s="14" t="s">
        <v>18</v>
      </c>
      <c r="K166" s="14" t="s">
        <v>18</v>
      </c>
      <c r="L166" s="14" t="str">
        <f t="shared" si="115"/>
        <v>Periodo 2013-2019</v>
      </c>
      <c r="M166" s="14" t="str">
        <f t="shared" si="116"/>
        <v>Número de Sentencias</v>
      </c>
      <c r="N166" s="14" t="str">
        <f t="shared" si="117"/>
        <v>Poder Judicial</v>
      </c>
      <c r="O166" s="28" t="str">
        <f>"Sentencias Dictadas por delitos de Abuso Sexual en la "&amp;Agencia[[#This Row],[territorio]]&amp;" para el "&amp;Agencia[[#This Row],[temporalidad]]</f>
        <v>Sentencias Dictadas por delitos de Abuso Sexual en la Chile para el Periodo 2013-2019</v>
      </c>
      <c r="P166" s="28"/>
      <c r="Q166" s="17" t="str">
        <f t="shared" si="119"/>
        <v>Gráfico</v>
      </c>
      <c r="R166" s="28" t="str">
        <f>Agencia[[#This Row],[territorio]]&amp;",violencia,mujer,abuso, sexual, sentencia,menor,juzgado"</f>
        <v>Chile,violencia,mujer,abuso, sexual, sentencia,menor,juzgado</v>
      </c>
      <c r="S166" s="30" t="s">
        <v>432</v>
      </c>
      <c r="T166" s="31"/>
      <c r="U166" s="36" t="str">
        <f t="shared" si="120"/>
        <v>#1774B9</v>
      </c>
      <c r="V166" s="37" t="str">
        <f>+Agencia[[#This Row],[idcoleccion]]&amp;"-"&amp;Agencia[[#This Row],[id]]</f>
        <v>990-0156</v>
      </c>
      <c r="W166" s="38">
        <f>+VLOOKUP(Agencia[[#This Row],[Filtro URL]],Estructura!$X$4:$Y$366,2,0)</f>
        <v>99100000</v>
      </c>
      <c r="X166" s="35" t="str">
        <f>+VLOOKUP(Agencia[[#This Row],[tema]],Estructura!$A$4:$C$18,3,0)</f>
        <v>T-998</v>
      </c>
      <c r="Y166" s="35" t="str">
        <f>+VLOOKUP(Agencia[[#This Row],[contenido]],Estructura!$E$4:$G$18,3,0)</f>
        <v>C-997</v>
      </c>
      <c r="Z166" s="35" t="str">
        <f>+VLOOKUP(Agencia[[#This Row],[Filtro Integrado]],Estructura!$I$4:$K$18,3,0)</f>
        <v>FI-991</v>
      </c>
      <c r="AA166" s="35" t="str">
        <f>+VLOOKUP(Agencia[[#This Row],[Muestra]],Estructura!$M$4:$O$18,3,0)</f>
        <v>M-991</v>
      </c>
    </row>
    <row r="167" spans="1:27" ht="24" x14ac:dyDescent="0.3">
      <c r="A167" s="29" t="s">
        <v>603</v>
      </c>
      <c r="B167" s="39">
        <f t="shared" si="122"/>
        <v>990</v>
      </c>
      <c r="C167" s="40" t="str">
        <f t="shared" si="122"/>
        <v>Agencia Información</v>
      </c>
      <c r="D167" s="40" t="str">
        <f t="shared" si="105"/>
        <v>Mujeres</v>
      </c>
      <c r="E167" s="27">
        <v>1</v>
      </c>
      <c r="F167" s="15" t="str">
        <f t="shared" si="111"/>
        <v>Sentencias por delitos de abuso sexual</v>
      </c>
      <c r="G167" s="15" t="str">
        <f t="shared" si="112"/>
        <v>Abuso sexual</v>
      </c>
      <c r="H167" s="61" t="s">
        <v>16</v>
      </c>
      <c r="I167" s="62" t="s">
        <v>370</v>
      </c>
      <c r="J167" s="14" t="str">
        <f t="shared" si="113"/>
        <v>Comuna</v>
      </c>
      <c r="K167" s="14" t="str">
        <f t="shared" si="114"/>
        <v>Comuna</v>
      </c>
      <c r="L167" s="14" t="str">
        <f t="shared" si="115"/>
        <v>Periodo 2013-2019</v>
      </c>
      <c r="M167" s="14" t="str">
        <f t="shared" si="116"/>
        <v>Número de Sentencias</v>
      </c>
      <c r="N167" s="14" t="str">
        <f t="shared" si="117"/>
        <v>Poder Judicial</v>
      </c>
      <c r="O167" s="28" t="str">
        <f>"Sentencias Dictadas por delitos de Abuso Sexual en la "&amp;Agencia[[#This Row],[territorio]]&amp;" para el "&amp;Agencia[[#This Row],[temporalidad]]</f>
        <v>Sentencias Dictadas por delitos de Abuso Sexual en la Región de Tarapacá para el Periodo 2013-2019</v>
      </c>
      <c r="P167" s="28"/>
      <c r="Q167" s="17" t="str">
        <f t="shared" si="119"/>
        <v>Gráfico</v>
      </c>
      <c r="R167" s="28" t="str">
        <f>Agencia[[#This Row],[territorio]]&amp;",violencia,mujer,abuso, sexual, sentencia,menor,juzgado"</f>
        <v>Región de Tarapacá,violencia,mujer,abuso, sexual, sentencia,menor,juzgado</v>
      </c>
      <c r="S167" s="30" t="s">
        <v>432</v>
      </c>
      <c r="T167" s="31"/>
      <c r="U167" s="36" t="str">
        <f t="shared" si="120"/>
        <v>#1774B9</v>
      </c>
      <c r="V167" s="37" t="str">
        <f>+Agencia[[#This Row],[idcoleccion]]&amp;"-"&amp;Agencia[[#This Row],[id]]</f>
        <v>990-0157</v>
      </c>
      <c r="W167" s="38">
        <f>+VLOOKUP(Agencia[[#This Row],[Filtro URL]],Estructura!$X$4:$Y$366,2,0)</f>
        <v>99200001</v>
      </c>
      <c r="X167" s="35" t="str">
        <f>+VLOOKUP(Agencia[[#This Row],[tema]],Estructura!$A$4:$C$18,3,0)</f>
        <v>T-998</v>
      </c>
      <c r="Y167" s="35" t="str">
        <f>+VLOOKUP(Agencia[[#This Row],[contenido]],Estructura!$E$4:$G$18,3,0)</f>
        <v>C-997</v>
      </c>
      <c r="Z167" s="35" t="str">
        <f>+VLOOKUP(Agencia[[#This Row],[Filtro Integrado]],Estructura!$I$4:$K$18,3,0)</f>
        <v>FI-991</v>
      </c>
      <c r="AA167" s="35" t="str">
        <f>+VLOOKUP(Agencia[[#This Row],[Muestra]],Estructura!$M$4:$O$18,3,0)</f>
        <v>M-991</v>
      </c>
    </row>
    <row r="168" spans="1:27" ht="24" x14ac:dyDescent="0.3">
      <c r="A168" s="29" t="s">
        <v>604</v>
      </c>
      <c r="B168" s="39">
        <f t="shared" si="122"/>
        <v>990</v>
      </c>
      <c r="C168" s="40" t="str">
        <f t="shared" si="122"/>
        <v>Agencia Información</v>
      </c>
      <c r="D168" s="40" t="str">
        <f t="shared" si="105"/>
        <v>Mujeres</v>
      </c>
      <c r="E168" s="27">
        <v>2</v>
      </c>
      <c r="F168" s="15" t="str">
        <f t="shared" si="111"/>
        <v>Sentencias por delitos de abuso sexual</v>
      </c>
      <c r="G168" s="15" t="str">
        <f t="shared" si="112"/>
        <v>Abuso sexual</v>
      </c>
      <c r="H168" s="61" t="s">
        <v>16</v>
      </c>
      <c r="I168" s="62" t="s">
        <v>371</v>
      </c>
      <c r="J168" s="14" t="str">
        <f t="shared" si="113"/>
        <v>Comuna</v>
      </c>
      <c r="K168" s="14" t="str">
        <f t="shared" si="114"/>
        <v>Comuna</v>
      </c>
      <c r="L168" s="14" t="str">
        <f t="shared" si="115"/>
        <v>Periodo 2013-2019</v>
      </c>
      <c r="M168" s="14" t="str">
        <f t="shared" si="116"/>
        <v>Número de Sentencias</v>
      </c>
      <c r="N168" s="14" t="str">
        <f t="shared" si="117"/>
        <v>Poder Judicial</v>
      </c>
      <c r="O168" s="28" t="str">
        <f>"Sentencias Dictadas por delitos de Abuso Sexual en la "&amp;Agencia[[#This Row],[territorio]]&amp;" para el "&amp;Agencia[[#This Row],[temporalidad]]</f>
        <v>Sentencias Dictadas por delitos de Abuso Sexual en la Región de Antofagasta para el Periodo 2013-2019</v>
      </c>
      <c r="P168" s="28"/>
      <c r="Q168" s="17" t="str">
        <f t="shared" si="119"/>
        <v>Gráfico</v>
      </c>
      <c r="R168" s="28" t="str">
        <f>Agencia[[#This Row],[territorio]]&amp;",violencia,mujer,abuso, sexual, sentencia,menor,juzgado"</f>
        <v>Región de Antofagasta,violencia,mujer,abuso, sexual, sentencia,menor,juzgado</v>
      </c>
      <c r="S168" s="30" t="s">
        <v>432</v>
      </c>
      <c r="T168" s="31"/>
      <c r="U168" s="36" t="str">
        <f t="shared" si="120"/>
        <v>#1774B9</v>
      </c>
      <c r="V168" s="37" t="str">
        <f>+Agencia[[#This Row],[idcoleccion]]&amp;"-"&amp;Agencia[[#This Row],[id]]</f>
        <v>990-0158</v>
      </c>
      <c r="W168" s="38">
        <f>+VLOOKUP(Agencia[[#This Row],[Filtro URL]],Estructura!$X$4:$Y$366,2,0)</f>
        <v>99200002</v>
      </c>
      <c r="X168" s="35" t="str">
        <f>+VLOOKUP(Agencia[[#This Row],[tema]],Estructura!$A$4:$C$18,3,0)</f>
        <v>T-998</v>
      </c>
      <c r="Y168" s="35" t="str">
        <f>+VLOOKUP(Agencia[[#This Row],[contenido]],Estructura!$E$4:$G$18,3,0)</f>
        <v>C-997</v>
      </c>
      <c r="Z168" s="35" t="str">
        <f>+VLOOKUP(Agencia[[#This Row],[Filtro Integrado]],Estructura!$I$4:$K$18,3,0)</f>
        <v>FI-991</v>
      </c>
      <c r="AA168" s="35" t="str">
        <f>+VLOOKUP(Agencia[[#This Row],[Muestra]],Estructura!$M$4:$O$18,3,0)</f>
        <v>M-991</v>
      </c>
    </row>
    <row r="169" spans="1:27" ht="24" x14ac:dyDescent="0.3">
      <c r="A169" s="29" t="s">
        <v>605</v>
      </c>
      <c r="B169" s="39">
        <f t="shared" si="122"/>
        <v>990</v>
      </c>
      <c r="C169" s="40" t="str">
        <f t="shared" si="122"/>
        <v>Agencia Información</v>
      </c>
      <c r="D169" s="40" t="str">
        <f t="shared" si="105"/>
        <v>Mujeres</v>
      </c>
      <c r="E169" s="27">
        <v>3</v>
      </c>
      <c r="F169" s="15" t="str">
        <f t="shared" si="111"/>
        <v>Sentencias por delitos de abuso sexual</v>
      </c>
      <c r="G169" s="15" t="str">
        <f t="shared" si="112"/>
        <v>Abuso sexual</v>
      </c>
      <c r="H169" s="61" t="s">
        <v>16</v>
      </c>
      <c r="I169" s="62" t="s">
        <v>372</v>
      </c>
      <c r="J169" s="14" t="str">
        <f t="shared" si="113"/>
        <v>Comuna</v>
      </c>
      <c r="K169" s="14" t="str">
        <f t="shared" si="114"/>
        <v>Comuna</v>
      </c>
      <c r="L169" s="14" t="str">
        <f t="shared" si="115"/>
        <v>Periodo 2013-2019</v>
      </c>
      <c r="M169" s="14" t="str">
        <f t="shared" si="116"/>
        <v>Número de Sentencias</v>
      </c>
      <c r="N169" s="14" t="str">
        <f t="shared" si="117"/>
        <v>Poder Judicial</v>
      </c>
      <c r="O169" s="28" t="str">
        <f>"Sentencias Dictadas por delitos de Abuso Sexual en la "&amp;Agencia[[#This Row],[territorio]]&amp;" para el "&amp;Agencia[[#This Row],[temporalidad]]</f>
        <v>Sentencias Dictadas por delitos de Abuso Sexual en la Región de Atacama para el Periodo 2013-2019</v>
      </c>
      <c r="P169" s="28"/>
      <c r="Q169" s="17" t="str">
        <f t="shared" si="119"/>
        <v>Gráfico</v>
      </c>
      <c r="R169" s="28" t="str">
        <f>Agencia[[#This Row],[territorio]]&amp;",violencia,mujer,abuso, sexual, sentencia,menor,juzgado"</f>
        <v>Región de Atacama,violencia,mujer,abuso, sexual, sentencia,menor,juzgado</v>
      </c>
      <c r="S169" s="30" t="s">
        <v>432</v>
      </c>
      <c r="T169" s="31"/>
      <c r="U169" s="36" t="str">
        <f t="shared" si="120"/>
        <v>#1774B9</v>
      </c>
      <c r="V169" s="37" t="str">
        <f>+Agencia[[#This Row],[idcoleccion]]&amp;"-"&amp;Agencia[[#This Row],[id]]</f>
        <v>990-0159</v>
      </c>
      <c r="W169" s="38">
        <f>+VLOOKUP(Agencia[[#This Row],[Filtro URL]],Estructura!$X$4:$Y$366,2,0)</f>
        <v>99200003</v>
      </c>
      <c r="X169" s="35" t="str">
        <f>+VLOOKUP(Agencia[[#This Row],[tema]],Estructura!$A$4:$C$18,3,0)</f>
        <v>T-998</v>
      </c>
      <c r="Y169" s="35" t="str">
        <f>+VLOOKUP(Agencia[[#This Row],[contenido]],Estructura!$E$4:$G$18,3,0)</f>
        <v>C-997</v>
      </c>
      <c r="Z169" s="35" t="str">
        <f>+VLOOKUP(Agencia[[#This Row],[Filtro Integrado]],Estructura!$I$4:$K$18,3,0)</f>
        <v>FI-991</v>
      </c>
      <c r="AA169" s="35" t="str">
        <f>+VLOOKUP(Agencia[[#This Row],[Muestra]],Estructura!$M$4:$O$18,3,0)</f>
        <v>M-991</v>
      </c>
    </row>
    <row r="170" spans="1:27" ht="24" x14ac:dyDescent="0.3">
      <c r="A170" s="29" t="s">
        <v>606</v>
      </c>
      <c r="B170" s="39">
        <f t="shared" si="122"/>
        <v>990</v>
      </c>
      <c r="C170" s="40" t="str">
        <f t="shared" si="122"/>
        <v>Agencia Información</v>
      </c>
      <c r="D170" s="40" t="str">
        <f t="shared" si="105"/>
        <v>Mujeres</v>
      </c>
      <c r="E170" s="27">
        <v>4</v>
      </c>
      <c r="F170" s="15" t="str">
        <f t="shared" si="111"/>
        <v>Sentencias por delitos de abuso sexual</v>
      </c>
      <c r="G170" s="15" t="str">
        <f t="shared" si="112"/>
        <v>Abuso sexual</v>
      </c>
      <c r="H170" s="61" t="s">
        <v>16</v>
      </c>
      <c r="I170" s="62" t="s">
        <v>373</v>
      </c>
      <c r="J170" s="14" t="str">
        <f t="shared" si="113"/>
        <v>Comuna</v>
      </c>
      <c r="K170" s="14" t="str">
        <f t="shared" si="114"/>
        <v>Comuna</v>
      </c>
      <c r="L170" s="14" t="str">
        <f t="shared" si="115"/>
        <v>Periodo 2013-2019</v>
      </c>
      <c r="M170" s="14" t="str">
        <f t="shared" si="116"/>
        <v>Número de Sentencias</v>
      </c>
      <c r="N170" s="14" t="str">
        <f t="shared" si="117"/>
        <v>Poder Judicial</v>
      </c>
      <c r="O170" s="28" t="str">
        <f>"Sentencias Dictadas por delitos de Abuso Sexual en la "&amp;Agencia[[#This Row],[territorio]]&amp;" para el "&amp;Agencia[[#This Row],[temporalidad]]</f>
        <v>Sentencias Dictadas por delitos de Abuso Sexual en la Región de Coquimbo para el Periodo 2013-2019</v>
      </c>
      <c r="P170" s="28"/>
      <c r="Q170" s="17" t="str">
        <f t="shared" si="119"/>
        <v>Gráfico</v>
      </c>
      <c r="R170" s="28" t="str">
        <f>Agencia[[#This Row],[territorio]]&amp;",violencia,mujer,abuso, sexual, sentencia,menor,juzgado"</f>
        <v>Región de Coquimbo,violencia,mujer,abuso, sexual, sentencia,menor,juzgado</v>
      </c>
      <c r="S170" s="30" t="s">
        <v>432</v>
      </c>
      <c r="T170" s="31"/>
      <c r="U170" s="36" t="str">
        <f t="shared" si="120"/>
        <v>#1774B9</v>
      </c>
      <c r="V170" s="37" t="str">
        <f>+Agencia[[#This Row],[idcoleccion]]&amp;"-"&amp;Agencia[[#This Row],[id]]</f>
        <v>990-0160</v>
      </c>
      <c r="W170" s="38">
        <f>+VLOOKUP(Agencia[[#This Row],[Filtro URL]],Estructura!$X$4:$Y$366,2,0)</f>
        <v>99200004</v>
      </c>
      <c r="X170" s="35" t="str">
        <f>+VLOOKUP(Agencia[[#This Row],[tema]],Estructura!$A$4:$C$18,3,0)</f>
        <v>T-998</v>
      </c>
      <c r="Y170" s="35" t="str">
        <f>+VLOOKUP(Agencia[[#This Row],[contenido]],Estructura!$E$4:$G$18,3,0)</f>
        <v>C-997</v>
      </c>
      <c r="Z170" s="35" t="str">
        <f>+VLOOKUP(Agencia[[#This Row],[Filtro Integrado]],Estructura!$I$4:$K$18,3,0)</f>
        <v>FI-991</v>
      </c>
      <c r="AA170" s="35" t="str">
        <f>+VLOOKUP(Agencia[[#This Row],[Muestra]],Estructura!$M$4:$O$18,3,0)</f>
        <v>M-991</v>
      </c>
    </row>
    <row r="171" spans="1:27" ht="24" x14ac:dyDescent="0.3">
      <c r="A171" s="29" t="s">
        <v>607</v>
      </c>
      <c r="B171" s="39">
        <f t="shared" si="122"/>
        <v>990</v>
      </c>
      <c r="C171" s="40" t="str">
        <f t="shared" si="122"/>
        <v>Agencia Información</v>
      </c>
      <c r="D171" s="40" t="str">
        <f t="shared" si="105"/>
        <v>Mujeres</v>
      </c>
      <c r="E171" s="27">
        <v>5</v>
      </c>
      <c r="F171" s="15" t="str">
        <f t="shared" si="111"/>
        <v>Sentencias por delitos de abuso sexual</v>
      </c>
      <c r="G171" s="15" t="str">
        <f t="shared" si="112"/>
        <v>Abuso sexual</v>
      </c>
      <c r="H171" s="61" t="s">
        <v>16</v>
      </c>
      <c r="I171" s="62" t="s">
        <v>374</v>
      </c>
      <c r="J171" s="14" t="str">
        <f t="shared" si="113"/>
        <v>Comuna</v>
      </c>
      <c r="K171" s="14" t="str">
        <f t="shared" si="114"/>
        <v>Comuna</v>
      </c>
      <c r="L171" s="14" t="str">
        <f t="shared" si="115"/>
        <v>Periodo 2013-2019</v>
      </c>
      <c r="M171" s="14" t="str">
        <f t="shared" si="116"/>
        <v>Número de Sentencias</v>
      </c>
      <c r="N171" s="14" t="str">
        <f t="shared" si="117"/>
        <v>Poder Judicial</v>
      </c>
      <c r="O171" s="28" t="str">
        <f>"Sentencias Dictadas por delitos de Abuso Sexual en la "&amp;Agencia[[#This Row],[territorio]]&amp;" para el "&amp;Agencia[[#This Row],[temporalidad]]</f>
        <v>Sentencias Dictadas por delitos de Abuso Sexual en la Región de Valparaíso para el Periodo 2013-2019</v>
      </c>
      <c r="P171" s="28"/>
      <c r="Q171" s="17" t="str">
        <f t="shared" si="119"/>
        <v>Gráfico</v>
      </c>
      <c r="R171" s="28" t="str">
        <f>Agencia[[#This Row],[territorio]]&amp;",violencia,mujer,abuso, sexual, sentencia,menor,juzgado"</f>
        <v>Región de Valparaíso,violencia,mujer,abuso, sexual, sentencia,menor,juzgado</v>
      </c>
      <c r="S171" s="30" t="s">
        <v>432</v>
      </c>
      <c r="T171" s="31"/>
      <c r="U171" s="36" t="str">
        <f t="shared" si="120"/>
        <v>#1774B9</v>
      </c>
      <c r="V171" s="37" t="str">
        <f>+Agencia[[#This Row],[idcoleccion]]&amp;"-"&amp;Agencia[[#This Row],[id]]</f>
        <v>990-0161</v>
      </c>
      <c r="W171" s="38">
        <f>+VLOOKUP(Agencia[[#This Row],[Filtro URL]],Estructura!$X$4:$Y$366,2,0)</f>
        <v>99200005</v>
      </c>
      <c r="X171" s="35" t="str">
        <f>+VLOOKUP(Agencia[[#This Row],[tema]],Estructura!$A$4:$C$18,3,0)</f>
        <v>T-998</v>
      </c>
      <c r="Y171" s="35" t="str">
        <f>+VLOOKUP(Agencia[[#This Row],[contenido]],Estructura!$E$4:$G$18,3,0)</f>
        <v>C-997</v>
      </c>
      <c r="Z171" s="35" t="str">
        <f>+VLOOKUP(Agencia[[#This Row],[Filtro Integrado]],Estructura!$I$4:$K$18,3,0)</f>
        <v>FI-991</v>
      </c>
      <c r="AA171" s="35" t="str">
        <f>+VLOOKUP(Agencia[[#This Row],[Muestra]],Estructura!$M$4:$O$18,3,0)</f>
        <v>M-991</v>
      </c>
    </row>
    <row r="172" spans="1:27" ht="24" x14ac:dyDescent="0.3">
      <c r="A172" s="29" t="s">
        <v>608</v>
      </c>
      <c r="B172" s="39">
        <f t="shared" si="122"/>
        <v>990</v>
      </c>
      <c r="C172" s="40" t="str">
        <f t="shared" si="122"/>
        <v>Agencia Información</v>
      </c>
      <c r="D172" s="40" t="str">
        <f t="shared" si="105"/>
        <v>Mujeres</v>
      </c>
      <c r="E172" s="27">
        <v>6</v>
      </c>
      <c r="F172" s="15" t="str">
        <f t="shared" si="111"/>
        <v>Sentencias por delitos de abuso sexual</v>
      </c>
      <c r="G172" s="15" t="str">
        <f t="shared" si="112"/>
        <v>Abuso sexual</v>
      </c>
      <c r="H172" s="61" t="s">
        <v>16</v>
      </c>
      <c r="I172" s="62" t="s">
        <v>375</v>
      </c>
      <c r="J172" s="14" t="str">
        <f t="shared" si="113"/>
        <v>Comuna</v>
      </c>
      <c r="K172" s="14" t="str">
        <f t="shared" si="114"/>
        <v>Comuna</v>
      </c>
      <c r="L172" s="14" t="str">
        <f t="shared" si="115"/>
        <v>Periodo 2013-2019</v>
      </c>
      <c r="M172" s="14" t="str">
        <f t="shared" si="116"/>
        <v>Número de Sentencias</v>
      </c>
      <c r="N172" s="14" t="str">
        <f t="shared" si="117"/>
        <v>Poder Judicial</v>
      </c>
      <c r="O172" s="28" t="str">
        <f>"Sentencias Dictadas por delitos de Abuso Sexual en la "&amp;Agencia[[#This Row],[territorio]]&amp;" para el "&amp;Agencia[[#This Row],[temporalidad]]</f>
        <v>Sentencias Dictadas por delitos de Abuso Sexual en la Región de O'Higgins para el Periodo 2013-2019</v>
      </c>
      <c r="P172" s="28"/>
      <c r="Q172" s="17" t="str">
        <f t="shared" si="119"/>
        <v>Gráfico</v>
      </c>
      <c r="R172" s="28" t="str">
        <f>Agencia[[#This Row],[territorio]]&amp;",violencia,mujer,abuso, sexual, sentencia,menor,juzgado"</f>
        <v>Región de O'Higgins,violencia,mujer,abuso, sexual, sentencia,menor,juzgado</v>
      </c>
      <c r="S172" s="30" t="s">
        <v>432</v>
      </c>
      <c r="T172" s="31"/>
      <c r="U172" s="36" t="str">
        <f t="shared" si="120"/>
        <v>#1774B9</v>
      </c>
      <c r="V172" s="37" t="str">
        <f>+Agencia[[#This Row],[idcoleccion]]&amp;"-"&amp;Agencia[[#This Row],[id]]</f>
        <v>990-0162</v>
      </c>
      <c r="W172" s="38">
        <f>+VLOOKUP(Agencia[[#This Row],[Filtro URL]],Estructura!$X$4:$Y$366,2,0)</f>
        <v>99200006</v>
      </c>
      <c r="X172" s="35" t="str">
        <f>+VLOOKUP(Agencia[[#This Row],[tema]],Estructura!$A$4:$C$18,3,0)</f>
        <v>T-998</v>
      </c>
      <c r="Y172" s="35" t="str">
        <f>+VLOOKUP(Agencia[[#This Row],[contenido]],Estructura!$E$4:$G$18,3,0)</f>
        <v>C-997</v>
      </c>
      <c r="Z172" s="35" t="str">
        <f>+VLOOKUP(Agencia[[#This Row],[Filtro Integrado]],Estructura!$I$4:$K$18,3,0)</f>
        <v>FI-991</v>
      </c>
      <c r="AA172" s="35" t="str">
        <f>+VLOOKUP(Agencia[[#This Row],[Muestra]],Estructura!$M$4:$O$18,3,0)</f>
        <v>M-991</v>
      </c>
    </row>
    <row r="173" spans="1:27" ht="24" x14ac:dyDescent="0.3">
      <c r="A173" s="29" t="s">
        <v>609</v>
      </c>
      <c r="B173" s="39">
        <f t="shared" si="122"/>
        <v>990</v>
      </c>
      <c r="C173" s="40" t="str">
        <f t="shared" si="122"/>
        <v>Agencia Información</v>
      </c>
      <c r="D173" s="40" t="str">
        <f t="shared" si="105"/>
        <v>Mujeres</v>
      </c>
      <c r="E173" s="27">
        <v>7</v>
      </c>
      <c r="F173" s="15" t="str">
        <f t="shared" si="111"/>
        <v>Sentencias por delitos de abuso sexual</v>
      </c>
      <c r="G173" s="15" t="str">
        <f t="shared" si="112"/>
        <v>Abuso sexual</v>
      </c>
      <c r="H173" s="61" t="s">
        <v>16</v>
      </c>
      <c r="I173" s="62" t="s">
        <v>376</v>
      </c>
      <c r="J173" s="14" t="str">
        <f t="shared" si="113"/>
        <v>Comuna</v>
      </c>
      <c r="K173" s="14" t="str">
        <f t="shared" si="114"/>
        <v>Comuna</v>
      </c>
      <c r="L173" s="14" t="str">
        <f t="shared" si="115"/>
        <v>Periodo 2013-2019</v>
      </c>
      <c r="M173" s="14" t="str">
        <f t="shared" si="116"/>
        <v>Número de Sentencias</v>
      </c>
      <c r="N173" s="14" t="str">
        <f t="shared" si="117"/>
        <v>Poder Judicial</v>
      </c>
      <c r="O173" s="28" t="str">
        <f>"Sentencias Dictadas por delitos de Abuso Sexual en la "&amp;Agencia[[#This Row],[territorio]]&amp;" para el "&amp;Agencia[[#This Row],[temporalidad]]</f>
        <v>Sentencias Dictadas por delitos de Abuso Sexual en la Región de Maule para el Periodo 2013-2019</v>
      </c>
      <c r="P173" s="28"/>
      <c r="Q173" s="17" t="str">
        <f t="shared" si="119"/>
        <v>Gráfico</v>
      </c>
      <c r="R173" s="28" t="str">
        <f>Agencia[[#This Row],[territorio]]&amp;",violencia,mujer,abuso, sexual, sentencia,menor,juzgado"</f>
        <v>Región de Maule,violencia,mujer,abuso, sexual, sentencia,menor,juzgado</v>
      </c>
      <c r="S173" s="30" t="s">
        <v>432</v>
      </c>
      <c r="T173" s="31"/>
      <c r="U173" s="36" t="str">
        <f t="shared" si="120"/>
        <v>#1774B9</v>
      </c>
      <c r="V173" s="37" t="str">
        <f>+Agencia[[#This Row],[idcoleccion]]&amp;"-"&amp;Agencia[[#This Row],[id]]</f>
        <v>990-0163</v>
      </c>
      <c r="W173" s="38">
        <f>+VLOOKUP(Agencia[[#This Row],[Filtro URL]],Estructura!$X$4:$Y$366,2,0)</f>
        <v>99200007</v>
      </c>
      <c r="X173" s="35" t="str">
        <f>+VLOOKUP(Agencia[[#This Row],[tema]],Estructura!$A$4:$C$18,3,0)</f>
        <v>T-998</v>
      </c>
      <c r="Y173" s="35" t="str">
        <f>+VLOOKUP(Agencia[[#This Row],[contenido]],Estructura!$E$4:$G$18,3,0)</f>
        <v>C-997</v>
      </c>
      <c r="Z173" s="35" t="str">
        <f>+VLOOKUP(Agencia[[#This Row],[Filtro Integrado]],Estructura!$I$4:$K$18,3,0)</f>
        <v>FI-991</v>
      </c>
      <c r="AA173" s="35" t="str">
        <f>+VLOOKUP(Agencia[[#This Row],[Muestra]],Estructura!$M$4:$O$18,3,0)</f>
        <v>M-991</v>
      </c>
    </row>
    <row r="174" spans="1:27" ht="24" x14ac:dyDescent="0.3">
      <c r="A174" s="29" t="s">
        <v>610</v>
      </c>
      <c r="B174" s="39">
        <f t="shared" si="122"/>
        <v>990</v>
      </c>
      <c r="C174" s="40" t="str">
        <f t="shared" si="122"/>
        <v>Agencia Información</v>
      </c>
      <c r="D174" s="40" t="str">
        <f t="shared" si="105"/>
        <v>Mujeres</v>
      </c>
      <c r="E174" s="27">
        <v>8</v>
      </c>
      <c r="F174" s="15" t="str">
        <f t="shared" si="111"/>
        <v>Sentencias por delitos de abuso sexual</v>
      </c>
      <c r="G174" s="15" t="str">
        <f t="shared" si="112"/>
        <v>Abuso sexual</v>
      </c>
      <c r="H174" s="61" t="s">
        <v>16</v>
      </c>
      <c r="I174" s="62" t="s">
        <v>377</v>
      </c>
      <c r="J174" s="14" t="str">
        <f t="shared" si="113"/>
        <v>Comuna</v>
      </c>
      <c r="K174" s="14" t="str">
        <f t="shared" si="114"/>
        <v>Comuna</v>
      </c>
      <c r="L174" s="14" t="str">
        <f t="shared" si="115"/>
        <v>Periodo 2013-2019</v>
      </c>
      <c r="M174" s="14" t="str">
        <f t="shared" si="116"/>
        <v>Número de Sentencias</v>
      </c>
      <c r="N174" s="14" t="str">
        <f t="shared" si="117"/>
        <v>Poder Judicial</v>
      </c>
      <c r="O174" s="28" t="str">
        <f>"Sentencias Dictadas por delitos de Abuso Sexual en la "&amp;Agencia[[#This Row],[territorio]]&amp;" para el "&amp;Agencia[[#This Row],[temporalidad]]</f>
        <v>Sentencias Dictadas por delitos de Abuso Sexual en la Región del Biobío para el Periodo 2013-2019</v>
      </c>
      <c r="P174" s="28"/>
      <c r="Q174" s="17" t="str">
        <f t="shared" si="119"/>
        <v>Gráfico</v>
      </c>
      <c r="R174" s="28" t="str">
        <f>Agencia[[#This Row],[territorio]]&amp;",violencia,mujer,abuso, sexual, sentencia,menor,juzgado"</f>
        <v>Región del Biobío,violencia,mujer,abuso, sexual, sentencia,menor,juzgado</v>
      </c>
      <c r="S174" s="30" t="s">
        <v>432</v>
      </c>
      <c r="T174" s="31"/>
      <c r="U174" s="36" t="str">
        <f t="shared" si="120"/>
        <v>#1774B9</v>
      </c>
      <c r="V174" s="37" t="str">
        <f>+Agencia[[#This Row],[idcoleccion]]&amp;"-"&amp;Agencia[[#This Row],[id]]</f>
        <v>990-0164</v>
      </c>
      <c r="W174" s="38">
        <f>+VLOOKUP(Agencia[[#This Row],[Filtro URL]],Estructura!$X$4:$Y$366,2,0)</f>
        <v>99200008</v>
      </c>
      <c r="X174" s="35" t="str">
        <f>+VLOOKUP(Agencia[[#This Row],[tema]],Estructura!$A$4:$C$18,3,0)</f>
        <v>T-998</v>
      </c>
      <c r="Y174" s="35" t="str">
        <f>+VLOOKUP(Agencia[[#This Row],[contenido]],Estructura!$E$4:$G$18,3,0)</f>
        <v>C-997</v>
      </c>
      <c r="Z174" s="35" t="str">
        <f>+VLOOKUP(Agencia[[#This Row],[Filtro Integrado]],Estructura!$I$4:$K$18,3,0)</f>
        <v>FI-991</v>
      </c>
      <c r="AA174" s="35" t="str">
        <f>+VLOOKUP(Agencia[[#This Row],[Muestra]],Estructura!$M$4:$O$18,3,0)</f>
        <v>M-991</v>
      </c>
    </row>
    <row r="175" spans="1:27" ht="24" x14ac:dyDescent="0.3">
      <c r="A175" s="29" t="s">
        <v>611</v>
      </c>
      <c r="B175" s="39">
        <f t="shared" si="122"/>
        <v>990</v>
      </c>
      <c r="C175" s="40" t="str">
        <f t="shared" si="122"/>
        <v>Agencia Información</v>
      </c>
      <c r="D175" s="40" t="str">
        <f t="shared" si="105"/>
        <v>Mujeres</v>
      </c>
      <c r="E175" s="27">
        <v>9</v>
      </c>
      <c r="F175" s="15" t="str">
        <f t="shared" si="111"/>
        <v>Sentencias por delitos de abuso sexual</v>
      </c>
      <c r="G175" s="15" t="str">
        <f t="shared" si="112"/>
        <v>Abuso sexual</v>
      </c>
      <c r="H175" s="61" t="s">
        <v>16</v>
      </c>
      <c r="I175" s="62" t="s">
        <v>378</v>
      </c>
      <c r="J175" s="14" t="str">
        <f t="shared" si="113"/>
        <v>Comuna</v>
      </c>
      <c r="K175" s="14" t="str">
        <f t="shared" si="114"/>
        <v>Comuna</v>
      </c>
      <c r="L175" s="14" t="str">
        <f t="shared" si="115"/>
        <v>Periodo 2013-2019</v>
      </c>
      <c r="M175" s="14" t="str">
        <f t="shared" si="116"/>
        <v>Número de Sentencias</v>
      </c>
      <c r="N175" s="14" t="str">
        <f t="shared" si="117"/>
        <v>Poder Judicial</v>
      </c>
      <c r="O175" s="28" t="str">
        <f>"Sentencias Dictadas por delitos de Abuso Sexual en la "&amp;Agencia[[#This Row],[territorio]]&amp;" para el "&amp;Agencia[[#This Row],[temporalidad]]</f>
        <v>Sentencias Dictadas por delitos de Abuso Sexual en la Región de La Araucanía para el Periodo 2013-2019</v>
      </c>
      <c r="P175" s="28"/>
      <c r="Q175" s="17" t="str">
        <f t="shared" si="119"/>
        <v>Gráfico</v>
      </c>
      <c r="R175" s="28" t="str">
        <f>Agencia[[#This Row],[territorio]]&amp;",violencia,mujer,abuso, sexual, sentencia,menor,juzgado"</f>
        <v>Región de La Araucanía,violencia,mujer,abuso, sexual, sentencia,menor,juzgado</v>
      </c>
      <c r="S175" s="30" t="s">
        <v>432</v>
      </c>
      <c r="T175" s="31"/>
      <c r="U175" s="36" t="str">
        <f t="shared" si="120"/>
        <v>#1774B9</v>
      </c>
      <c r="V175" s="37" t="str">
        <f>+Agencia[[#This Row],[idcoleccion]]&amp;"-"&amp;Agencia[[#This Row],[id]]</f>
        <v>990-0165</v>
      </c>
      <c r="W175" s="38">
        <f>+VLOOKUP(Agencia[[#This Row],[Filtro URL]],Estructura!$X$4:$Y$366,2,0)</f>
        <v>99200009</v>
      </c>
      <c r="X175" s="35" t="str">
        <f>+VLOOKUP(Agencia[[#This Row],[tema]],Estructura!$A$4:$C$18,3,0)</f>
        <v>T-998</v>
      </c>
      <c r="Y175" s="35" t="str">
        <f>+VLOOKUP(Agencia[[#This Row],[contenido]],Estructura!$E$4:$G$18,3,0)</f>
        <v>C-997</v>
      </c>
      <c r="Z175" s="35" t="str">
        <f>+VLOOKUP(Agencia[[#This Row],[Filtro Integrado]],Estructura!$I$4:$K$18,3,0)</f>
        <v>FI-991</v>
      </c>
      <c r="AA175" s="35" t="str">
        <f>+VLOOKUP(Agencia[[#This Row],[Muestra]],Estructura!$M$4:$O$18,3,0)</f>
        <v>M-991</v>
      </c>
    </row>
    <row r="176" spans="1:27" ht="24" x14ac:dyDescent="0.3">
      <c r="A176" s="29" t="s">
        <v>612</v>
      </c>
      <c r="B176" s="39">
        <f t="shared" si="122"/>
        <v>990</v>
      </c>
      <c r="C176" s="40" t="str">
        <f t="shared" si="122"/>
        <v>Agencia Información</v>
      </c>
      <c r="D176" s="40" t="str">
        <f t="shared" si="105"/>
        <v>Mujeres</v>
      </c>
      <c r="E176" s="27">
        <v>10</v>
      </c>
      <c r="F176" s="15" t="str">
        <f t="shared" si="111"/>
        <v>Sentencias por delitos de abuso sexual</v>
      </c>
      <c r="G176" s="15" t="str">
        <f t="shared" si="112"/>
        <v>Abuso sexual</v>
      </c>
      <c r="H176" s="61" t="s">
        <v>16</v>
      </c>
      <c r="I176" s="62" t="s">
        <v>379</v>
      </c>
      <c r="J176" s="14" t="str">
        <f t="shared" si="113"/>
        <v>Comuna</v>
      </c>
      <c r="K176" s="14" t="str">
        <f t="shared" si="114"/>
        <v>Comuna</v>
      </c>
      <c r="L176" s="14" t="str">
        <f t="shared" si="115"/>
        <v>Periodo 2013-2019</v>
      </c>
      <c r="M176" s="14" t="str">
        <f t="shared" si="116"/>
        <v>Número de Sentencias</v>
      </c>
      <c r="N176" s="14" t="str">
        <f t="shared" si="117"/>
        <v>Poder Judicial</v>
      </c>
      <c r="O176" s="28" t="str">
        <f>"Sentencias Dictadas por delitos de Abuso Sexual en la "&amp;Agencia[[#This Row],[territorio]]&amp;" para el "&amp;Agencia[[#This Row],[temporalidad]]</f>
        <v>Sentencias Dictadas por delitos de Abuso Sexual en la Región de Los Lagos para el Periodo 2013-2019</v>
      </c>
      <c r="P176" s="28"/>
      <c r="Q176" s="17" t="str">
        <f t="shared" si="119"/>
        <v>Gráfico</v>
      </c>
      <c r="R176" s="28" t="str">
        <f>Agencia[[#This Row],[territorio]]&amp;",violencia,mujer,abuso, sexual, sentencia,menor,juzgado"</f>
        <v>Región de Los Lagos,violencia,mujer,abuso, sexual, sentencia,menor,juzgado</v>
      </c>
      <c r="S176" s="30" t="s">
        <v>432</v>
      </c>
      <c r="T176" s="31"/>
      <c r="U176" s="36" t="str">
        <f t="shared" si="120"/>
        <v>#1774B9</v>
      </c>
      <c r="V176" s="37" t="str">
        <f>+Agencia[[#This Row],[idcoleccion]]&amp;"-"&amp;Agencia[[#This Row],[id]]</f>
        <v>990-0166</v>
      </c>
      <c r="W176" s="38">
        <f>+VLOOKUP(Agencia[[#This Row],[Filtro URL]],Estructura!$X$4:$Y$366,2,0)</f>
        <v>99200010</v>
      </c>
      <c r="X176" s="35" t="str">
        <f>+VLOOKUP(Agencia[[#This Row],[tema]],Estructura!$A$4:$C$18,3,0)</f>
        <v>T-998</v>
      </c>
      <c r="Y176" s="35" t="str">
        <f>+VLOOKUP(Agencia[[#This Row],[contenido]],Estructura!$E$4:$G$18,3,0)</f>
        <v>C-997</v>
      </c>
      <c r="Z176" s="35" t="str">
        <f>+VLOOKUP(Agencia[[#This Row],[Filtro Integrado]],Estructura!$I$4:$K$18,3,0)</f>
        <v>FI-991</v>
      </c>
      <c r="AA176" s="35" t="str">
        <f>+VLOOKUP(Agencia[[#This Row],[Muestra]],Estructura!$M$4:$O$18,3,0)</f>
        <v>M-991</v>
      </c>
    </row>
    <row r="177" spans="1:27" ht="24" x14ac:dyDescent="0.3">
      <c r="A177" s="29" t="s">
        <v>613</v>
      </c>
      <c r="B177" s="39">
        <f t="shared" si="122"/>
        <v>990</v>
      </c>
      <c r="C177" s="40" t="str">
        <f t="shared" si="122"/>
        <v>Agencia Información</v>
      </c>
      <c r="D177" s="40" t="str">
        <f t="shared" si="122"/>
        <v>Mujeres</v>
      </c>
      <c r="E177" s="27">
        <v>11</v>
      </c>
      <c r="F177" s="15" t="str">
        <f t="shared" si="111"/>
        <v>Sentencias por delitos de abuso sexual</v>
      </c>
      <c r="G177" s="15" t="str">
        <f t="shared" si="112"/>
        <v>Abuso sexual</v>
      </c>
      <c r="H177" s="61" t="s">
        <v>16</v>
      </c>
      <c r="I177" s="62" t="s">
        <v>380</v>
      </c>
      <c r="J177" s="14" t="str">
        <f t="shared" si="113"/>
        <v>Comuna</v>
      </c>
      <c r="K177" s="14" t="str">
        <f t="shared" si="114"/>
        <v>Comuna</v>
      </c>
      <c r="L177" s="14" t="str">
        <f t="shared" si="115"/>
        <v>Periodo 2013-2019</v>
      </c>
      <c r="M177" s="14" t="str">
        <f t="shared" si="116"/>
        <v>Número de Sentencias</v>
      </c>
      <c r="N177" s="14" t="str">
        <f t="shared" si="117"/>
        <v>Poder Judicial</v>
      </c>
      <c r="O177" s="28" t="str">
        <f>"Sentencias Dictadas por delitos de Abuso Sexual en la "&amp;Agencia[[#This Row],[territorio]]&amp;" para el "&amp;Agencia[[#This Row],[temporalidad]]</f>
        <v>Sentencias Dictadas por delitos de Abuso Sexual en la Región de Aysén para el Periodo 2013-2019</v>
      </c>
      <c r="P177" s="28"/>
      <c r="Q177" s="17" t="str">
        <f t="shared" si="119"/>
        <v>Gráfico</v>
      </c>
      <c r="R177" s="28" t="str">
        <f>Agencia[[#This Row],[territorio]]&amp;",violencia,mujer,abuso, sexual, sentencia,menor,juzgado"</f>
        <v>Región de Aysén,violencia,mujer,abuso, sexual, sentencia,menor,juzgado</v>
      </c>
      <c r="S177" s="30" t="s">
        <v>432</v>
      </c>
      <c r="T177" s="31"/>
      <c r="U177" s="36" t="str">
        <f t="shared" si="120"/>
        <v>#1774B9</v>
      </c>
      <c r="V177" s="37" t="str">
        <f>+Agencia[[#This Row],[idcoleccion]]&amp;"-"&amp;Agencia[[#This Row],[id]]</f>
        <v>990-0167</v>
      </c>
      <c r="W177" s="38">
        <f>+VLOOKUP(Agencia[[#This Row],[Filtro URL]],Estructura!$X$4:$Y$366,2,0)</f>
        <v>99200011</v>
      </c>
      <c r="X177" s="35" t="str">
        <f>+VLOOKUP(Agencia[[#This Row],[tema]],Estructura!$A$4:$C$18,3,0)</f>
        <v>T-998</v>
      </c>
      <c r="Y177" s="35" t="str">
        <f>+VLOOKUP(Agencia[[#This Row],[contenido]],Estructura!$E$4:$G$18,3,0)</f>
        <v>C-997</v>
      </c>
      <c r="Z177" s="35" t="str">
        <f>+VLOOKUP(Agencia[[#This Row],[Filtro Integrado]],Estructura!$I$4:$K$18,3,0)</f>
        <v>FI-991</v>
      </c>
      <c r="AA177" s="35" t="str">
        <f>+VLOOKUP(Agencia[[#This Row],[Muestra]],Estructura!$M$4:$O$18,3,0)</f>
        <v>M-991</v>
      </c>
    </row>
    <row r="178" spans="1:27" ht="24" x14ac:dyDescent="0.3">
      <c r="A178" s="29" t="s">
        <v>614</v>
      </c>
      <c r="B178" s="39">
        <f t="shared" si="122"/>
        <v>990</v>
      </c>
      <c r="C178" s="40" t="str">
        <f t="shared" si="122"/>
        <v>Agencia Información</v>
      </c>
      <c r="D178" s="40" t="str">
        <f t="shared" si="122"/>
        <v>Mujeres</v>
      </c>
      <c r="E178" s="27">
        <v>12</v>
      </c>
      <c r="F178" s="15" t="str">
        <f t="shared" si="111"/>
        <v>Sentencias por delitos de abuso sexual</v>
      </c>
      <c r="G178" s="15" t="str">
        <f t="shared" si="112"/>
        <v>Abuso sexual</v>
      </c>
      <c r="H178" s="61" t="s">
        <v>16</v>
      </c>
      <c r="I178" s="62" t="s">
        <v>381</v>
      </c>
      <c r="J178" s="14" t="str">
        <f t="shared" si="113"/>
        <v>Comuna</v>
      </c>
      <c r="K178" s="14" t="str">
        <f t="shared" si="114"/>
        <v>Comuna</v>
      </c>
      <c r="L178" s="14" t="str">
        <f t="shared" si="115"/>
        <v>Periodo 2013-2019</v>
      </c>
      <c r="M178" s="14" t="str">
        <f t="shared" si="116"/>
        <v>Número de Sentencias</v>
      </c>
      <c r="N178" s="14" t="str">
        <f t="shared" si="117"/>
        <v>Poder Judicial</v>
      </c>
      <c r="O178" s="28" t="str">
        <f>"Sentencias Dictadas por delitos de Abuso Sexual en la "&amp;Agencia[[#This Row],[territorio]]&amp;" para el "&amp;Agencia[[#This Row],[temporalidad]]</f>
        <v>Sentencias Dictadas por delitos de Abuso Sexual en la Región de Magallanes para el Periodo 2013-2019</v>
      </c>
      <c r="P178" s="28"/>
      <c r="Q178" s="17" t="str">
        <f t="shared" ref="Q178:Q190" si="123">+Q177</f>
        <v>Gráfico</v>
      </c>
      <c r="R178" s="28" t="str">
        <f>Agencia[[#This Row],[territorio]]&amp;",violencia,mujer,abuso, sexual, sentencia,menor,juzgado"</f>
        <v>Región de Magallanes,violencia,mujer,abuso, sexual, sentencia,menor,juzgado</v>
      </c>
      <c r="S178" s="30" t="s">
        <v>432</v>
      </c>
      <c r="T178" s="31"/>
      <c r="U178" s="36" t="str">
        <f t="shared" ref="U178:U190" si="124">+U177</f>
        <v>#1774B9</v>
      </c>
      <c r="V178" s="37" t="str">
        <f>+Agencia[[#This Row],[idcoleccion]]&amp;"-"&amp;Agencia[[#This Row],[id]]</f>
        <v>990-0168</v>
      </c>
      <c r="W178" s="38">
        <f>+VLOOKUP(Agencia[[#This Row],[Filtro URL]],Estructura!$X$4:$Y$366,2,0)</f>
        <v>99200012</v>
      </c>
      <c r="X178" s="35" t="str">
        <f>+VLOOKUP(Agencia[[#This Row],[tema]],Estructura!$A$4:$C$18,3,0)</f>
        <v>T-998</v>
      </c>
      <c r="Y178" s="35" t="str">
        <f>+VLOOKUP(Agencia[[#This Row],[contenido]],Estructura!$E$4:$G$18,3,0)</f>
        <v>C-997</v>
      </c>
      <c r="Z178" s="35" t="str">
        <f>+VLOOKUP(Agencia[[#This Row],[Filtro Integrado]],Estructura!$I$4:$K$18,3,0)</f>
        <v>FI-991</v>
      </c>
      <c r="AA178" s="35" t="str">
        <f>+VLOOKUP(Agencia[[#This Row],[Muestra]],Estructura!$M$4:$O$18,3,0)</f>
        <v>M-991</v>
      </c>
    </row>
    <row r="179" spans="1:27" ht="24" x14ac:dyDescent="0.3">
      <c r="A179" s="29" t="s">
        <v>615</v>
      </c>
      <c r="B179" s="39">
        <f t="shared" ref="B179:D190" si="125">+B178</f>
        <v>990</v>
      </c>
      <c r="C179" s="40" t="str">
        <f t="shared" si="125"/>
        <v>Agencia Información</v>
      </c>
      <c r="D179" s="40" t="str">
        <f t="shared" si="125"/>
        <v>Mujeres</v>
      </c>
      <c r="E179" s="27">
        <v>13</v>
      </c>
      <c r="F179" s="15" t="str">
        <f t="shared" si="111"/>
        <v>Sentencias por delitos de abuso sexual</v>
      </c>
      <c r="G179" s="15" t="str">
        <f t="shared" si="112"/>
        <v>Abuso sexual</v>
      </c>
      <c r="H179" s="61" t="s">
        <v>16</v>
      </c>
      <c r="I179" s="62" t="s">
        <v>382</v>
      </c>
      <c r="J179" s="14" t="str">
        <f t="shared" si="113"/>
        <v>Comuna</v>
      </c>
      <c r="K179" s="14" t="str">
        <f t="shared" si="114"/>
        <v>Comuna</v>
      </c>
      <c r="L179" s="14" t="str">
        <f t="shared" si="115"/>
        <v>Periodo 2013-2019</v>
      </c>
      <c r="M179" s="14" t="str">
        <f t="shared" si="116"/>
        <v>Número de Sentencias</v>
      </c>
      <c r="N179" s="14" t="str">
        <f t="shared" si="117"/>
        <v>Poder Judicial</v>
      </c>
      <c r="O179" s="28" t="str">
        <f>"Sentencias Dictadas por delitos de Abuso Sexual en la "&amp;Agencia[[#This Row],[territorio]]&amp;" para el "&amp;Agencia[[#This Row],[temporalidad]]</f>
        <v>Sentencias Dictadas por delitos de Abuso Sexual en la Región Metropolitana para el Periodo 2013-2019</v>
      </c>
      <c r="P179" s="28"/>
      <c r="Q179" s="17" t="str">
        <f t="shared" si="123"/>
        <v>Gráfico</v>
      </c>
      <c r="R179" s="28" t="str">
        <f>Agencia[[#This Row],[territorio]]&amp;",violencia,mujer,abuso, sexual, sentencia,menor,juzgado"</f>
        <v>Región Metropolitana,violencia,mujer,abuso, sexual, sentencia,menor,juzgado</v>
      </c>
      <c r="S179" s="30" t="s">
        <v>432</v>
      </c>
      <c r="T179" s="31"/>
      <c r="U179" s="36" t="str">
        <f t="shared" si="124"/>
        <v>#1774B9</v>
      </c>
      <c r="V179" s="37" t="str">
        <f>+Agencia[[#This Row],[idcoleccion]]&amp;"-"&amp;Agencia[[#This Row],[id]]</f>
        <v>990-0169</v>
      </c>
      <c r="W179" s="38">
        <f>+VLOOKUP(Agencia[[#This Row],[Filtro URL]],Estructura!$X$4:$Y$366,2,0)</f>
        <v>99200013</v>
      </c>
      <c r="X179" s="35" t="str">
        <f>+VLOOKUP(Agencia[[#This Row],[tema]],Estructura!$A$4:$C$18,3,0)</f>
        <v>T-998</v>
      </c>
      <c r="Y179" s="35" t="str">
        <f>+VLOOKUP(Agencia[[#This Row],[contenido]],Estructura!$E$4:$G$18,3,0)</f>
        <v>C-997</v>
      </c>
      <c r="Z179" s="35" t="str">
        <f>+VLOOKUP(Agencia[[#This Row],[Filtro Integrado]],Estructura!$I$4:$K$18,3,0)</f>
        <v>FI-991</v>
      </c>
      <c r="AA179" s="35" t="str">
        <f>+VLOOKUP(Agencia[[#This Row],[Muestra]],Estructura!$M$4:$O$18,3,0)</f>
        <v>M-991</v>
      </c>
    </row>
    <row r="180" spans="1:27" ht="24" x14ac:dyDescent="0.3">
      <c r="A180" s="29" t="s">
        <v>616</v>
      </c>
      <c r="B180" s="39">
        <f t="shared" si="125"/>
        <v>990</v>
      </c>
      <c r="C180" s="40" t="str">
        <f t="shared" si="125"/>
        <v>Agencia Información</v>
      </c>
      <c r="D180" s="40" t="str">
        <f t="shared" si="125"/>
        <v>Mujeres</v>
      </c>
      <c r="E180" s="27">
        <v>14</v>
      </c>
      <c r="F180" s="15" t="str">
        <f t="shared" ref="F180:F190" si="126">+F179</f>
        <v>Sentencias por delitos de abuso sexual</v>
      </c>
      <c r="G180" s="15" t="str">
        <f t="shared" ref="G180:G190" si="127">+G179</f>
        <v>Abuso sexual</v>
      </c>
      <c r="H180" s="61" t="s">
        <v>16</v>
      </c>
      <c r="I180" s="62" t="s">
        <v>383</v>
      </c>
      <c r="J180" s="14" t="str">
        <f t="shared" ref="J180:J190" si="128">+J179</f>
        <v>Comuna</v>
      </c>
      <c r="K180" s="14" t="str">
        <f t="shared" ref="K180:K190" si="129">+K179</f>
        <v>Comuna</v>
      </c>
      <c r="L180" s="14" t="str">
        <f t="shared" ref="L180:L190" si="130">+L179</f>
        <v>Periodo 2013-2019</v>
      </c>
      <c r="M180" s="14" t="str">
        <f t="shared" ref="M180:M190" si="131">+M179</f>
        <v>Número de Sentencias</v>
      </c>
      <c r="N180" s="14" t="str">
        <f t="shared" ref="N180:N190" si="132">+N179</f>
        <v>Poder Judicial</v>
      </c>
      <c r="O180" s="28" t="str">
        <f>"Sentencias Dictadas por delitos de Abuso Sexual en la "&amp;Agencia[[#This Row],[territorio]]&amp;" para el "&amp;Agencia[[#This Row],[temporalidad]]</f>
        <v>Sentencias Dictadas por delitos de Abuso Sexual en la Región de Los Ríos para el Periodo 2013-2019</v>
      </c>
      <c r="P180" s="28"/>
      <c r="Q180" s="17" t="str">
        <f t="shared" si="123"/>
        <v>Gráfico</v>
      </c>
      <c r="R180" s="28" t="str">
        <f>Agencia[[#This Row],[territorio]]&amp;",violencia,mujer,abuso, sexual, sentencia,menor,juzgado"</f>
        <v>Región de Los Ríos,violencia,mujer,abuso, sexual, sentencia,menor,juzgado</v>
      </c>
      <c r="S180" s="30" t="s">
        <v>432</v>
      </c>
      <c r="T180" s="31"/>
      <c r="U180" s="36" t="str">
        <f t="shared" si="124"/>
        <v>#1774B9</v>
      </c>
      <c r="V180" s="37" t="str">
        <f>+Agencia[[#This Row],[idcoleccion]]&amp;"-"&amp;Agencia[[#This Row],[id]]</f>
        <v>990-0170</v>
      </c>
      <c r="W180" s="38">
        <f>+VLOOKUP(Agencia[[#This Row],[Filtro URL]],Estructura!$X$4:$Y$366,2,0)</f>
        <v>99200014</v>
      </c>
      <c r="X180" s="35" t="str">
        <f>+VLOOKUP(Agencia[[#This Row],[tema]],Estructura!$A$4:$C$18,3,0)</f>
        <v>T-998</v>
      </c>
      <c r="Y180" s="35" t="str">
        <f>+VLOOKUP(Agencia[[#This Row],[contenido]],Estructura!$E$4:$G$18,3,0)</f>
        <v>C-997</v>
      </c>
      <c r="Z180" s="35" t="str">
        <f>+VLOOKUP(Agencia[[#This Row],[Filtro Integrado]],Estructura!$I$4:$K$18,3,0)</f>
        <v>FI-991</v>
      </c>
      <c r="AA180" s="35" t="str">
        <f>+VLOOKUP(Agencia[[#This Row],[Muestra]],Estructura!$M$4:$O$18,3,0)</f>
        <v>M-991</v>
      </c>
    </row>
    <row r="181" spans="1:27" ht="30.6" x14ac:dyDescent="0.3">
      <c r="A181" s="29" t="s">
        <v>617</v>
      </c>
      <c r="B181" s="39">
        <f t="shared" si="125"/>
        <v>990</v>
      </c>
      <c r="C181" s="40" t="str">
        <f t="shared" si="125"/>
        <v>Agencia Información</v>
      </c>
      <c r="D181" s="40" t="str">
        <f t="shared" si="125"/>
        <v>Mujeres</v>
      </c>
      <c r="E181" s="27">
        <v>15</v>
      </c>
      <c r="F181" s="15" t="str">
        <f t="shared" si="126"/>
        <v>Sentencias por delitos de abuso sexual</v>
      </c>
      <c r="G181" s="15" t="str">
        <f t="shared" si="127"/>
        <v>Abuso sexual</v>
      </c>
      <c r="H181" s="61" t="s">
        <v>16</v>
      </c>
      <c r="I181" s="62" t="s">
        <v>384</v>
      </c>
      <c r="J181" s="14" t="str">
        <f t="shared" si="128"/>
        <v>Comuna</v>
      </c>
      <c r="K181" s="14" t="str">
        <f t="shared" si="129"/>
        <v>Comuna</v>
      </c>
      <c r="L181" s="14" t="str">
        <f t="shared" si="130"/>
        <v>Periodo 2013-2019</v>
      </c>
      <c r="M181" s="14" t="str">
        <f t="shared" si="131"/>
        <v>Número de Sentencias</v>
      </c>
      <c r="N181" s="14" t="str">
        <f t="shared" si="132"/>
        <v>Poder Judicial</v>
      </c>
      <c r="O181" s="28" t="str">
        <f>"Sentencias Dictadas por delitos de Abuso Sexual en la "&amp;Agencia[[#This Row],[territorio]]&amp;" para el "&amp;Agencia[[#This Row],[temporalidad]]</f>
        <v>Sentencias Dictadas por delitos de Abuso Sexual en la Región de Arica y Parinacota para el Periodo 2013-2019</v>
      </c>
      <c r="P181" s="28"/>
      <c r="Q181" s="17" t="str">
        <f t="shared" si="123"/>
        <v>Gráfico</v>
      </c>
      <c r="R181" s="28" t="str">
        <f>Agencia[[#This Row],[territorio]]&amp;",violencia,mujer,abuso, sexual, sentencia,menor,juzgado"</f>
        <v>Región de Arica y Parinacota,violencia,mujer,abuso, sexual, sentencia,menor,juzgado</v>
      </c>
      <c r="S181" s="30" t="s">
        <v>432</v>
      </c>
      <c r="T181" s="31"/>
      <c r="U181" s="36" t="str">
        <f t="shared" si="124"/>
        <v>#1774B9</v>
      </c>
      <c r="V181" s="37" t="str">
        <f>+Agencia[[#This Row],[idcoleccion]]&amp;"-"&amp;Agencia[[#This Row],[id]]</f>
        <v>990-0171</v>
      </c>
      <c r="W181" s="38">
        <f>+VLOOKUP(Agencia[[#This Row],[Filtro URL]],Estructura!$X$4:$Y$366,2,0)</f>
        <v>99200015</v>
      </c>
      <c r="X181" s="35" t="str">
        <f>+VLOOKUP(Agencia[[#This Row],[tema]],Estructura!$A$4:$C$18,3,0)</f>
        <v>T-998</v>
      </c>
      <c r="Y181" s="35" t="str">
        <f>+VLOOKUP(Agencia[[#This Row],[contenido]],Estructura!$E$4:$G$18,3,0)</f>
        <v>C-997</v>
      </c>
      <c r="Z181" s="35" t="str">
        <f>+VLOOKUP(Agencia[[#This Row],[Filtro Integrado]],Estructura!$I$4:$K$18,3,0)</f>
        <v>FI-991</v>
      </c>
      <c r="AA181" s="35" t="str">
        <f>+VLOOKUP(Agencia[[#This Row],[Muestra]],Estructura!$M$4:$O$18,3,0)</f>
        <v>M-991</v>
      </c>
    </row>
    <row r="182" spans="1:27" ht="24" x14ac:dyDescent="0.3">
      <c r="A182" s="29" t="s">
        <v>618</v>
      </c>
      <c r="B182" s="39">
        <f t="shared" si="125"/>
        <v>990</v>
      </c>
      <c r="C182" s="40" t="str">
        <f t="shared" si="125"/>
        <v>Agencia Información</v>
      </c>
      <c r="D182" s="40" t="str">
        <f t="shared" si="125"/>
        <v>Mujeres</v>
      </c>
      <c r="E182" s="27">
        <v>16</v>
      </c>
      <c r="F182" s="15" t="str">
        <f t="shared" si="126"/>
        <v>Sentencias por delitos de abuso sexual</v>
      </c>
      <c r="G182" s="15" t="str">
        <f t="shared" si="127"/>
        <v>Abuso sexual</v>
      </c>
      <c r="H182" s="61" t="s">
        <v>16</v>
      </c>
      <c r="I182" s="62" t="s">
        <v>385</v>
      </c>
      <c r="J182" s="14" t="str">
        <f t="shared" si="128"/>
        <v>Comuna</v>
      </c>
      <c r="K182" s="14" t="str">
        <f t="shared" si="129"/>
        <v>Comuna</v>
      </c>
      <c r="L182" s="14" t="str">
        <f t="shared" si="130"/>
        <v>Periodo 2013-2019</v>
      </c>
      <c r="M182" s="14" t="str">
        <f t="shared" si="131"/>
        <v>Número de Sentencias</v>
      </c>
      <c r="N182" s="14" t="str">
        <f t="shared" si="132"/>
        <v>Poder Judicial</v>
      </c>
      <c r="O182" s="28" t="str">
        <f>"Sentencias Dictadas por delitos de Abuso Sexual en la "&amp;Agencia[[#This Row],[territorio]]&amp;" para el "&amp;Agencia[[#This Row],[temporalidad]]</f>
        <v>Sentencias Dictadas por delitos de Abuso Sexual en la Región de Ñuble para el Periodo 2013-2019</v>
      </c>
      <c r="P182" s="28"/>
      <c r="Q182" s="17" t="str">
        <f t="shared" si="123"/>
        <v>Gráfico</v>
      </c>
      <c r="R182" s="28" t="str">
        <f>Agencia[[#This Row],[territorio]]&amp;",violencia,mujer,abuso, sexual, sentencia,menor,juzgado"</f>
        <v>Región de Ñuble,violencia,mujer,abuso, sexual, sentencia,menor,juzgado</v>
      </c>
      <c r="S182" s="30" t="s">
        <v>432</v>
      </c>
      <c r="T182" s="31"/>
      <c r="U182" s="36" t="str">
        <f t="shared" si="124"/>
        <v>#1774B9</v>
      </c>
      <c r="V182" s="37" t="str">
        <f>+Agencia[[#This Row],[idcoleccion]]&amp;"-"&amp;Agencia[[#This Row],[id]]</f>
        <v>990-0172</v>
      </c>
      <c r="W182" s="38">
        <f>+VLOOKUP(Agencia[[#This Row],[Filtro URL]],Estructura!$X$4:$Y$366,2,0)</f>
        <v>99200016</v>
      </c>
      <c r="X182" s="35" t="str">
        <f>+VLOOKUP(Agencia[[#This Row],[tema]],Estructura!$A$4:$C$18,3,0)</f>
        <v>T-998</v>
      </c>
      <c r="Y182" s="35" t="str">
        <f>+VLOOKUP(Agencia[[#This Row],[contenido]],Estructura!$E$4:$G$18,3,0)</f>
        <v>C-997</v>
      </c>
      <c r="Z182" s="35" t="str">
        <f>+VLOOKUP(Agencia[[#This Row],[Filtro Integrado]],Estructura!$I$4:$K$18,3,0)</f>
        <v>FI-991</v>
      </c>
      <c r="AA182" s="35" t="str">
        <f>+VLOOKUP(Agencia[[#This Row],[Muestra]],Estructura!$M$4:$O$18,3,0)</f>
        <v>M-991</v>
      </c>
    </row>
    <row r="183" spans="1:27" ht="24" x14ac:dyDescent="0.3">
      <c r="A183" s="29" t="s">
        <v>619</v>
      </c>
      <c r="B183" s="39">
        <f t="shared" si="125"/>
        <v>990</v>
      </c>
      <c r="C183" s="40" t="str">
        <f t="shared" si="125"/>
        <v>Agencia Información</v>
      </c>
      <c r="D183" s="40" t="str">
        <f t="shared" si="125"/>
        <v>Mujeres</v>
      </c>
      <c r="E183" s="27"/>
      <c r="F183" s="15" t="str">
        <f t="shared" si="126"/>
        <v>Sentencias por delitos de abuso sexual</v>
      </c>
      <c r="G183" s="15" t="str">
        <f t="shared" si="127"/>
        <v>Abuso sexual</v>
      </c>
      <c r="H183" s="16"/>
      <c r="I183" s="14"/>
      <c r="J183" s="14" t="str">
        <f t="shared" si="128"/>
        <v>Comuna</v>
      </c>
      <c r="K183" s="14" t="str">
        <f t="shared" si="129"/>
        <v>Comuna</v>
      </c>
      <c r="L183" s="14" t="str">
        <f t="shared" si="130"/>
        <v>Periodo 2013-2019</v>
      </c>
      <c r="M183" s="14" t="str">
        <f t="shared" si="131"/>
        <v>Número de Sentencias</v>
      </c>
      <c r="N183" s="14" t="str">
        <f t="shared" si="132"/>
        <v>Poder Judicial</v>
      </c>
      <c r="O183" s="28" t="str">
        <f>"Sentencias Dictadas por delitos de Abuso Sexual en la "&amp;Agencia[[#This Row],[territorio]]&amp;" para el "&amp;Agencia[[#This Row],[temporalidad]]</f>
        <v>Sentencias Dictadas por delitos de Abuso Sexual en la  para el Periodo 2013-2019</v>
      </c>
      <c r="P183" s="28"/>
      <c r="Q183" s="17" t="str">
        <f t="shared" si="123"/>
        <v>Gráfico</v>
      </c>
      <c r="R183" s="28" t="str">
        <f>Agencia[[#This Row],[territorio]]&amp;",violencia,mujer,abuso, sexual, sentencia,menor,juzgado"</f>
        <v>,violencia,mujer,abuso, sexual, sentencia,menor,juzgado</v>
      </c>
      <c r="S183" s="30" t="s">
        <v>432</v>
      </c>
      <c r="T183" s="31"/>
      <c r="U183" s="36" t="str">
        <f t="shared" si="124"/>
        <v>#1774B9</v>
      </c>
      <c r="V183" s="37" t="str">
        <f>+Agencia[[#This Row],[idcoleccion]]&amp;"-"&amp;Agencia[[#This Row],[id]]</f>
        <v>990-0173</v>
      </c>
      <c r="W183" s="38">
        <f>+VLOOKUP(Agencia[[#This Row],[Filtro URL]],Estructura!$X$4:$Y$366,2,0)</f>
        <v>99100000</v>
      </c>
      <c r="X183" s="35" t="str">
        <f>+VLOOKUP(Agencia[[#This Row],[tema]],Estructura!$A$4:$C$18,3,0)</f>
        <v>T-998</v>
      </c>
      <c r="Y183" s="35" t="str">
        <f>+VLOOKUP(Agencia[[#This Row],[contenido]],Estructura!$E$4:$G$18,3,0)</f>
        <v>C-997</v>
      </c>
      <c r="Z183" s="35" t="str">
        <f>+VLOOKUP(Agencia[[#This Row],[Filtro Integrado]],Estructura!$I$4:$K$18,3,0)</f>
        <v>FI-991</v>
      </c>
      <c r="AA183" s="35" t="str">
        <f>+VLOOKUP(Agencia[[#This Row],[Muestra]],Estructura!$M$4:$O$18,3,0)</f>
        <v>M-991</v>
      </c>
    </row>
    <row r="184" spans="1:27" ht="24" x14ac:dyDescent="0.3">
      <c r="A184" s="29" t="s">
        <v>620</v>
      </c>
      <c r="B184" s="39">
        <f t="shared" si="125"/>
        <v>990</v>
      </c>
      <c r="C184" s="40" t="str">
        <f t="shared" si="125"/>
        <v>Agencia Información</v>
      </c>
      <c r="D184" s="40" t="str">
        <f t="shared" si="125"/>
        <v>Mujeres</v>
      </c>
      <c r="E184" s="27"/>
      <c r="F184" s="15" t="str">
        <f t="shared" si="126"/>
        <v>Sentencias por delitos de abuso sexual</v>
      </c>
      <c r="G184" s="15" t="str">
        <f t="shared" si="127"/>
        <v>Abuso sexual</v>
      </c>
      <c r="H184" s="16"/>
      <c r="I184" s="14"/>
      <c r="J184" s="14" t="str">
        <f t="shared" si="128"/>
        <v>Comuna</v>
      </c>
      <c r="K184" s="14" t="str">
        <f t="shared" si="129"/>
        <v>Comuna</v>
      </c>
      <c r="L184" s="14" t="str">
        <f t="shared" si="130"/>
        <v>Periodo 2013-2019</v>
      </c>
      <c r="M184" s="14" t="str">
        <f t="shared" si="131"/>
        <v>Número de Sentencias</v>
      </c>
      <c r="N184" s="14" t="str">
        <f t="shared" si="132"/>
        <v>Poder Judicial</v>
      </c>
      <c r="O184" s="28" t="str">
        <f>"Sentencias Dictadas por delitos de Abuso Sexual en la "&amp;Agencia[[#This Row],[territorio]]&amp;" para el "&amp;Agencia[[#This Row],[temporalidad]]</f>
        <v>Sentencias Dictadas por delitos de Abuso Sexual en la  para el Periodo 2013-2019</v>
      </c>
      <c r="P184" s="28"/>
      <c r="Q184" s="17" t="str">
        <f t="shared" si="123"/>
        <v>Gráfico</v>
      </c>
      <c r="R184" s="28" t="str">
        <f>Agencia[[#This Row],[territorio]]&amp;",violencia,mujer,abuso, sexual, sentencia,menor,juzgado"</f>
        <v>,violencia,mujer,abuso, sexual, sentencia,menor,juzgado</v>
      </c>
      <c r="S184" s="30" t="s">
        <v>432</v>
      </c>
      <c r="T184" s="31"/>
      <c r="U184" s="36" t="str">
        <f t="shared" si="124"/>
        <v>#1774B9</v>
      </c>
      <c r="V184" s="37" t="str">
        <f>+Agencia[[#This Row],[idcoleccion]]&amp;"-"&amp;Agencia[[#This Row],[id]]</f>
        <v>990-0174</v>
      </c>
      <c r="W184" s="38">
        <f>+VLOOKUP(Agencia[[#This Row],[Filtro URL]],Estructura!$X$4:$Y$366,2,0)</f>
        <v>99100000</v>
      </c>
      <c r="X184" s="35" t="str">
        <f>+VLOOKUP(Agencia[[#This Row],[tema]],Estructura!$A$4:$C$18,3,0)</f>
        <v>T-998</v>
      </c>
      <c r="Y184" s="35" t="str">
        <f>+VLOOKUP(Agencia[[#This Row],[contenido]],Estructura!$E$4:$G$18,3,0)</f>
        <v>C-997</v>
      </c>
      <c r="Z184" s="35" t="str">
        <f>+VLOOKUP(Agencia[[#This Row],[Filtro Integrado]],Estructura!$I$4:$K$18,3,0)</f>
        <v>FI-991</v>
      </c>
      <c r="AA184" s="35" t="str">
        <f>+VLOOKUP(Agencia[[#This Row],[Muestra]],Estructura!$M$4:$O$18,3,0)</f>
        <v>M-991</v>
      </c>
    </row>
    <row r="185" spans="1:27" ht="24" x14ac:dyDescent="0.3">
      <c r="A185" s="29" t="s">
        <v>621</v>
      </c>
      <c r="B185" s="39">
        <f t="shared" si="125"/>
        <v>990</v>
      </c>
      <c r="C185" s="40" t="str">
        <f t="shared" si="125"/>
        <v>Agencia Información</v>
      </c>
      <c r="D185" s="40" t="str">
        <f t="shared" si="125"/>
        <v>Mujeres</v>
      </c>
      <c r="E185" s="27"/>
      <c r="F185" s="15" t="str">
        <f t="shared" si="126"/>
        <v>Sentencias por delitos de abuso sexual</v>
      </c>
      <c r="G185" s="15" t="str">
        <f t="shared" si="127"/>
        <v>Abuso sexual</v>
      </c>
      <c r="H185" s="16"/>
      <c r="I185" s="14"/>
      <c r="J185" s="14" t="str">
        <f t="shared" si="128"/>
        <v>Comuna</v>
      </c>
      <c r="K185" s="14" t="str">
        <f t="shared" si="129"/>
        <v>Comuna</v>
      </c>
      <c r="L185" s="14" t="str">
        <f t="shared" si="130"/>
        <v>Periodo 2013-2019</v>
      </c>
      <c r="M185" s="14" t="str">
        <f t="shared" si="131"/>
        <v>Número de Sentencias</v>
      </c>
      <c r="N185" s="14" t="str">
        <f t="shared" si="132"/>
        <v>Poder Judicial</v>
      </c>
      <c r="O185" s="28" t="str">
        <f>"Sentencias Dictadas por delitos de Abuso Sexual en la "&amp;Agencia[[#This Row],[territorio]]&amp;" para el "&amp;Agencia[[#This Row],[temporalidad]]</f>
        <v>Sentencias Dictadas por delitos de Abuso Sexual en la  para el Periodo 2013-2019</v>
      </c>
      <c r="P185" s="28"/>
      <c r="Q185" s="17" t="str">
        <f t="shared" si="123"/>
        <v>Gráfico</v>
      </c>
      <c r="R185" s="28" t="str">
        <f>Agencia[[#This Row],[territorio]]&amp;",violencia,mujer,abuso, sexual, sentencia,menor,juzgado"</f>
        <v>,violencia,mujer,abuso, sexual, sentencia,menor,juzgado</v>
      </c>
      <c r="S185" s="30" t="s">
        <v>432</v>
      </c>
      <c r="T185" s="31"/>
      <c r="U185" s="36" t="str">
        <f t="shared" si="124"/>
        <v>#1774B9</v>
      </c>
      <c r="V185" s="37" t="str">
        <f>+Agencia[[#This Row],[idcoleccion]]&amp;"-"&amp;Agencia[[#This Row],[id]]</f>
        <v>990-0175</v>
      </c>
      <c r="W185" s="38">
        <f>+VLOOKUP(Agencia[[#This Row],[Filtro URL]],Estructura!$X$4:$Y$366,2,0)</f>
        <v>99100000</v>
      </c>
      <c r="X185" s="35" t="str">
        <f>+VLOOKUP(Agencia[[#This Row],[tema]],Estructura!$A$4:$C$18,3,0)</f>
        <v>T-998</v>
      </c>
      <c r="Y185" s="35" t="str">
        <f>+VLOOKUP(Agencia[[#This Row],[contenido]],Estructura!$E$4:$G$18,3,0)</f>
        <v>C-997</v>
      </c>
      <c r="Z185" s="35" t="str">
        <f>+VLOOKUP(Agencia[[#This Row],[Filtro Integrado]],Estructura!$I$4:$K$18,3,0)</f>
        <v>FI-991</v>
      </c>
      <c r="AA185" s="35" t="str">
        <f>+VLOOKUP(Agencia[[#This Row],[Muestra]],Estructura!$M$4:$O$18,3,0)</f>
        <v>M-991</v>
      </c>
    </row>
    <row r="186" spans="1:27" ht="24" x14ac:dyDescent="0.3">
      <c r="A186" s="29" t="s">
        <v>622</v>
      </c>
      <c r="B186" s="39">
        <f t="shared" si="125"/>
        <v>990</v>
      </c>
      <c r="C186" s="40" t="str">
        <f t="shared" si="125"/>
        <v>Agencia Información</v>
      </c>
      <c r="D186" s="40" t="str">
        <f t="shared" si="125"/>
        <v>Mujeres</v>
      </c>
      <c r="E186" s="27"/>
      <c r="F186" s="15" t="str">
        <f t="shared" si="126"/>
        <v>Sentencias por delitos de abuso sexual</v>
      </c>
      <c r="G186" s="15" t="str">
        <f t="shared" si="127"/>
        <v>Abuso sexual</v>
      </c>
      <c r="H186" s="16"/>
      <c r="I186" s="14"/>
      <c r="J186" s="14" t="str">
        <f t="shared" si="128"/>
        <v>Comuna</v>
      </c>
      <c r="K186" s="14" t="str">
        <f t="shared" si="129"/>
        <v>Comuna</v>
      </c>
      <c r="L186" s="14" t="str">
        <f t="shared" si="130"/>
        <v>Periodo 2013-2019</v>
      </c>
      <c r="M186" s="14" t="str">
        <f t="shared" si="131"/>
        <v>Número de Sentencias</v>
      </c>
      <c r="N186" s="14" t="str">
        <f t="shared" si="132"/>
        <v>Poder Judicial</v>
      </c>
      <c r="O186" s="28" t="str">
        <f>"Sentencias Dictadas por delitos de Abuso Sexual en la "&amp;Agencia[[#This Row],[territorio]]&amp;" para el "&amp;Agencia[[#This Row],[temporalidad]]</f>
        <v>Sentencias Dictadas por delitos de Abuso Sexual en la  para el Periodo 2013-2019</v>
      </c>
      <c r="P186" s="28"/>
      <c r="Q186" s="17" t="str">
        <f t="shared" si="123"/>
        <v>Gráfico</v>
      </c>
      <c r="R186" s="28" t="str">
        <f>Agencia[[#This Row],[territorio]]&amp;",violencia,mujer,abuso, sexual, sentencia,menor,juzgado"</f>
        <v>,violencia,mujer,abuso, sexual, sentencia,menor,juzgado</v>
      </c>
      <c r="S186" s="30" t="s">
        <v>432</v>
      </c>
      <c r="T186" s="31"/>
      <c r="U186" s="36" t="str">
        <f t="shared" si="124"/>
        <v>#1774B9</v>
      </c>
      <c r="V186" s="37" t="str">
        <f>+Agencia[[#This Row],[idcoleccion]]&amp;"-"&amp;Agencia[[#This Row],[id]]</f>
        <v>990-0176</v>
      </c>
      <c r="W186" s="38">
        <f>+VLOOKUP(Agencia[[#This Row],[Filtro URL]],Estructura!$X$4:$Y$366,2,0)</f>
        <v>99100000</v>
      </c>
      <c r="X186" s="35" t="str">
        <f>+VLOOKUP(Agencia[[#This Row],[tema]],Estructura!$A$4:$C$18,3,0)</f>
        <v>T-998</v>
      </c>
      <c r="Y186" s="35" t="str">
        <f>+VLOOKUP(Agencia[[#This Row],[contenido]],Estructura!$E$4:$G$18,3,0)</f>
        <v>C-997</v>
      </c>
      <c r="Z186" s="35" t="str">
        <f>+VLOOKUP(Agencia[[#This Row],[Filtro Integrado]],Estructura!$I$4:$K$18,3,0)</f>
        <v>FI-991</v>
      </c>
      <c r="AA186" s="35" t="str">
        <f>+VLOOKUP(Agencia[[#This Row],[Muestra]],Estructura!$M$4:$O$18,3,0)</f>
        <v>M-991</v>
      </c>
    </row>
    <row r="187" spans="1:27" ht="24" x14ac:dyDescent="0.3">
      <c r="A187" s="29" t="s">
        <v>623</v>
      </c>
      <c r="B187" s="39">
        <f t="shared" si="125"/>
        <v>990</v>
      </c>
      <c r="C187" s="40" t="str">
        <f t="shared" si="125"/>
        <v>Agencia Información</v>
      </c>
      <c r="D187" s="40" t="str">
        <f t="shared" si="125"/>
        <v>Mujeres</v>
      </c>
      <c r="E187" s="27"/>
      <c r="F187" s="15" t="str">
        <f t="shared" si="126"/>
        <v>Sentencias por delitos de abuso sexual</v>
      </c>
      <c r="G187" s="15" t="str">
        <f t="shared" si="127"/>
        <v>Abuso sexual</v>
      </c>
      <c r="H187" s="16"/>
      <c r="I187" s="14"/>
      <c r="J187" s="14" t="str">
        <f t="shared" si="128"/>
        <v>Comuna</v>
      </c>
      <c r="K187" s="14" t="str">
        <f t="shared" si="129"/>
        <v>Comuna</v>
      </c>
      <c r="L187" s="14" t="str">
        <f t="shared" si="130"/>
        <v>Periodo 2013-2019</v>
      </c>
      <c r="M187" s="14" t="str">
        <f t="shared" si="131"/>
        <v>Número de Sentencias</v>
      </c>
      <c r="N187" s="14" t="str">
        <f t="shared" si="132"/>
        <v>Poder Judicial</v>
      </c>
      <c r="O187" s="28" t="str">
        <f>"Sentencias Dictadas por delitos de Abuso Sexual en la "&amp;Agencia[[#This Row],[territorio]]&amp;" para el "&amp;Agencia[[#This Row],[temporalidad]]</f>
        <v>Sentencias Dictadas por delitos de Abuso Sexual en la  para el Periodo 2013-2019</v>
      </c>
      <c r="P187" s="28"/>
      <c r="Q187" s="17" t="str">
        <f t="shared" si="123"/>
        <v>Gráfico</v>
      </c>
      <c r="R187" s="28" t="str">
        <f>Agencia[[#This Row],[territorio]]&amp;",violencia,mujer,abuso, sexual, sentencia,menor,juzgado"</f>
        <v>,violencia,mujer,abuso, sexual, sentencia,menor,juzgado</v>
      </c>
      <c r="S187" s="30" t="s">
        <v>432</v>
      </c>
      <c r="T187" s="31"/>
      <c r="U187" s="36" t="str">
        <f t="shared" si="124"/>
        <v>#1774B9</v>
      </c>
      <c r="V187" s="37" t="str">
        <f>+Agencia[[#This Row],[idcoleccion]]&amp;"-"&amp;Agencia[[#This Row],[id]]</f>
        <v>990-0177</v>
      </c>
      <c r="W187" s="38">
        <f>+VLOOKUP(Agencia[[#This Row],[Filtro URL]],Estructura!$X$4:$Y$366,2,0)</f>
        <v>99100000</v>
      </c>
      <c r="X187" s="35" t="str">
        <f>+VLOOKUP(Agencia[[#This Row],[tema]],Estructura!$A$4:$C$18,3,0)</f>
        <v>T-998</v>
      </c>
      <c r="Y187" s="35" t="str">
        <f>+VLOOKUP(Agencia[[#This Row],[contenido]],Estructura!$E$4:$G$18,3,0)</f>
        <v>C-997</v>
      </c>
      <c r="Z187" s="35" t="str">
        <f>+VLOOKUP(Agencia[[#This Row],[Filtro Integrado]],Estructura!$I$4:$K$18,3,0)</f>
        <v>FI-991</v>
      </c>
      <c r="AA187" s="35" t="str">
        <f>+VLOOKUP(Agencia[[#This Row],[Muestra]],Estructura!$M$4:$O$18,3,0)</f>
        <v>M-991</v>
      </c>
    </row>
    <row r="188" spans="1:27" ht="24" x14ac:dyDescent="0.3">
      <c r="A188" s="29" t="s">
        <v>624</v>
      </c>
      <c r="B188" s="39">
        <f t="shared" si="125"/>
        <v>990</v>
      </c>
      <c r="C188" s="40" t="str">
        <f t="shared" si="125"/>
        <v>Agencia Información</v>
      </c>
      <c r="D188" s="40" t="str">
        <f t="shared" si="125"/>
        <v>Mujeres</v>
      </c>
      <c r="E188" s="27"/>
      <c r="F188" s="15" t="str">
        <f t="shared" si="126"/>
        <v>Sentencias por delitos de abuso sexual</v>
      </c>
      <c r="G188" s="15" t="str">
        <f t="shared" si="127"/>
        <v>Abuso sexual</v>
      </c>
      <c r="H188" s="16"/>
      <c r="I188" s="14"/>
      <c r="J188" s="14" t="str">
        <f t="shared" si="128"/>
        <v>Comuna</v>
      </c>
      <c r="K188" s="14" t="str">
        <f t="shared" si="129"/>
        <v>Comuna</v>
      </c>
      <c r="L188" s="14" t="str">
        <f t="shared" si="130"/>
        <v>Periodo 2013-2019</v>
      </c>
      <c r="M188" s="14" t="str">
        <f t="shared" si="131"/>
        <v>Número de Sentencias</v>
      </c>
      <c r="N188" s="14" t="str">
        <f t="shared" si="132"/>
        <v>Poder Judicial</v>
      </c>
      <c r="O188" s="28" t="str">
        <f>"Sentencias Dictadas por delitos de Abuso Sexual en la "&amp;Agencia[[#This Row],[territorio]]&amp;" para el "&amp;Agencia[[#This Row],[temporalidad]]</f>
        <v>Sentencias Dictadas por delitos de Abuso Sexual en la  para el Periodo 2013-2019</v>
      </c>
      <c r="P188" s="28"/>
      <c r="Q188" s="17" t="str">
        <f t="shared" si="123"/>
        <v>Gráfico</v>
      </c>
      <c r="R188" s="28" t="str">
        <f>Agencia[[#This Row],[territorio]]&amp;",violencia,mujer,abuso, sexual, sentencia,menor,juzgado"</f>
        <v>,violencia,mujer,abuso, sexual, sentencia,menor,juzgado</v>
      </c>
      <c r="S188" s="30" t="s">
        <v>432</v>
      </c>
      <c r="T188" s="31"/>
      <c r="U188" s="36" t="str">
        <f t="shared" si="124"/>
        <v>#1774B9</v>
      </c>
      <c r="V188" s="37" t="str">
        <f>+Agencia[[#This Row],[idcoleccion]]&amp;"-"&amp;Agencia[[#This Row],[id]]</f>
        <v>990-0178</v>
      </c>
      <c r="W188" s="38">
        <f>+VLOOKUP(Agencia[[#This Row],[Filtro URL]],Estructura!$X$4:$Y$366,2,0)</f>
        <v>99100000</v>
      </c>
      <c r="X188" s="35" t="str">
        <f>+VLOOKUP(Agencia[[#This Row],[tema]],Estructura!$A$4:$C$18,3,0)</f>
        <v>T-998</v>
      </c>
      <c r="Y188" s="35" t="str">
        <f>+VLOOKUP(Agencia[[#This Row],[contenido]],Estructura!$E$4:$G$18,3,0)</f>
        <v>C-997</v>
      </c>
      <c r="Z188" s="35" t="str">
        <f>+VLOOKUP(Agencia[[#This Row],[Filtro Integrado]],Estructura!$I$4:$K$18,3,0)</f>
        <v>FI-991</v>
      </c>
      <c r="AA188" s="35" t="str">
        <f>+VLOOKUP(Agencia[[#This Row],[Muestra]],Estructura!$M$4:$O$18,3,0)</f>
        <v>M-991</v>
      </c>
    </row>
    <row r="189" spans="1:27" ht="24" x14ac:dyDescent="0.3">
      <c r="A189" s="29" t="s">
        <v>625</v>
      </c>
      <c r="B189" s="39">
        <f t="shared" si="125"/>
        <v>990</v>
      </c>
      <c r="C189" s="40" t="str">
        <f t="shared" si="125"/>
        <v>Agencia Información</v>
      </c>
      <c r="D189" s="40" t="str">
        <f t="shared" si="125"/>
        <v>Mujeres</v>
      </c>
      <c r="E189" s="27"/>
      <c r="F189" s="15" t="str">
        <f t="shared" si="126"/>
        <v>Sentencias por delitos de abuso sexual</v>
      </c>
      <c r="G189" s="15" t="str">
        <f t="shared" si="127"/>
        <v>Abuso sexual</v>
      </c>
      <c r="H189" s="16"/>
      <c r="I189" s="14"/>
      <c r="J189" s="14" t="str">
        <f t="shared" si="128"/>
        <v>Comuna</v>
      </c>
      <c r="K189" s="14" t="str">
        <f t="shared" si="129"/>
        <v>Comuna</v>
      </c>
      <c r="L189" s="14" t="str">
        <f t="shared" si="130"/>
        <v>Periodo 2013-2019</v>
      </c>
      <c r="M189" s="14" t="str">
        <f t="shared" si="131"/>
        <v>Número de Sentencias</v>
      </c>
      <c r="N189" s="14" t="str">
        <f t="shared" si="132"/>
        <v>Poder Judicial</v>
      </c>
      <c r="O189" s="28" t="str">
        <f>"Sentencias Dictadas por delitos de Abuso Sexual en la "&amp;Agencia[[#This Row],[territorio]]&amp;" para el "&amp;Agencia[[#This Row],[temporalidad]]</f>
        <v>Sentencias Dictadas por delitos de Abuso Sexual en la  para el Periodo 2013-2019</v>
      </c>
      <c r="P189" s="28"/>
      <c r="Q189" s="17" t="str">
        <f t="shared" si="123"/>
        <v>Gráfico</v>
      </c>
      <c r="R189" s="28" t="str">
        <f>Agencia[[#This Row],[territorio]]&amp;",violencia,mujer,abuso, sexual, sentencia,menor,juzgado"</f>
        <v>,violencia,mujer,abuso, sexual, sentencia,menor,juzgado</v>
      </c>
      <c r="S189" s="30" t="s">
        <v>432</v>
      </c>
      <c r="T189" s="31"/>
      <c r="U189" s="36" t="str">
        <f t="shared" si="124"/>
        <v>#1774B9</v>
      </c>
      <c r="V189" s="37" t="str">
        <f>+Agencia[[#This Row],[idcoleccion]]&amp;"-"&amp;Agencia[[#This Row],[id]]</f>
        <v>990-0179</v>
      </c>
      <c r="W189" s="38">
        <f>+VLOOKUP(Agencia[[#This Row],[Filtro URL]],Estructura!$X$4:$Y$366,2,0)</f>
        <v>99100000</v>
      </c>
      <c r="X189" s="35" t="str">
        <f>+VLOOKUP(Agencia[[#This Row],[tema]],Estructura!$A$4:$C$18,3,0)</f>
        <v>T-998</v>
      </c>
      <c r="Y189" s="35" t="str">
        <f>+VLOOKUP(Agencia[[#This Row],[contenido]],Estructura!$E$4:$G$18,3,0)</f>
        <v>C-997</v>
      </c>
      <c r="Z189" s="35" t="str">
        <f>+VLOOKUP(Agencia[[#This Row],[Filtro Integrado]],Estructura!$I$4:$K$18,3,0)</f>
        <v>FI-991</v>
      </c>
      <c r="AA189" s="35" t="str">
        <f>+VLOOKUP(Agencia[[#This Row],[Muestra]],Estructura!$M$4:$O$18,3,0)</f>
        <v>M-991</v>
      </c>
    </row>
    <row r="190" spans="1:27" ht="24" x14ac:dyDescent="0.3">
      <c r="A190" s="29" t="s">
        <v>626</v>
      </c>
      <c r="B190" s="39">
        <f t="shared" si="125"/>
        <v>990</v>
      </c>
      <c r="C190" s="40" t="str">
        <f t="shared" si="125"/>
        <v>Agencia Información</v>
      </c>
      <c r="D190" s="40" t="str">
        <f t="shared" si="125"/>
        <v>Mujeres</v>
      </c>
      <c r="E190" s="27"/>
      <c r="F190" s="15" t="str">
        <f t="shared" si="126"/>
        <v>Sentencias por delitos de abuso sexual</v>
      </c>
      <c r="G190" s="15" t="str">
        <f t="shared" si="127"/>
        <v>Abuso sexual</v>
      </c>
      <c r="H190" s="16"/>
      <c r="I190" s="14"/>
      <c r="J190" s="14" t="str">
        <f t="shared" si="128"/>
        <v>Comuna</v>
      </c>
      <c r="K190" s="14" t="str">
        <f t="shared" si="129"/>
        <v>Comuna</v>
      </c>
      <c r="L190" s="14" t="str">
        <f t="shared" si="130"/>
        <v>Periodo 2013-2019</v>
      </c>
      <c r="M190" s="14" t="str">
        <f t="shared" si="131"/>
        <v>Número de Sentencias</v>
      </c>
      <c r="N190" s="14" t="str">
        <f t="shared" si="132"/>
        <v>Poder Judicial</v>
      </c>
      <c r="O190" s="28" t="str">
        <f>"Sentencias Dictadas por delitos de Abuso Sexual en la "&amp;Agencia[[#This Row],[territorio]]&amp;" para el "&amp;Agencia[[#This Row],[temporalidad]]</f>
        <v>Sentencias Dictadas por delitos de Abuso Sexual en la  para el Periodo 2013-2019</v>
      </c>
      <c r="P190" s="28"/>
      <c r="Q190" s="17" t="str">
        <f t="shared" si="123"/>
        <v>Gráfico</v>
      </c>
      <c r="R190" s="28" t="str">
        <f>Agencia[[#This Row],[territorio]]&amp;",violencia,mujer,abuso, sexual, sentencia,menor,juzgado"</f>
        <v>,violencia,mujer,abuso, sexual, sentencia,menor,juzgado</v>
      </c>
      <c r="S190" s="30" t="s">
        <v>432</v>
      </c>
      <c r="T190" s="31"/>
      <c r="U190" s="36" t="str">
        <f t="shared" si="124"/>
        <v>#1774B9</v>
      </c>
      <c r="V190" s="37" t="str">
        <f>+Agencia[[#This Row],[idcoleccion]]&amp;"-"&amp;Agencia[[#This Row],[id]]</f>
        <v>990-0180</v>
      </c>
      <c r="W190" s="38">
        <f>+VLOOKUP(Agencia[[#This Row],[Filtro URL]],Estructura!$X$4:$Y$366,2,0)</f>
        <v>99100000</v>
      </c>
      <c r="X190" s="35" t="str">
        <f>+VLOOKUP(Agencia[[#This Row],[tema]],Estructura!$A$4:$C$18,3,0)</f>
        <v>T-998</v>
      </c>
      <c r="Y190" s="35" t="str">
        <f>+VLOOKUP(Agencia[[#This Row],[contenido]],Estructura!$E$4:$G$18,3,0)</f>
        <v>C-997</v>
      </c>
      <c r="Z190" s="35" t="str">
        <f>+VLOOKUP(Agencia[[#This Row],[Filtro Integrado]],Estructura!$I$4:$K$18,3,0)</f>
        <v>FI-991</v>
      </c>
      <c r="AA190" s="35" t="str">
        <f>+VLOOKUP(Agencia[[#This Row],[Muestra]],Estructura!$M$4:$O$18,3,0)</f>
        <v>M-991</v>
      </c>
    </row>
  </sheetData>
  <phoneticPr fontId="8" type="noConversion"/>
  <hyperlinks>
    <hyperlink ref="S14" r:id="rId1" xr:uid="{30D68803-013A-4BFF-B624-32AE391E8FF6}"/>
    <hyperlink ref="S59" r:id="rId2" xr:uid="{F5F2B90E-6578-48B5-B6E6-41A0024F8CE1}"/>
    <hyperlink ref="S97" r:id="rId3" xr:uid="{A30A7E42-63C1-4979-AC16-5A814C3F082D}"/>
    <hyperlink ref="S131" r:id="rId4" xr:uid="{A98E8E94-79A1-42E5-A4D3-190A139A3AAD}"/>
  </hyperlinks>
  <pageMargins left="0.7" right="0.7" top="0.75" bottom="0.75" header="0.3" footer="0.3"/>
  <pageSetup orientation="portrait" horizontalDpi="4294967293" verticalDpi="4294967293" r:id="rId5"/>
  <ignoredErrors>
    <ignoredError sqref="Q12" calculatedColumn="1"/>
    <ignoredError sqref="AH18" formula="1"/>
  </ignoredErrors>
  <drawing r:id="rId6"/>
  <tableParts count="1">
    <tablePart r:id="rId7"/>
  </tableParts>
  <extLst>
    <ext xmlns:x15="http://schemas.microsoft.com/office/spreadsheetml/2010/11/main" uri="{3A4CF648-6AED-40f4-86FF-DC5316D8AED3}">
      <x14:slicerList xmlns:x14="http://schemas.microsoft.com/office/spreadsheetml/2009/9/main">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00996-782E-477B-9CFA-4A03E6187C1D}">
  <sheetPr>
    <tabColor rgb="FFC00000"/>
  </sheetPr>
  <dimension ref="A1:AD366"/>
  <sheetViews>
    <sheetView showGridLines="0" workbookViewId="0">
      <selection activeCell="A8" sqref="A8"/>
    </sheetView>
  </sheetViews>
  <sheetFormatPr baseColWidth="10" defaultRowHeight="14.4" x14ac:dyDescent="0.3"/>
  <cols>
    <col min="1" max="1" width="39.44140625" bestFit="1" customWidth="1"/>
    <col min="2" max="2" width="6.33203125" customWidth="1"/>
    <col min="3" max="3" width="7.6640625" bestFit="1" customWidth="1"/>
    <col min="4" max="4" width="1.33203125" style="54" customWidth="1"/>
    <col min="5" max="5" width="20.21875" bestFit="1" customWidth="1"/>
    <col min="6" max="6" width="4.77734375" customWidth="1"/>
    <col min="7" max="7" width="13" customWidth="1"/>
    <col min="8" max="8" width="1.21875" style="54" customWidth="1"/>
    <col min="9" max="9" width="16.109375" style="53" bestFit="1" customWidth="1"/>
    <col min="10" max="10" width="4.44140625" style="53" customWidth="1"/>
    <col min="11" max="11" width="13" style="53" customWidth="1"/>
    <col min="12" max="12" width="1.33203125" style="54" customWidth="1"/>
    <col min="13" max="13" width="34.5546875" style="53" bestFit="1" customWidth="1"/>
    <col min="14" max="14" width="3.77734375" style="53" customWidth="1"/>
    <col min="15" max="15" width="10.5546875" style="53" customWidth="1"/>
    <col min="16" max="16" width="1.44140625" style="54" customWidth="1"/>
    <col min="17" max="17" width="7.5546875" bestFit="1" customWidth="1"/>
    <col min="18" max="18" width="10" bestFit="1" customWidth="1"/>
    <col min="19" max="19" width="5.21875" customWidth="1"/>
    <col min="20" max="20" width="1.33203125" style="54" customWidth="1"/>
    <col min="21" max="21" width="10.33203125" customWidth="1"/>
    <col min="22" max="22" width="26" customWidth="1"/>
    <col min="23" max="23" width="10" bestFit="1" customWidth="1"/>
    <col min="24" max="24" width="6" bestFit="1" customWidth="1"/>
    <col min="26" max="26" width="3.77734375" customWidth="1"/>
    <col min="27" max="27" width="1.44140625" style="54" customWidth="1"/>
    <col min="28" max="28" width="3.33203125" customWidth="1"/>
    <col min="29" max="29" width="24.33203125" bestFit="1" customWidth="1"/>
    <col min="31" max="31" width="11.77734375" customWidth="1"/>
  </cols>
  <sheetData>
    <row r="1" spans="1:30" x14ac:dyDescent="0.3">
      <c r="A1" s="23" t="s">
        <v>405</v>
      </c>
      <c r="B1" s="24">
        <v>990</v>
      </c>
    </row>
    <row r="3" spans="1:30" x14ac:dyDescent="0.3">
      <c r="A3" s="4" t="s">
        <v>3</v>
      </c>
      <c r="C3" s="7" t="s">
        <v>393</v>
      </c>
      <c r="E3" s="4" t="s">
        <v>4</v>
      </c>
      <c r="G3" s="7" t="s">
        <v>394</v>
      </c>
      <c r="H3" s="55"/>
      <c r="I3" s="4" t="s">
        <v>24</v>
      </c>
      <c r="J3" s="22"/>
      <c r="K3" s="7" t="s">
        <v>397</v>
      </c>
      <c r="L3" s="55"/>
      <c r="M3" s="4" t="s">
        <v>25</v>
      </c>
      <c r="N3" s="22"/>
      <c r="O3" s="7" t="s">
        <v>396</v>
      </c>
      <c r="P3" s="55"/>
      <c r="Q3" t="s">
        <v>395</v>
      </c>
      <c r="R3" s="7" t="s">
        <v>5</v>
      </c>
      <c r="V3" s="4" t="s">
        <v>6</v>
      </c>
      <c r="W3" s="7" t="s">
        <v>5</v>
      </c>
      <c r="X3" s="8" t="s">
        <v>403</v>
      </c>
      <c r="Y3" s="8" t="s">
        <v>402</v>
      </c>
      <c r="AC3" t="s">
        <v>15</v>
      </c>
      <c r="AD3">
        <v>0</v>
      </c>
    </row>
    <row r="4" spans="1:30" x14ac:dyDescent="0.3">
      <c r="A4" t="s">
        <v>408</v>
      </c>
      <c r="B4" s="22">
        <v>1</v>
      </c>
      <c r="C4" s="53" t="str">
        <f>+IF(A4="","","T-"&amp;$B$1+B4)</f>
        <v>T-991</v>
      </c>
      <c r="E4" t="s">
        <v>407</v>
      </c>
      <c r="F4" s="22">
        <v>1</v>
      </c>
      <c r="G4" t="str">
        <f>+IF(E4="","","C-"&amp;$B$1+F4)</f>
        <v>C-991</v>
      </c>
      <c r="I4" t="s">
        <v>18</v>
      </c>
      <c r="J4" s="22">
        <v>1</v>
      </c>
      <c r="K4" t="str">
        <f>+IF(I4="","","FI-"&amp;$B$1+J4)</f>
        <v>FI-991</v>
      </c>
      <c r="M4" t="s">
        <v>18</v>
      </c>
      <c r="N4" s="22">
        <v>1</v>
      </c>
      <c r="O4" t="str">
        <f>+IF(M4="","","M-"&amp;$B$1+N4)</f>
        <v>M-991</v>
      </c>
      <c r="Q4">
        <f>+$B$1+1</f>
        <v>991</v>
      </c>
      <c r="R4" t="s">
        <v>20</v>
      </c>
      <c r="S4">
        <f>+Q4</f>
        <v>991</v>
      </c>
      <c r="U4">
        <f>+VLOOKUP(W4,$R$4:$S$6,2,0)*100000+X4</f>
        <v>99100000</v>
      </c>
      <c r="V4" t="s">
        <v>15</v>
      </c>
      <c r="W4" t="s">
        <v>20</v>
      </c>
      <c r="X4">
        <f>+VLOOKUP(V4,$AC$3:$AD$364,2,0)</f>
        <v>0</v>
      </c>
      <c r="Y4">
        <f>+U4</f>
        <v>99100000</v>
      </c>
      <c r="AC4" t="s">
        <v>370</v>
      </c>
      <c r="AD4">
        <v>1</v>
      </c>
    </row>
    <row r="5" spans="1:30" x14ac:dyDescent="0.3">
      <c r="A5" t="s">
        <v>434</v>
      </c>
      <c r="B5" s="22">
        <f t="shared" ref="B5:B7" si="0">+IF(A5="","",B4+1)</f>
        <v>2</v>
      </c>
      <c r="C5" t="str">
        <f>+IF(A5="","","T-"&amp;$B$1+B5)</f>
        <v>T-992</v>
      </c>
      <c r="E5" t="s">
        <v>435</v>
      </c>
      <c r="F5" s="22">
        <f t="shared" ref="F5:F6" si="1">+IF(E5="","",F4+1)</f>
        <v>2</v>
      </c>
      <c r="G5" t="str">
        <f>+IF(E5="","","C-"&amp;$B$1+F5)</f>
        <v>C-992</v>
      </c>
      <c r="I5" t="s">
        <v>16</v>
      </c>
      <c r="J5" s="22">
        <f t="shared" ref="J5:J18" si="2">+IF(I5="","",J4+1)</f>
        <v>2</v>
      </c>
      <c r="K5" t="str">
        <f>+IF(I5="","","FI-"&amp;$B$1+J5)</f>
        <v>FI-992</v>
      </c>
      <c r="M5" t="s">
        <v>16</v>
      </c>
      <c r="N5" s="22">
        <f t="shared" ref="N5:N6" si="3">+IF(M5="","",N4+1)</f>
        <v>2</v>
      </c>
      <c r="O5" t="str">
        <f>+IF(M5="","","M-"&amp;$B$1+N5)</f>
        <v>M-992</v>
      </c>
      <c r="Q5" s="53">
        <f>++IF(R5="","",Q4+1)</f>
        <v>992</v>
      </c>
      <c r="R5" t="s">
        <v>16</v>
      </c>
      <c r="S5">
        <f t="shared" ref="S5:S6" si="4">+Q5</f>
        <v>992</v>
      </c>
      <c r="U5">
        <f t="shared" ref="U5:U68" si="5">+VLOOKUP(W5,$R$4:$S$6,2,0)*100000+X5</f>
        <v>99200002</v>
      </c>
      <c r="V5" t="s">
        <v>371</v>
      </c>
      <c r="W5" t="s">
        <v>16</v>
      </c>
      <c r="X5">
        <f t="shared" ref="X5:X68" si="6">+VLOOKUP(V5,$AC$3:$AD$364,2,0)</f>
        <v>2</v>
      </c>
      <c r="Y5">
        <f t="shared" ref="Y5:Y68" si="7">+U5</f>
        <v>99200002</v>
      </c>
      <c r="AC5" t="s">
        <v>371</v>
      </c>
      <c r="AD5">
        <v>2</v>
      </c>
    </row>
    <row r="6" spans="1:30" x14ac:dyDescent="0.3">
      <c r="A6" t="s">
        <v>475</v>
      </c>
      <c r="B6" s="22">
        <f t="shared" si="0"/>
        <v>3</v>
      </c>
      <c r="C6" t="str">
        <f>+IF(A6="","","T-"&amp;$B$1+B6)</f>
        <v>T-993</v>
      </c>
      <c r="E6" t="s">
        <v>474</v>
      </c>
      <c r="F6" s="22">
        <f t="shared" si="1"/>
        <v>3</v>
      </c>
      <c r="G6" t="str">
        <f>+IF(E6="","","C-"&amp;$B$1+F6)</f>
        <v>C-993</v>
      </c>
      <c r="I6" t="s">
        <v>411</v>
      </c>
      <c r="J6" s="22">
        <f t="shared" si="2"/>
        <v>3</v>
      </c>
      <c r="K6" t="str">
        <f>+IF(I6="","","FI-"&amp;$B$1+J6)</f>
        <v>FI-993</v>
      </c>
      <c r="M6" t="s">
        <v>431</v>
      </c>
      <c r="N6" s="22">
        <f t="shared" si="3"/>
        <v>3</v>
      </c>
      <c r="O6" s="53" t="str">
        <f>+IF(M6="","","M-"&amp;$B$1+N6)</f>
        <v>M-993</v>
      </c>
      <c r="Q6">
        <f t="shared" ref="Q6:Q16" si="8">++IF(R6="","",Q5+1)</f>
        <v>993</v>
      </c>
      <c r="R6" t="s">
        <v>389</v>
      </c>
      <c r="S6">
        <f t="shared" si="4"/>
        <v>993</v>
      </c>
      <c r="U6">
        <f t="shared" si="5"/>
        <v>99200015</v>
      </c>
      <c r="V6" t="s">
        <v>384</v>
      </c>
      <c r="W6" t="s">
        <v>16</v>
      </c>
      <c r="X6">
        <f t="shared" si="6"/>
        <v>15</v>
      </c>
      <c r="Y6">
        <f t="shared" si="7"/>
        <v>99200015</v>
      </c>
      <c r="AC6" t="s">
        <v>372</v>
      </c>
      <c r="AD6">
        <v>3</v>
      </c>
    </row>
    <row r="7" spans="1:30" x14ac:dyDescent="0.3">
      <c r="A7" t="s">
        <v>505</v>
      </c>
      <c r="B7" s="22">
        <f t="shared" si="0"/>
        <v>4</v>
      </c>
      <c r="C7" t="str">
        <f>+IF(A7="","","T-"&amp;$B$1+B7)</f>
        <v>T-994</v>
      </c>
      <c r="E7" t="s">
        <v>527</v>
      </c>
      <c r="F7" s="22">
        <f t="shared" ref="F7:F70" si="9">+IF(E7="","",F6+1)</f>
        <v>4</v>
      </c>
      <c r="G7" t="str">
        <f t="shared" ref="G7:G70" si="10">+IF(E7="","","C-"&amp;$B$1+F7)</f>
        <v>C-994</v>
      </c>
      <c r="I7"/>
      <c r="J7" s="22" t="str">
        <f t="shared" si="2"/>
        <v/>
      </c>
      <c r="K7" t="str">
        <f>+IF(I7="","","FI-"&amp;$B$1+J7)</f>
        <v/>
      </c>
      <c r="M7" t="s">
        <v>15</v>
      </c>
      <c r="N7" s="22">
        <f t="shared" ref="N7:N19" si="11">+IF(M7="","",N6+1)</f>
        <v>4</v>
      </c>
      <c r="O7" s="53" t="str">
        <f t="shared" ref="O7:O19" si="12">+IF(M7="","","M-"&amp;$B$1+N7)</f>
        <v>M-994</v>
      </c>
      <c r="Q7" t="str">
        <f t="shared" si="8"/>
        <v/>
      </c>
      <c r="U7">
        <f t="shared" si="5"/>
        <v>99200003</v>
      </c>
      <c r="V7" t="s">
        <v>372</v>
      </c>
      <c r="W7" t="s">
        <v>16</v>
      </c>
      <c r="X7">
        <f t="shared" si="6"/>
        <v>3</v>
      </c>
      <c r="Y7">
        <f t="shared" si="7"/>
        <v>99200003</v>
      </c>
      <c r="AC7" t="s">
        <v>373</v>
      </c>
      <c r="AD7">
        <v>4</v>
      </c>
    </row>
    <row r="8" spans="1:30" x14ac:dyDescent="0.3">
      <c r="A8" t="s">
        <v>506</v>
      </c>
      <c r="B8" s="22">
        <f t="shared" ref="B8:B71" si="13">+IF(A8="","",B7+1)</f>
        <v>5</v>
      </c>
      <c r="C8" t="str">
        <f t="shared" ref="C8:C71" si="14">+IF(A8="","","T-"&amp;$B$1+B8)</f>
        <v>T-995</v>
      </c>
      <c r="E8" t="s">
        <v>629</v>
      </c>
      <c r="F8" s="22">
        <f t="shared" si="9"/>
        <v>5</v>
      </c>
      <c r="G8" t="str">
        <f t="shared" si="10"/>
        <v>C-995</v>
      </c>
      <c r="I8"/>
      <c r="J8" s="22" t="str">
        <f t="shared" ref="J8:J17" si="15">+IF(I8="","",J7+1)</f>
        <v/>
      </c>
      <c r="K8" t="str">
        <f t="shared" ref="K8:K17" si="16">+IF(I8="","","FI-"&amp;$B$1+J8)</f>
        <v/>
      </c>
      <c r="M8" t="s">
        <v>659</v>
      </c>
      <c r="N8" s="22">
        <f t="shared" si="11"/>
        <v>5</v>
      </c>
      <c r="O8" s="53" t="str">
        <f t="shared" si="12"/>
        <v>M-995</v>
      </c>
      <c r="Q8" t="str">
        <f t="shared" si="8"/>
        <v/>
      </c>
      <c r="U8">
        <f t="shared" si="5"/>
        <v>99200011</v>
      </c>
      <c r="V8" t="s">
        <v>380</v>
      </c>
      <c r="W8" t="s">
        <v>16</v>
      </c>
      <c r="X8">
        <f t="shared" si="6"/>
        <v>11</v>
      </c>
      <c r="Y8">
        <f t="shared" si="7"/>
        <v>99200011</v>
      </c>
      <c r="AC8" t="s">
        <v>374</v>
      </c>
      <c r="AD8">
        <v>5</v>
      </c>
    </row>
    <row r="9" spans="1:30" x14ac:dyDescent="0.3">
      <c r="A9" t="s">
        <v>628</v>
      </c>
      <c r="B9" s="22">
        <f t="shared" si="13"/>
        <v>6</v>
      </c>
      <c r="C9" t="str">
        <f t="shared" si="14"/>
        <v>T-996</v>
      </c>
      <c r="E9" t="s">
        <v>637</v>
      </c>
      <c r="F9" s="22">
        <f t="shared" si="9"/>
        <v>6</v>
      </c>
      <c r="G9" t="str">
        <f t="shared" si="10"/>
        <v>C-996</v>
      </c>
      <c r="I9"/>
      <c r="J9" s="22" t="str">
        <f t="shared" si="15"/>
        <v/>
      </c>
      <c r="K9" t="str">
        <f t="shared" si="16"/>
        <v/>
      </c>
      <c r="M9" t="s">
        <v>654</v>
      </c>
      <c r="N9" s="22">
        <f t="shared" si="11"/>
        <v>6</v>
      </c>
      <c r="O9" s="53" t="str">
        <f t="shared" si="12"/>
        <v>M-996</v>
      </c>
      <c r="Q9" t="str">
        <f t="shared" si="8"/>
        <v/>
      </c>
      <c r="U9">
        <f t="shared" si="5"/>
        <v>99200004</v>
      </c>
      <c r="V9" t="s">
        <v>373</v>
      </c>
      <c r="W9" t="s">
        <v>16</v>
      </c>
      <c r="X9">
        <f t="shared" si="6"/>
        <v>4</v>
      </c>
      <c r="Y9">
        <f t="shared" si="7"/>
        <v>99200004</v>
      </c>
      <c r="AC9" t="s">
        <v>375</v>
      </c>
      <c r="AD9">
        <v>6</v>
      </c>
    </row>
    <row r="10" spans="1:30" x14ac:dyDescent="0.3">
      <c r="A10" t="s">
        <v>636</v>
      </c>
      <c r="B10" s="22">
        <f t="shared" si="13"/>
        <v>7</v>
      </c>
      <c r="C10" t="str">
        <f t="shared" si="14"/>
        <v>T-997</v>
      </c>
      <c r="E10" t="s">
        <v>647</v>
      </c>
      <c r="F10" s="22">
        <f t="shared" si="9"/>
        <v>7</v>
      </c>
      <c r="G10" t="str">
        <f t="shared" si="10"/>
        <v>C-997</v>
      </c>
      <c r="I10"/>
      <c r="J10" s="22" t="str">
        <f t="shared" si="15"/>
        <v/>
      </c>
      <c r="K10" t="str">
        <f t="shared" si="16"/>
        <v/>
      </c>
      <c r="M10" t="s">
        <v>655</v>
      </c>
      <c r="N10" s="22">
        <f t="shared" si="11"/>
        <v>7</v>
      </c>
      <c r="O10" s="53" t="str">
        <f t="shared" si="12"/>
        <v>M-997</v>
      </c>
      <c r="Q10" t="str">
        <f t="shared" si="8"/>
        <v/>
      </c>
      <c r="U10">
        <f t="shared" si="5"/>
        <v>99200009</v>
      </c>
      <c r="V10" t="s">
        <v>378</v>
      </c>
      <c r="W10" t="s">
        <v>16</v>
      </c>
      <c r="X10">
        <f t="shared" si="6"/>
        <v>9</v>
      </c>
      <c r="Y10">
        <f t="shared" si="7"/>
        <v>99200009</v>
      </c>
      <c r="AC10" t="s">
        <v>376</v>
      </c>
      <c r="AD10">
        <v>7</v>
      </c>
    </row>
    <row r="11" spans="1:30" x14ac:dyDescent="0.3">
      <c r="A11" t="s">
        <v>646</v>
      </c>
      <c r="B11" s="22">
        <f t="shared" si="13"/>
        <v>8</v>
      </c>
      <c r="C11" t="str">
        <f t="shared" si="14"/>
        <v>T-998</v>
      </c>
      <c r="F11" s="22" t="str">
        <f t="shared" si="9"/>
        <v/>
      </c>
      <c r="G11" t="str">
        <f t="shared" si="10"/>
        <v/>
      </c>
      <c r="I11"/>
      <c r="J11" s="22" t="str">
        <f t="shared" si="15"/>
        <v/>
      </c>
      <c r="K11" t="str">
        <f t="shared" si="16"/>
        <v/>
      </c>
      <c r="M11" t="s">
        <v>656</v>
      </c>
      <c r="N11" s="22">
        <f t="shared" si="11"/>
        <v>8</v>
      </c>
      <c r="O11" s="53" t="str">
        <f t="shared" si="12"/>
        <v>M-998</v>
      </c>
      <c r="Q11" t="str">
        <f t="shared" si="8"/>
        <v/>
      </c>
      <c r="U11">
        <f t="shared" si="5"/>
        <v>99200010</v>
      </c>
      <c r="V11" t="s">
        <v>379</v>
      </c>
      <c r="W11" t="s">
        <v>16</v>
      </c>
      <c r="X11">
        <f t="shared" si="6"/>
        <v>10</v>
      </c>
      <c r="Y11">
        <f t="shared" si="7"/>
        <v>99200010</v>
      </c>
      <c r="AC11" t="s">
        <v>377</v>
      </c>
      <c r="AD11">
        <v>8</v>
      </c>
    </row>
    <row r="12" spans="1:30" x14ac:dyDescent="0.3">
      <c r="B12" s="22" t="str">
        <f t="shared" si="13"/>
        <v/>
      </c>
      <c r="C12" t="str">
        <f t="shared" si="14"/>
        <v/>
      </c>
      <c r="F12" s="22" t="str">
        <f t="shared" si="9"/>
        <v/>
      </c>
      <c r="G12" t="str">
        <f t="shared" si="10"/>
        <v/>
      </c>
      <c r="I12"/>
      <c r="J12" s="22" t="str">
        <f t="shared" si="15"/>
        <v/>
      </c>
      <c r="K12" t="str">
        <f t="shared" si="16"/>
        <v/>
      </c>
      <c r="M12" t="s">
        <v>631</v>
      </c>
      <c r="N12" s="22">
        <f t="shared" si="11"/>
        <v>9</v>
      </c>
      <c r="O12" s="53" t="str">
        <f t="shared" si="12"/>
        <v>M-999</v>
      </c>
      <c r="Q12" t="str">
        <f t="shared" si="8"/>
        <v/>
      </c>
      <c r="U12">
        <f t="shared" si="5"/>
        <v>99200014</v>
      </c>
      <c r="V12" t="s">
        <v>383</v>
      </c>
      <c r="W12" t="s">
        <v>16</v>
      </c>
      <c r="X12">
        <f t="shared" si="6"/>
        <v>14</v>
      </c>
      <c r="Y12">
        <f t="shared" si="7"/>
        <v>99200014</v>
      </c>
      <c r="AC12" t="s">
        <v>378</v>
      </c>
      <c r="AD12">
        <v>9</v>
      </c>
    </row>
    <row r="13" spans="1:30" x14ac:dyDescent="0.3">
      <c r="B13" s="22" t="str">
        <f t="shared" si="13"/>
        <v/>
      </c>
      <c r="C13" t="str">
        <f t="shared" si="14"/>
        <v/>
      </c>
      <c r="F13" s="22" t="str">
        <f t="shared" si="9"/>
        <v/>
      </c>
      <c r="G13" t="str">
        <f t="shared" si="10"/>
        <v/>
      </c>
      <c r="I13"/>
      <c r="J13" s="22" t="str">
        <f t="shared" si="15"/>
        <v/>
      </c>
      <c r="K13" t="str">
        <f t="shared" si="16"/>
        <v/>
      </c>
      <c r="M13" t="s">
        <v>658</v>
      </c>
      <c r="N13" s="22">
        <f t="shared" si="11"/>
        <v>10</v>
      </c>
      <c r="O13" s="53" t="str">
        <f t="shared" si="12"/>
        <v>M-1000</v>
      </c>
      <c r="Q13" t="str">
        <f t="shared" si="8"/>
        <v/>
      </c>
      <c r="U13">
        <f t="shared" si="5"/>
        <v>99200012</v>
      </c>
      <c r="V13" t="s">
        <v>381</v>
      </c>
      <c r="W13" t="s">
        <v>16</v>
      </c>
      <c r="X13">
        <f t="shared" si="6"/>
        <v>12</v>
      </c>
      <c r="Y13">
        <f t="shared" si="7"/>
        <v>99200012</v>
      </c>
      <c r="AC13" t="s">
        <v>379</v>
      </c>
      <c r="AD13">
        <v>10</v>
      </c>
    </row>
    <row r="14" spans="1:30" x14ac:dyDescent="0.3">
      <c r="B14" s="22" t="str">
        <f t="shared" si="13"/>
        <v/>
      </c>
      <c r="C14" t="str">
        <f t="shared" si="14"/>
        <v/>
      </c>
      <c r="F14" s="22" t="str">
        <f t="shared" si="9"/>
        <v/>
      </c>
      <c r="G14" t="str">
        <f t="shared" si="10"/>
        <v/>
      </c>
      <c r="I14"/>
      <c r="J14" s="22" t="str">
        <f t="shared" si="15"/>
        <v/>
      </c>
      <c r="K14" t="str">
        <f t="shared" si="16"/>
        <v/>
      </c>
      <c r="M14"/>
      <c r="N14" s="22" t="str">
        <f t="shared" si="11"/>
        <v/>
      </c>
      <c r="O14" s="53" t="str">
        <f t="shared" si="12"/>
        <v/>
      </c>
      <c r="Q14" t="str">
        <f t="shared" si="8"/>
        <v/>
      </c>
      <c r="U14">
        <f t="shared" si="5"/>
        <v>99200007</v>
      </c>
      <c r="V14" t="s">
        <v>376</v>
      </c>
      <c r="W14" t="s">
        <v>16</v>
      </c>
      <c r="X14">
        <f t="shared" si="6"/>
        <v>7</v>
      </c>
      <c r="Y14">
        <f t="shared" si="7"/>
        <v>99200007</v>
      </c>
      <c r="AC14" t="s">
        <v>380</v>
      </c>
      <c r="AD14">
        <v>11</v>
      </c>
    </row>
    <row r="15" spans="1:30" x14ac:dyDescent="0.3">
      <c r="B15" s="22" t="str">
        <f t="shared" si="13"/>
        <v/>
      </c>
      <c r="C15" t="str">
        <f t="shared" si="14"/>
        <v/>
      </c>
      <c r="F15" s="22" t="str">
        <f t="shared" si="9"/>
        <v/>
      </c>
      <c r="G15" t="str">
        <f t="shared" si="10"/>
        <v/>
      </c>
      <c r="I15"/>
      <c r="J15" s="22" t="str">
        <f t="shared" si="15"/>
        <v/>
      </c>
      <c r="K15" t="str">
        <f t="shared" si="16"/>
        <v/>
      </c>
      <c r="M15"/>
      <c r="N15" s="22" t="str">
        <f t="shared" si="11"/>
        <v/>
      </c>
      <c r="O15" s="53" t="str">
        <f t="shared" si="12"/>
        <v/>
      </c>
      <c r="Q15" t="str">
        <f t="shared" si="8"/>
        <v/>
      </c>
      <c r="U15">
        <f t="shared" si="5"/>
        <v>99200016</v>
      </c>
      <c r="V15" t="s">
        <v>385</v>
      </c>
      <c r="W15" t="s">
        <v>16</v>
      </c>
      <c r="X15">
        <f t="shared" si="6"/>
        <v>16</v>
      </c>
      <c r="Y15">
        <f t="shared" si="7"/>
        <v>99200016</v>
      </c>
      <c r="AC15" t="s">
        <v>381</v>
      </c>
      <c r="AD15">
        <v>12</v>
      </c>
    </row>
    <row r="16" spans="1:30" x14ac:dyDescent="0.3">
      <c r="B16" s="22" t="str">
        <f t="shared" si="13"/>
        <v/>
      </c>
      <c r="C16" t="str">
        <f t="shared" si="14"/>
        <v/>
      </c>
      <c r="F16" s="22" t="str">
        <f t="shared" si="9"/>
        <v/>
      </c>
      <c r="G16" t="str">
        <f t="shared" si="10"/>
        <v/>
      </c>
      <c r="I16"/>
      <c r="J16" s="22" t="str">
        <f t="shared" si="15"/>
        <v/>
      </c>
      <c r="K16" t="str">
        <f t="shared" si="16"/>
        <v/>
      </c>
      <c r="M16"/>
      <c r="N16" s="22" t="str">
        <f t="shared" si="11"/>
        <v/>
      </c>
      <c r="O16" s="53" t="str">
        <f t="shared" si="12"/>
        <v/>
      </c>
      <c r="Q16" t="str">
        <f t="shared" si="8"/>
        <v/>
      </c>
      <c r="U16">
        <f t="shared" si="5"/>
        <v>99200006</v>
      </c>
      <c r="V16" t="s">
        <v>375</v>
      </c>
      <c r="W16" t="s">
        <v>16</v>
      </c>
      <c r="X16">
        <f t="shared" si="6"/>
        <v>6</v>
      </c>
      <c r="Y16">
        <f t="shared" si="7"/>
        <v>99200006</v>
      </c>
      <c r="AC16" t="s">
        <v>382</v>
      </c>
      <c r="AD16">
        <v>13</v>
      </c>
    </row>
    <row r="17" spans="2:30" x14ac:dyDescent="0.3">
      <c r="B17" s="22" t="str">
        <f t="shared" si="13"/>
        <v/>
      </c>
      <c r="C17" t="str">
        <f t="shared" si="14"/>
        <v/>
      </c>
      <c r="F17" s="22" t="str">
        <f t="shared" si="9"/>
        <v/>
      </c>
      <c r="G17" t="str">
        <f t="shared" si="10"/>
        <v/>
      </c>
      <c r="I17"/>
      <c r="J17" s="22" t="str">
        <f t="shared" si="15"/>
        <v/>
      </c>
      <c r="K17" t="str">
        <f t="shared" si="16"/>
        <v/>
      </c>
      <c r="M17"/>
      <c r="N17" s="22" t="str">
        <f t="shared" si="11"/>
        <v/>
      </c>
      <c r="O17" s="53" t="str">
        <f t="shared" si="12"/>
        <v/>
      </c>
      <c r="U17">
        <f t="shared" si="5"/>
        <v>99200001</v>
      </c>
      <c r="V17" t="s">
        <v>370</v>
      </c>
      <c r="W17" t="s">
        <v>16</v>
      </c>
      <c r="X17">
        <f t="shared" si="6"/>
        <v>1</v>
      </c>
      <c r="Y17">
        <f t="shared" si="7"/>
        <v>99200001</v>
      </c>
      <c r="AC17" t="s">
        <v>383</v>
      </c>
      <c r="AD17">
        <v>14</v>
      </c>
    </row>
    <row r="18" spans="2:30" x14ac:dyDescent="0.3">
      <c r="B18" s="22" t="str">
        <f t="shared" si="13"/>
        <v/>
      </c>
      <c r="C18" t="str">
        <f t="shared" si="14"/>
        <v/>
      </c>
      <c r="F18" s="22" t="str">
        <f t="shared" si="9"/>
        <v/>
      </c>
      <c r="G18" t="str">
        <f t="shared" si="10"/>
        <v/>
      </c>
      <c r="I18"/>
      <c r="J18" s="22" t="str">
        <f t="shared" si="2"/>
        <v/>
      </c>
      <c r="K18"/>
      <c r="M18"/>
      <c r="N18" s="22" t="str">
        <f t="shared" si="11"/>
        <v/>
      </c>
      <c r="O18" s="53" t="str">
        <f t="shared" si="12"/>
        <v/>
      </c>
      <c r="U18">
        <f t="shared" si="5"/>
        <v>99200005</v>
      </c>
      <c r="V18" t="s">
        <v>374</v>
      </c>
      <c r="W18" t="s">
        <v>16</v>
      </c>
      <c r="X18">
        <f t="shared" si="6"/>
        <v>5</v>
      </c>
      <c r="Y18">
        <f t="shared" si="7"/>
        <v>99200005</v>
      </c>
      <c r="AC18" t="s">
        <v>384</v>
      </c>
      <c r="AD18">
        <v>15</v>
      </c>
    </row>
    <row r="19" spans="2:30" x14ac:dyDescent="0.3">
      <c r="B19" s="22" t="str">
        <f t="shared" si="13"/>
        <v/>
      </c>
      <c r="C19" t="str">
        <f t="shared" si="14"/>
        <v/>
      </c>
      <c r="F19" s="22" t="str">
        <f t="shared" si="9"/>
        <v/>
      </c>
      <c r="G19" t="str">
        <f t="shared" si="10"/>
        <v/>
      </c>
      <c r="I19"/>
      <c r="J19" s="22"/>
      <c r="K19"/>
      <c r="M19"/>
      <c r="N19" s="22" t="str">
        <f t="shared" si="11"/>
        <v/>
      </c>
      <c r="O19" s="53" t="str">
        <f t="shared" si="12"/>
        <v/>
      </c>
      <c r="U19">
        <f t="shared" si="5"/>
        <v>99200008</v>
      </c>
      <c r="V19" t="s">
        <v>377</v>
      </c>
      <c r="W19" t="s">
        <v>16</v>
      </c>
      <c r="X19">
        <f t="shared" si="6"/>
        <v>8</v>
      </c>
      <c r="Y19">
        <f t="shared" si="7"/>
        <v>99200008</v>
      </c>
      <c r="AC19" t="s">
        <v>385</v>
      </c>
      <c r="AD19">
        <v>16</v>
      </c>
    </row>
    <row r="20" spans="2:30" x14ac:dyDescent="0.3">
      <c r="B20" s="22" t="str">
        <f t="shared" si="13"/>
        <v/>
      </c>
      <c r="C20" t="str">
        <f t="shared" si="14"/>
        <v/>
      </c>
      <c r="F20" s="22" t="str">
        <f t="shared" si="9"/>
        <v/>
      </c>
      <c r="G20" t="str">
        <f t="shared" si="10"/>
        <v/>
      </c>
      <c r="H20" s="55"/>
      <c r="I20"/>
      <c r="J20" s="22"/>
      <c r="K20"/>
      <c r="L20" s="55"/>
      <c r="M20"/>
      <c r="N20" s="22"/>
      <c r="O20"/>
      <c r="P20" s="55"/>
      <c r="U20">
        <f t="shared" si="5"/>
        <v>99200013</v>
      </c>
      <c r="V20" t="s">
        <v>382</v>
      </c>
      <c r="W20" t="s">
        <v>16</v>
      </c>
      <c r="X20">
        <f t="shared" si="6"/>
        <v>13</v>
      </c>
      <c r="Y20">
        <f t="shared" si="7"/>
        <v>99200013</v>
      </c>
      <c r="AC20" t="s">
        <v>32</v>
      </c>
      <c r="AD20">
        <v>1101</v>
      </c>
    </row>
    <row r="21" spans="2:30" x14ac:dyDescent="0.3">
      <c r="B21" s="22" t="str">
        <f t="shared" si="13"/>
        <v/>
      </c>
      <c r="C21" t="str">
        <f t="shared" si="14"/>
        <v/>
      </c>
      <c r="F21" s="22" t="str">
        <f t="shared" si="9"/>
        <v/>
      </c>
      <c r="G21" t="str">
        <f t="shared" si="10"/>
        <v/>
      </c>
      <c r="I21"/>
      <c r="J21" s="22"/>
      <c r="K21"/>
      <c r="M21"/>
      <c r="N21" s="22"/>
      <c r="O21"/>
      <c r="U21" t="e">
        <f t="shared" si="5"/>
        <v>#N/A</v>
      </c>
      <c r="V21" t="s">
        <v>389</v>
      </c>
      <c r="W21" t="s">
        <v>389</v>
      </c>
      <c r="X21" t="e">
        <f t="shared" si="6"/>
        <v>#N/A</v>
      </c>
      <c r="Y21" t="e">
        <f t="shared" si="7"/>
        <v>#N/A</v>
      </c>
      <c r="AC21" t="s">
        <v>33</v>
      </c>
      <c r="AD21">
        <v>1107</v>
      </c>
    </row>
    <row r="22" spans="2:30" x14ac:dyDescent="0.3">
      <c r="B22" s="22" t="str">
        <f t="shared" si="13"/>
        <v/>
      </c>
      <c r="C22" t="str">
        <f t="shared" si="14"/>
        <v/>
      </c>
      <c r="F22" s="22" t="str">
        <f t="shared" si="9"/>
        <v/>
      </c>
      <c r="G22" t="str">
        <f t="shared" si="10"/>
        <v/>
      </c>
      <c r="U22" t="e">
        <f t="shared" si="5"/>
        <v>#N/A</v>
      </c>
      <c r="X22" t="e">
        <f t="shared" si="6"/>
        <v>#N/A</v>
      </c>
      <c r="Y22" t="e">
        <f t="shared" si="7"/>
        <v>#N/A</v>
      </c>
      <c r="AC22" t="s">
        <v>34</v>
      </c>
      <c r="AD22">
        <v>1401</v>
      </c>
    </row>
    <row r="23" spans="2:30" x14ac:dyDescent="0.3">
      <c r="B23" s="22" t="str">
        <f t="shared" si="13"/>
        <v/>
      </c>
      <c r="C23" t="str">
        <f t="shared" si="14"/>
        <v/>
      </c>
      <c r="F23" s="22" t="str">
        <f t="shared" si="9"/>
        <v/>
      </c>
      <c r="G23" t="str">
        <f t="shared" si="10"/>
        <v/>
      </c>
      <c r="U23" t="e">
        <f t="shared" si="5"/>
        <v>#N/A</v>
      </c>
      <c r="X23" t="e">
        <f t="shared" si="6"/>
        <v>#N/A</v>
      </c>
      <c r="Y23" t="e">
        <f t="shared" si="7"/>
        <v>#N/A</v>
      </c>
      <c r="AC23" t="s">
        <v>35</v>
      </c>
      <c r="AD23">
        <v>1402</v>
      </c>
    </row>
    <row r="24" spans="2:30" x14ac:dyDescent="0.3">
      <c r="B24" s="22" t="str">
        <f t="shared" si="13"/>
        <v/>
      </c>
      <c r="C24" t="str">
        <f t="shared" si="14"/>
        <v/>
      </c>
      <c r="F24" s="22" t="str">
        <f t="shared" si="9"/>
        <v/>
      </c>
      <c r="G24" t="str">
        <f t="shared" si="10"/>
        <v/>
      </c>
      <c r="U24" t="e">
        <f t="shared" si="5"/>
        <v>#N/A</v>
      </c>
      <c r="X24" t="e">
        <f t="shared" si="6"/>
        <v>#N/A</v>
      </c>
      <c r="Y24" t="e">
        <f t="shared" si="7"/>
        <v>#N/A</v>
      </c>
      <c r="AC24" t="s">
        <v>36</v>
      </c>
      <c r="AD24">
        <v>1403</v>
      </c>
    </row>
    <row r="25" spans="2:30" x14ac:dyDescent="0.3">
      <c r="B25" s="22" t="str">
        <f t="shared" si="13"/>
        <v/>
      </c>
      <c r="C25" t="str">
        <f t="shared" si="14"/>
        <v/>
      </c>
      <c r="F25" s="22" t="str">
        <f t="shared" si="9"/>
        <v/>
      </c>
      <c r="G25" t="str">
        <f t="shared" si="10"/>
        <v/>
      </c>
      <c r="U25" t="e">
        <f t="shared" si="5"/>
        <v>#N/A</v>
      </c>
      <c r="X25" t="e">
        <f t="shared" si="6"/>
        <v>#N/A</v>
      </c>
      <c r="Y25" t="e">
        <f t="shared" si="7"/>
        <v>#N/A</v>
      </c>
      <c r="AC25" t="s">
        <v>37</v>
      </c>
      <c r="AD25">
        <v>1404</v>
      </c>
    </row>
    <row r="26" spans="2:30" x14ac:dyDescent="0.3">
      <c r="B26" s="22" t="str">
        <f t="shared" si="13"/>
        <v/>
      </c>
      <c r="C26" t="str">
        <f t="shared" si="14"/>
        <v/>
      </c>
      <c r="F26" s="22" t="str">
        <f t="shared" si="9"/>
        <v/>
      </c>
      <c r="G26" t="str">
        <f t="shared" si="10"/>
        <v/>
      </c>
      <c r="U26" t="e">
        <f t="shared" si="5"/>
        <v>#N/A</v>
      </c>
      <c r="X26" t="e">
        <f t="shared" si="6"/>
        <v>#N/A</v>
      </c>
      <c r="Y26" t="e">
        <f t="shared" si="7"/>
        <v>#N/A</v>
      </c>
      <c r="AC26" t="s">
        <v>38</v>
      </c>
      <c r="AD26">
        <v>1405</v>
      </c>
    </row>
    <row r="27" spans="2:30" x14ac:dyDescent="0.3">
      <c r="B27" s="22" t="str">
        <f t="shared" si="13"/>
        <v/>
      </c>
      <c r="C27" t="str">
        <f t="shared" si="14"/>
        <v/>
      </c>
      <c r="F27" s="22" t="str">
        <f t="shared" si="9"/>
        <v/>
      </c>
      <c r="G27" t="str">
        <f t="shared" si="10"/>
        <v/>
      </c>
      <c r="U27" t="e">
        <f t="shared" si="5"/>
        <v>#N/A</v>
      </c>
      <c r="X27" t="e">
        <f t="shared" si="6"/>
        <v>#N/A</v>
      </c>
      <c r="Y27" t="e">
        <f t="shared" si="7"/>
        <v>#N/A</v>
      </c>
      <c r="AC27" t="s">
        <v>17</v>
      </c>
      <c r="AD27">
        <v>2101</v>
      </c>
    </row>
    <row r="28" spans="2:30" x14ac:dyDescent="0.3">
      <c r="B28" s="22" t="str">
        <f t="shared" si="13"/>
        <v/>
      </c>
      <c r="C28" t="str">
        <f t="shared" si="14"/>
        <v/>
      </c>
      <c r="F28" s="22" t="str">
        <f t="shared" si="9"/>
        <v/>
      </c>
      <c r="G28" t="str">
        <f t="shared" si="10"/>
        <v/>
      </c>
      <c r="U28" t="e">
        <f t="shared" si="5"/>
        <v>#N/A</v>
      </c>
      <c r="X28" t="e">
        <f t="shared" si="6"/>
        <v>#N/A</v>
      </c>
      <c r="Y28" t="e">
        <f t="shared" si="7"/>
        <v>#N/A</v>
      </c>
      <c r="AC28" t="s">
        <v>39</v>
      </c>
      <c r="AD28">
        <v>2102</v>
      </c>
    </row>
    <row r="29" spans="2:30" x14ac:dyDescent="0.3">
      <c r="B29" s="22" t="str">
        <f t="shared" si="13"/>
        <v/>
      </c>
      <c r="C29" t="str">
        <f t="shared" si="14"/>
        <v/>
      </c>
      <c r="F29" s="22" t="str">
        <f t="shared" si="9"/>
        <v/>
      </c>
      <c r="G29" t="str">
        <f t="shared" si="10"/>
        <v/>
      </c>
      <c r="U29" t="e">
        <f t="shared" si="5"/>
        <v>#N/A</v>
      </c>
      <c r="X29" t="e">
        <f t="shared" si="6"/>
        <v>#N/A</v>
      </c>
      <c r="Y29" t="e">
        <f t="shared" si="7"/>
        <v>#N/A</v>
      </c>
      <c r="AC29" t="s">
        <v>40</v>
      </c>
      <c r="AD29">
        <v>2103</v>
      </c>
    </row>
    <row r="30" spans="2:30" x14ac:dyDescent="0.3">
      <c r="B30" s="22" t="str">
        <f t="shared" si="13"/>
        <v/>
      </c>
      <c r="C30" t="str">
        <f t="shared" si="14"/>
        <v/>
      </c>
      <c r="F30" s="22" t="str">
        <f t="shared" si="9"/>
        <v/>
      </c>
      <c r="G30" t="str">
        <f t="shared" si="10"/>
        <v/>
      </c>
      <c r="U30" t="e">
        <f t="shared" si="5"/>
        <v>#N/A</v>
      </c>
      <c r="X30" t="e">
        <f t="shared" si="6"/>
        <v>#N/A</v>
      </c>
      <c r="Y30" t="e">
        <f t="shared" si="7"/>
        <v>#N/A</v>
      </c>
      <c r="AC30" t="s">
        <v>41</v>
      </c>
      <c r="AD30">
        <v>2104</v>
      </c>
    </row>
    <row r="31" spans="2:30" x14ac:dyDescent="0.3">
      <c r="B31" s="22" t="str">
        <f t="shared" si="13"/>
        <v/>
      </c>
      <c r="C31" t="str">
        <f t="shared" si="14"/>
        <v/>
      </c>
      <c r="F31" s="22" t="str">
        <f t="shared" si="9"/>
        <v/>
      </c>
      <c r="G31" t="str">
        <f t="shared" si="10"/>
        <v/>
      </c>
      <c r="U31" t="e">
        <f t="shared" si="5"/>
        <v>#N/A</v>
      </c>
      <c r="X31" t="e">
        <f t="shared" si="6"/>
        <v>#N/A</v>
      </c>
      <c r="Y31" t="e">
        <f t="shared" si="7"/>
        <v>#N/A</v>
      </c>
      <c r="AC31" t="s">
        <v>42</v>
      </c>
      <c r="AD31">
        <v>2201</v>
      </c>
    </row>
    <row r="32" spans="2:30" x14ac:dyDescent="0.3">
      <c r="B32" s="22" t="str">
        <f t="shared" si="13"/>
        <v/>
      </c>
      <c r="C32" t="str">
        <f t="shared" si="14"/>
        <v/>
      </c>
      <c r="F32" s="22" t="str">
        <f t="shared" si="9"/>
        <v/>
      </c>
      <c r="G32" t="str">
        <f t="shared" si="10"/>
        <v/>
      </c>
      <c r="U32" t="e">
        <f t="shared" si="5"/>
        <v>#N/A</v>
      </c>
      <c r="X32" t="e">
        <f t="shared" si="6"/>
        <v>#N/A</v>
      </c>
      <c r="Y32" t="e">
        <f t="shared" si="7"/>
        <v>#N/A</v>
      </c>
      <c r="AC32" t="s">
        <v>43</v>
      </c>
      <c r="AD32">
        <v>2202</v>
      </c>
    </row>
    <row r="33" spans="2:30" x14ac:dyDescent="0.3">
      <c r="B33" s="22" t="str">
        <f t="shared" si="13"/>
        <v/>
      </c>
      <c r="C33" t="str">
        <f t="shared" si="14"/>
        <v/>
      </c>
      <c r="F33" s="22" t="str">
        <f t="shared" si="9"/>
        <v/>
      </c>
      <c r="G33" t="str">
        <f t="shared" si="10"/>
        <v/>
      </c>
      <c r="U33" t="e">
        <f t="shared" si="5"/>
        <v>#N/A</v>
      </c>
      <c r="X33" t="e">
        <f t="shared" si="6"/>
        <v>#N/A</v>
      </c>
      <c r="Y33" t="e">
        <f t="shared" si="7"/>
        <v>#N/A</v>
      </c>
      <c r="AC33" t="s">
        <v>44</v>
      </c>
      <c r="AD33">
        <v>2203</v>
      </c>
    </row>
    <row r="34" spans="2:30" x14ac:dyDescent="0.3">
      <c r="B34" s="22" t="str">
        <f t="shared" si="13"/>
        <v/>
      </c>
      <c r="C34" t="str">
        <f t="shared" si="14"/>
        <v/>
      </c>
      <c r="F34" s="22" t="str">
        <f t="shared" si="9"/>
        <v/>
      </c>
      <c r="G34" t="str">
        <f t="shared" si="10"/>
        <v/>
      </c>
      <c r="U34" t="e">
        <f t="shared" si="5"/>
        <v>#N/A</v>
      </c>
      <c r="X34" t="e">
        <f t="shared" si="6"/>
        <v>#N/A</v>
      </c>
      <c r="Y34" t="e">
        <f t="shared" si="7"/>
        <v>#N/A</v>
      </c>
      <c r="AC34" t="s">
        <v>45</v>
      </c>
      <c r="AD34">
        <v>2301</v>
      </c>
    </row>
    <row r="35" spans="2:30" x14ac:dyDescent="0.3">
      <c r="B35" s="22" t="str">
        <f t="shared" si="13"/>
        <v/>
      </c>
      <c r="C35" t="str">
        <f t="shared" si="14"/>
        <v/>
      </c>
      <c r="F35" s="22" t="str">
        <f t="shared" si="9"/>
        <v/>
      </c>
      <c r="G35" t="str">
        <f t="shared" si="10"/>
        <v/>
      </c>
      <c r="U35" t="e">
        <f t="shared" si="5"/>
        <v>#N/A</v>
      </c>
      <c r="X35" t="e">
        <f t="shared" si="6"/>
        <v>#N/A</v>
      </c>
      <c r="Y35" t="e">
        <f t="shared" si="7"/>
        <v>#N/A</v>
      </c>
      <c r="AC35" t="s">
        <v>46</v>
      </c>
      <c r="AD35">
        <v>2302</v>
      </c>
    </row>
    <row r="36" spans="2:30" x14ac:dyDescent="0.3">
      <c r="B36" s="22" t="str">
        <f t="shared" si="13"/>
        <v/>
      </c>
      <c r="C36" t="str">
        <f t="shared" si="14"/>
        <v/>
      </c>
      <c r="F36" s="22" t="str">
        <f t="shared" si="9"/>
        <v/>
      </c>
      <c r="G36" t="str">
        <f t="shared" si="10"/>
        <v/>
      </c>
      <c r="U36" t="e">
        <f t="shared" si="5"/>
        <v>#N/A</v>
      </c>
      <c r="X36" t="e">
        <f t="shared" si="6"/>
        <v>#N/A</v>
      </c>
      <c r="Y36" t="e">
        <f t="shared" si="7"/>
        <v>#N/A</v>
      </c>
      <c r="AC36" t="s">
        <v>47</v>
      </c>
      <c r="AD36">
        <v>3101</v>
      </c>
    </row>
    <row r="37" spans="2:30" x14ac:dyDescent="0.3">
      <c r="B37" s="22" t="str">
        <f t="shared" si="13"/>
        <v/>
      </c>
      <c r="C37" t="str">
        <f t="shared" si="14"/>
        <v/>
      </c>
      <c r="F37" s="22" t="str">
        <f t="shared" si="9"/>
        <v/>
      </c>
      <c r="G37" t="str">
        <f t="shared" si="10"/>
        <v/>
      </c>
      <c r="U37" t="e">
        <f t="shared" si="5"/>
        <v>#N/A</v>
      </c>
      <c r="X37" t="e">
        <f t="shared" si="6"/>
        <v>#N/A</v>
      </c>
      <c r="Y37" t="e">
        <f t="shared" si="7"/>
        <v>#N/A</v>
      </c>
      <c r="AC37" t="s">
        <v>48</v>
      </c>
      <c r="AD37">
        <v>3102</v>
      </c>
    </row>
    <row r="38" spans="2:30" x14ac:dyDescent="0.3">
      <c r="B38" s="22" t="str">
        <f t="shared" si="13"/>
        <v/>
      </c>
      <c r="C38" t="str">
        <f t="shared" si="14"/>
        <v/>
      </c>
      <c r="F38" s="22" t="str">
        <f t="shared" si="9"/>
        <v/>
      </c>
      <c r="G38" t="str">
        <f t="shared" si="10"/>
        <v/>
      </c>
      <c r="U38" t="e">
        <f t="shared" si="5"/>
        <v>#N/A</v>
      </c>
      <c r="X38" t="e">
        <f t="shared" si="6"/>
        <v>#N/A</v>
      </c>
      <c r="Y38" t="e">
        <f t="shared" si="7"/>
        <v>#N/A</v>
      </c>
      <c r="AC38" t="s">
        <v>49</v>
      </c>
      <c r="AD38">
        <v>3103</v>
      </c>
    </row>
    <row r="39" spans="2:30" x14ac:dyDescent="0.3">
      <c r="B39" s="22" t="str">
        <f t="shared" si="13"/>
        <v/>
      </c>
      <c r="C39" t="str">
        <f t="shared" si="14"/>
        <v/>
      </c>
      <c r="F39" s="22" t="str">
        <f t="shared" si="9"/>
        <v/>
      </c>
      <c r="G39" t="str">
        <f t="shared" si="10"/>
        <v/>
      </c>
      <c r="U39" t="e">
        <f t="shared" si="5"/>
        <v>#N/A</v>
      </c>
      <c r="X39" t="e">
        <f t="shared" si="6"/>
        <v>#N/A</v>
      </c>
      <c r="Y39" t="e">
        <f t="shared" si="7"/>
        <v>#N/A</v>
      </c>
      <c r="AC39" t="s">
        <v>50</v>
      </c>
      <c r="AD39">
        <v>3201</v>
      </c>
    </row>
    <row r="40" spans="2:30" x14ac:dyDescent="0.3">
      <c r="B40" s="22" t="str">
        <f t="shared" si="13"/>
        <v/>
      </c>
      <c r="C40" t="str">
        <f t="shared" si="14"/>
        <v/>
      </c>
      <c r="F40" s="22" t="str">
        <f t="shared" si="9"/>
        <v/>
      </c>
      <c r="G40" t="str">
        <f t="shared" si="10"/>
        <v/>
      </c>
      <c r="U40" t="e">
        <f t="shared" si="5"/>
        <v>#N/A</v>
      </c>
      <c r="X40" t="e">
        <f t="shared" si="6"/>
        <v>#N/A</v>
      </c>
      <c r="Y40" t="e">
        <f t="shared" si="7"/>
        <v>#N/A</v>
      </c>
      <c r="AC40" t="s">
        <v>51</v>
      </c>
      <c r="AD40">
        <v>3202</v>
      </c>
    </row>
    <row r="41" spans="2:30" x14ac:dyDescent="0.3">
      <c r="B41" s="22" t="str">
        <f t="shared" si="13"/>
        <v/>
      </c>
      <c r="C41" t="str">
        <f t="shared" si="14"/>
        <v/>
      </c>
      <c r="F41" s="22" t="str">
        <f t="shared" si="9"/>
        <v/>
      </c>
      <c r="G41" t="str">
        <f t="shared" si="10"/>
        <v/>
      </c>
      <c r="U41" t="e">
        <f t="shared" si="5"/>
        <v>#N/A</v>
      </c>
      <c r="X41" t="e">
        <f t="shared" si="6"/>
        <v>#N/A</v>
      </c>
      <c r="Y41" t="e">
        <f t="shared" si="7"/>
        <v>#N/A</v>
      </c>
      <c r="AC41" t="s">
        <v>52</v>
      </c>
      <c r="AD41">
        <v>3301</v>
      </c>
    </row>
    <row r="42" spans="2:30" x14ac:dyDescent="0.3">
      <c r="B42" s="22" t="str">
        <f t="shared" si="13"/>
        <v/>
      </c>
      <c r="C42" t="str">
        <f t="shared" si="14"/>
        <v/>
      </c>
      <c r="F42" s="22" t="str">
        <f t="shared" si="9"/>
        <v/>
      </c>
      <c r="G42" t="str">
        <f t="shared" si="10"/>
        <v/>
      </c>
      <c r="U42" t="e">
        <f t="shared" si="5"/>
        <v>#N/A</v>
      </c>
      <c r="X42" t="e">
        <f t="shared" si="6"/>
        <v>#N/A</v>
      </c>
      <c r="Y42" t="e">
        <f t="shared" si="7"/>
        <v>#N/A</v>
      </c>
      <c r="AC42" t="s">
        <v>53</v>
      </c>
      <c r="AD42">
        <v>3302</v>
      </c>
    </row>
    <row r="43" spans="2:30" x14ac:dyDescent="0.3">
      <c r="B43" s="22" t="str">
        <f t="shared" si="13"/>
        <v/>
      </c>
      <c r="C43" t="str">
        <f t="shared" si="14"/>
        <v/>
      </c>
      <c r="F43" s="22" t="str">
        <f t="shared" si="9"/>
        <v/>
      </c>
      <c r="G43" t="str">
        <f t="shared" si="10"/>
        <v/>
      </c>
      <c r="U43" t="e">
        <f t="shared" si="5"/>
        <v>#N/A</v>
      </c>
      <c r="X43" t="e">
        <f t="shared" si="6"/>
        <v>#N/A</v>
      </c>
      <c r="Y43" t="e">
        <f t="shared" si="7"/>
        <v>#N/A</v>
      </c>
      <c r="AC43" t="s">
        <v>54</v>
      </c>
      <c r="AD43">
        <v>3303</v>
      </c>
    </row>
    <row r="44" spans="2:30" x14ac:dyDescent="0.3">
      <c r="B44" s="22" t="str">
        <f t="shared" si="13"/>
        <v/>
      </c>
      <c r="C44" t="str">
        <f t="shared" si="14"/>
        <v/>
      </c>
      <c r="F44" s="22" t="str">
        <f t="shared" si="9"/>
        <v/>
      </c>
      <c r="G44" t="str">
        <f t="shared" si="10"/>
        <v/>
      </c>
      <c r="U44" t="e">
        <f t="shared" si="5"/>
        <v>#N/A</v>
      </c>
      <c r="X44" t="e">
        <f t="shared" si="6"/>
        <v>#N/A</v>
      </c>
      <c r="Y44" t="e">
        <f t="shared" si="7"/>
        <v>#N/A</v>
      </c>
      <c r="AC44" t="s">
        <v>55</v>
      </c>
      <c r="AD44">
        <v>3304</v>
      </c>
    </row>
    <row r="45" spans="2:30" x14ac:dyDescent="0.3">
      <c r="B45" s="22" t="str">
        <f t="shared" si="13"/>
        <v/>
      </c>
      <c r="C45" t="str">
        <f t="shared" si="14"/>
        <v/>
      </c>
      <c r="F45" s="22" t="str">
        <f t="shared" si="9"/>
        <v/>
      </c>
      <c r="G45" t="str">
        <f t="shared" si="10"/>
        <v/>
      </c>
      <c r="U45" s="19" t="e">
        <f t="shared" si="5"/>
        <v>#N/A</v>
      </c>
      <c r="X45" t="e">
        <f t="shared" si="6"/>
        <v>#N/A</v>
      </c>
      <c r="Y45" t="e">
        <f t="shared" si="7"/>
        <v>#N/A</v>
      </c>
      <c r="AC45" t="s">
        <v>56</v>
      </c>
      <c r="AD45">
        <v>4101</v>
      </c>
    </row>
    <row r="46" spans="2:30" x14ac:dyDescent="0.3">
      <c r="B46" s="22" t="str">
        <f t="shared" si="13"/>
        <v/>
      </c>
      <c r="C46" t="str">
        <f t="shared" si="14"/>
        <v/>
      </c>
      <c r="F46" s="22" t="str">
        <f t="shared" si="9"/>
        <v/>
      </c>
      <c r="G46" t="str">
        <f t="shared" si="10"/>
        <v/>
      </c>
      <c r="U46" t="e">
        <f t="shared" si="5"/>
        <v>#N/A</v>
      </c>
      <c r="X46" t="e">
        <f t="shared" si="6"/>
        <v>#N/A</v>
      </c>
      <c r="Y46" t="e">
        <f t="shared" si="7"/>
        <v>#N/A</v>
      </c>
      <c r="AC46" t="s">
        <v>28</v>
      </c>
      <c r="AD46">
        <v>4102</v>
      </c>
    </row>
    <row r="47" spans="2:30" x14ac:dyDescent="0.3">
      <c r="B47" s="22" t="str">
        <f t="shared" si="13"/>
        <v/>
      </c>
      <c r="C47" t="str">
        <f t="shared" si="14"/>
        <v/>
      </c>
      <c r="F47" s="22" t="str">
        <f t="shared" si="9"/>
        <v/>
      </c>
      <c r="G47" t="str">
        <f t="shared" si="10"/>
        <v/>
      </c>
      <c r="U47" t="e">
        <f t="shared" si="5"/>
        <v>#N/A</v>
      </c>
      <c r="X47" t="e">
        <f t="shared" si="6"/>
        <v>#N/A</v>
      </c>
      <c r="Y47" t="e">
        <f t="shared" si="7"/>
        <v>#N/A</v>
      </c>
      <c r="AC47" t="s">
        <v>57</v>
      </c>
      <c r="AD47">
        <v>4103</v>
      </c>
    </row>
    <row r="48" spans="2:30" x14ac:dyDescent="0.3">
      <c r="B48" s="22" t="str">
        <f t="shared" si="13"/>
        <v/>
      </c>
      <c r="C48" t="str">
        <f t="shared" si="14"/>
        <v/>
      </c>
      <c r="F48" s="22" t="str">
        <f t="shared" si="9"/>
        <v/>
      </c>
      <c r="G48" t="str">
        <f t="shared" si="10"/>
        <v/>
      </c>
      <c r="U48" t="e">
        <f t="shared" si="5"/>
        <v>#N/A</v>
      </c>
      <c r="X48" t="e">
        <f t="shared" si="6"/>
        <v>#N/A</v>
      </c>
      <c r="Y48" t="e">
        <f t="shared" si="7"/>
        <v>#N/A</v>
      </c>
      <c r="AC48" t="s">
        <v>58</v>
      </c>
      <c r="AD48">
        <v>4104</v>
      </c>
    </row>
    <row r="49" spans="2:30" x14ac:dyDescent="0.3">
      <c r="B49" s="22" t="str">
        <f t="shared" si="13"/>
        <v/>
      </c>
      <c r="C49" t="str">
        <f t="shared" si="14"/>
        <v/>
      </c>
      <c r="F49" s="22" t="str">
        <f t="shared" si="9"/>
        <v/>
      </c>
      <c r="G49" t="str">
        <f t="shared" si="10"/>
        <v/>
      </c>
      <c r="U49" t="e">
        <f t="shared" si="5"/>
        <v>#N/A</v>
      </c>
      <c r="X49" t="e">
        <f t="shared" si="6"/>
        <v>#N/A</v>
      </c>
      <c r="Y49" t="e">
        <f t="shared" si="7"/>
        <v>#N/A</v>
      </c>
      <c r="AC49" t="s">
        <v>59</v>
      </c>
      <c r="AD49">
        <v>4105</v>
      </c>
    </row>
    <row r="50" spans="2:30" x14ac:dyDescent="0.3">
      <c r="B50" s="22" t="str">
        <f t="shared" si="13"/>
        <v/>
      </c>
      <c r="C50" t="str">
        <f t="shared" si="14"/>
        <v/>
      </c>
      <c r="F50" s="22" t="str">
        <f t="shared" si="9"/>
        <v/>
      </c>
      <c r="G50" t="str">
        <f t="shared" si="10"/>
        <v/>
      </c>
      <c r="U50" t="e">
        <f t="shared" si="5"/>
        <v>#N/A</v>
      </c>
      <c r="X50" t="e">
        <f t="shared" si="6"/>
        <v>#N/A</v>
      </c>
      <c r="Y50" t="e">
        <f t="shared" si="7"/>
        <v>#N/A</v>
      </c>
      <c r="AC50" t="s">
        <v>60</v>
      </c>
      <c r="AD50">
        <v>4106</v>
      </c>
    </row>
    <row r="51" spans="2:30" x14ac:dyDescent="0.3">
      <c r="B51" s="22" t="str">
        <f t="shared" si="13"/>
        <v/>
      </c>
      <c r="C51" t="str">
        <f t="shared" si="14"/>
        <v/>
      </c>
      <c r="F51" s="22" t="str">
        <f t="shared" si="9"/>
        <v/>
      </c>
      <c r="G51" t="str">
        <f t="shared" si="10"/>
        <v/>
      </c>
      <c r="U51" t="e">
        <f t="shared" si="5"/>
        <v>#N/A</v>
      </c>
      <c r="X51" t="e">
        <f t="shared" si="6"/>
        <v>#N/A</v>
      </c>
      <c r="Y51" t="e">
        <f t="shared" si="7"/>
        <v>#N/A</v>
      </c>
      <c r="AC51" t="s">
        <v>61</v>
      </c>
      <c r="AD51">
        <v>4201</v>
      </c>
    </row>
    <row r="52" spans="2:30" x14ac:dyDescent="0.3">
      <c r="B52" s="22" t="str">
        <f t="shared" si="13"/>
        <v/>
      </c>
      <c r="C52" t="str">
        <f t="shared" si="14"/>
        <v/>
      </c>
      <c r="F52" s="22" t="str">
        <f t="shared" si="9"/>
        <v/>
      </c>
      <c r="G52" t="str">
        <f t="shared" si="10"/>
        <v/>
      </c>
      <c r="U52" t="e">
        <f t="shared" si="5"/>
        <v>#N/A</v>
      </c>
      <c r="X52" t="e">
        <f t="shared" si="6"/>
        <v>#N/A</v>
      </c>
      <c r="Y52" t="e">
        <f t="shared" si="7"/>
        <v>#N/A</v>
      </c>
      <c r="AC52" t="s">
        <v>62</v>
      </c>
      <c r="AD52">
        <v>4202</v>
      </c>
    </row>
    <row r="53" spans="2:30" x14ac:dyDescent="0.3">
      <c r="B53" s="22" t="str">
        <f t="shared" si="13"/>
        <v/>
      </c>
      <c r="C53" t="str">
        <f t="shared" si="14"/>
        <v/>
      </c>
      <c r="F53" s="22" t="str">
        <f t="shared" si="9"/>
        <v/>
      </c>
      <c r="G53" t="str">
        <f t="shared" si="10"/>
        <v/>
      </c>
      <c r="U53" t="e">
        <f t="shared" si="5"/>
        <v>#N/A</v>
      </c>
      <c r="X53" t="e">
        <f t="shared" si="6"/>
        <v>#N/A</v>
      </c>
      <c r="Y53" t="e">
        <f t="shared" si="7"/>
        <v>#N/A</v>
      </c>
      <c r="AC53" t="s">
        <v>63</v>
      </c>
      <c r="AD53">
        <v>4203</v>
      </c>
    </row>
    <row r="54" spans="2:30" x14ac:dyDescent="0.3">
      <c r="B54" s="22" t="str">
        <f t="shared" si="13"/>
        <v/>
      </c>
      <c r="C54" t="str">
        <f t="shared" si="14"/>
        <v/>
      </c>
      <c r="F54" s="22" t="str">
        <f t="shared" si="9"/>
        <v/>
      </c>
      <c r="G54" t="str">
        <f t="shared" si="10"/>
        <v/>
      </c>
      <c r="U54" t="e">
        <f t="shared" si="5"/>
        <v>#N/A</v>
      </c>
      <c r="X54" t="e">
        <f t="shared" si="6"/>
        <v>#N/A</v>
      </c>
      <c r="Y54" t="e">
        <f t="shared" si="7"/>
        <v>#N/A</v>
      </c>
      <c r="AC54" t="s">
        <v>64</v>
      </c>
      <c r="AD54">
        <v>4204</v>
      </c>
    </row>
    <row r="55" spans="2:30" x14ac:dyDescent="0.3">
      <c r="B55" s="22" t="str">
        <f t="shared" si="13"/>
        <v/>
      </c>
      <c r="C55" t="str">
        <f t="shared" si="14"/>
        <v/>
      </c>
      <c r="F55" s="22" t="str">
        <f t="shared" si="9"/>
        <v/>
      </c>
      <c r="G55" t="str">
        <f t="shared" si="10"/>
        <v/>
      </c>
      <c r="U55" t="e">
        <f t="shared" si="5"/>
        <v>#N/A</v>
      </c>
      <c r="X55" t="e">
        <f t="shared" si="6"/>
        <v>#N/A</v>
      </c>
      <c r="Y55" t="e">
        <f t="shared" si="7"/>
        <v>#N/A</v>
      </c>
      <c r="AC55" t="s">
        <v>22</v>
      </c>
      <c r="AD55">
        <v>4301</v>
      </c>
    </row>
    <row r="56" spans="2:30" x14ac:dyDescent="0.3">
      <c r="B56" s="22" t="str">
        <f t="shared" si="13"/>
        <v/>
      </c>
      <c r="C56" t="str">
        <f t="shared" si="14"/>
        <v/>
      </c>
      <c r="F56" s="22" t="str">
        <f t="shared" si="9"/>
        <v/>
      </c>
      <c r="G56" t="str">
        <f t="shared" si="10"/>
        <v/>
      </c>
      <c r="U56" t="e">
        <f t="shared" si="5"/>
        <v>#N/A</v>
      </c>
      <c r="X56" t="e">
        <f t="shared" si="6"/>
        <v>#N/A</v>
      </c>
      <c r="Y56" t="e">
        <f t="shared" si="7"/>
        <v>#N/A</v>
      </c>
      <c r="AC56" t="s">
        <v>65</v>
      </c>
      <c r="AD56">
        <v>4302</v>
      </c>
    </row>
    <row r="57" spans="2:30" x14ac:dyDescent="0.3">
      <c r="B57" s="22" t="str">
        <f t="shared" si="13"/>
        <v/>
      </c>
      <c r="C57" t="str">
        <f t="shared" si="14"/>
        <v/>
      </c>
      <c r="F57" s="22" t="str">
        <f t="shared" si="9"/>
        <v/>
      </c>
      <c r="G57" t="str">
        <f t="shared" si="10"/>
        <v/>
      </c>
      <c r="U57" t="e">
        <f t="shared" si="5"/>
        <v>#N/A</v>
      </c>
      <c r="X57" t="e">
        <f t="shared" si="6"/>
        <v>#N/A</v>
      </c>
      <c r="Y57" t="e">
        <f t="shared" si="7"/>
        <v>#N/A</v>
      </c>
      <c r="AC57" t="s">
        <v>66</v>
      </c>
      <c r="AD57">
        <v>4303</v>
      </c>
    </row>
    <row r="58" spans="2:30" x14ac:dyDescent="0.3">
      <c r="B58" s="22" t="str">
        <f t="shared" si="13"/>
        <v/>
      </c>
      <c r="C58" t="str">
        <f t="shared" si="14"/>
        <v/>
      </c>
      <c r="F58" s="22" t="str">
        <f t="shared" si="9"/>
        <v/>
      </c>
      <c r="G58" t="str">
        <f t="shared" si="10"/>
        <v/>
      </c>
      <c r="U58" t="e">
        <f t="shared" si="5"/>
        <v>#N/A</v>
      </c>
      <c r="X58" t="e">
        <f t="shared" si="6"/>
        <v>#N/A</v>
      </c>
      <c r="Y58" t="e">
        <f t="shared" si="7"/>
        <v>#N/A</v>
      </c>
      <c r="AC58" t="s">
        <v>67</v>
      </c>
      <c r="AD58">
        <v>4304</v>
      </c>
    </row>
    <row r="59" spans="2:30" x14ac:dyDescent="0.3">
      <c r="B59" s="22" t="str">
        <f t="shared" si="13"/>
        <v/>
      </c>
      <c r="C59" t="str">
        <f t="shared" si="14"/>
        <v/>
      </c>
      <c r="F59" s="22" t="str">
        <f t="shared" si="9"/>
        <v/>
      </c>
      <c r="G59" t="str">
        <f t="shared" si="10"/>
        <v/>
      </c>
      <c r="U59" t="e">
        <f t="shared" si="5"/>
        <v>#N/A</v>
      </c>
      <c r="X59" t="e">
        <f t="shared" si="6"/>
        <v>#N/A</v>
      </c>
      <c r="Y59" t="e">
        <f t="shared" si="7"/>
        <v>#N/A</v>
      </c>
      <c r="AC59" t="s">
        <v>68</v>
      </c>
      <c r="AD59">
        <v>4305</v>
      </c>
    </row>
    <row r="60" spans="2:30" x14ac:dyDescent="0.3">
      <c r="B60" s="22" t="str">
        <f t="shared" si="13"/>
        <v/>
      </c>
      <c r="C60" t="str">
        <f t="shared" si="14"/>
        <v/>
      </c>
      <c r="F60" s="22" t="str">
        <f t="shared" si="9"/>
        <v/>
      </c>
      <c r="G60" t="str">
        <f t="shared" si="10"/>
        <v/>
      </c>
      <c r="U60" t="e">
        <f t="shared" si="5"/>
        <v>#N/A</v>
      </c>
      <c r="X60" t="e">
        <f t="shared" si="6"/>
        <v>#N/A</v>
      </c>
      <c r="Y60" t="e">
        <f t="shared" si="7"/>
        <v>#N/A</v>
      </c>
      <c r="AC60" t="s">
        <v>29</v>
      </c>
      <c r="AD60">
        <v>5101</v>
      </c>
    </row>
    <row r="61" spans="2:30" x14ac:dyDescent="0.3">
      <c r="B61" s="22" t="str">
        <f t="shared" si="13"/>
        <v/>
      </c>
      <c r="C61" t="str">
        <f t="shared" si="14"/>
        <v/>
      </c>
      <c r="F61" s="22" t="str">
        <f t="shared" si="9"/>
        <v/>
      </c>
      <c r="G61" t="str">
        <f t="shared" si="10"/>
        <v/>
      </c>
      <c r="U61" t="e">
        <f t="shared" si="5"/>
        <v>#N/A</v>
      </c>
      <c r="X61" t="e">
        <f t="shared" si="6"/>
        <v>#N/A</v>
      </c>
      <c r="Y61" t="e">
        <f t="shared" si="7"/>
        <v>#N/A</v>
      </c>
      <c r="AC61" t="s">
        <v>69</v>
      </c>
      <c r="AD61">
        <v>5102</v>
      </c>
    </row>
    <row r="62" spans="2:30" x14ac:dyDescent="0.3">
      <c r="B62" s="22" t="str">
        <f t="shared" si="13"/>
        <v/>
      </c>
      <c r="C62" t="str">
        <f t="shared" si="14"/>
        <v/>
      </c>
      <c r="F62" s="22" t="str">
        <f t="shared" si="9"/>
        <v/>
      </c>
      <c r="G62" t="str">
        <f t="shared" si="10"/>
        <v/>
      </c>
      <c r="U62" t="e">
        <f t="shared" si="5"/>
        <v>#N/A</v>
      </c>
      <c r="X62" t="e">
        <f t="shared" si="6"/>
        <v>#N/A</v>
      </c>
      <c r="Y62" t="e">
        <f t="shared" si="7"/>
        <v>#N/A</v>
      </c>
      <c r="AC62" t="s">
        <v>70</v>
      </c>
      <c r="AD62">
        <v>5103</v>
      </c>
    </row>
    <row r="63" spans="2:30" x14ac:dyDescent="0.3">
      <c r="B63" s="22" t="str">
        <f t="shared" si="13"/>
        <v/>
      </c>
      <c r="C63" t="str">
        <f t="shared" si="14"/>
        <v/>
      </c>
      <c r="F63" s="22" t="str">
        <f t="shared" si="9"/>
        <v/>
      </c>
      <c r="G63" t="str">
        <f t="shared" si="10"/>
        <v/>
      </c>
      <c r="U63" t="e">
        <f t="shared" si="5"/>
        <v>#N/A</v>
      </c>
      <c r="X63" t="e">
        <f t="shared" si="6"/>
        <v>#N/A</v>
      </c>
      <c r="Y63" t="e">
        <f t="shared" si="7"/>
        <v>#N/A</v>
      </c>
      <c r="AC63" t="s">
        <v>71</v>
      </c>
      <c r="AD63">
        <v>5104</v>
      </c>
    </row>
    <row r="64" spans="2:30" x14ac:dyDescent="0.3">
      <c r="B64" s="22" t="str">
        <f t="shared" si="13"/>
        <v/>
      </c>
      <c r="C64" t="str">
        <f t="shared" si="14"/>
        <v/>
      </c>
      <c r="F64" s="22" t="str">
        <f t="shared" si="9"/>
        <v/>
      </c>
      <c r="G64" t="str">
        <f t="shared" si="10"/>
        <v/>
      </c>
      <c r="U64" t="e">
        <f t="shared" si="5"/>
        <v>#N/A</v>
      </c>
      <c r="X64" t="e">
        <f t="shared" si="6"/>
        <v>#N/A</v>
      </c>
      <c r="Y64" t="e">
        <f t="shared" si="7"/>
        <v>#N/A</v>
      </c>
      <c r="AC64" t="s">
        <v>72</v>
      </c>
      <c r="AD64">
        <v>5105</v>
      </c>
    </row>
    <row r="65" spans="2:30" x14ac:dyDescent="0.3">
      <c r="B65" s="22" t="str">
        <f t="shared" si="13"/>
        <v/>
      </c>
      <c r="C65" t="str">
        <f t="shared" si="14"/>
        <v/>
      </c>
      <c r="F65" s="22" t="str">
        <f t="shared" si="9"/>
        <v/>
      </c>
      <c r="G65" t="str">
        <f t="shared" si="10"/>
        <v/>
      </c>
      <c r="U65" t="e">
        <f t="shared" si="5"/>
        <v>#N/A</v>
      </c>
      <c r="X65" t="e">
        <f t="shared" si="6"/>
        <v>#N/A</v>
      </c>
      <c r="Y65" t="e">
        <f t="shared" si="7"/>
        <v>#N/A</v>
      </c>
      <c r="AC65" t="s">
        <v>73</v>
      </c>
      <c r="AD65">
        <v>5107</v>
      </c>
    </row>
    <row r="66" spans="2:30" x14ac:dyDescent="0.3">
      <c r="B66" s="22" t="str">
        <f t="shared" si="13"/>
        <v/>
      </c>
      <c r="C66" t="str">
        <f t="shared" si="14"/>
        <v/>
      </c>
      <c r="F66" s="22" t="str">
        <f t="shared" si="9"/>
        <v/>
      </c>
      <c r="G66" t="str">
        <f t="shared" si="10"/>
        <v/>
      </c>
      <c r="U66" t="e">
        <f t="shared" si="5"/>
        <v>#N/A</v>
      </c>
      <c r="X66" t="e">
        <f t="shared" si="6"/>
        <v>#N/A</v>
      </c>
      <c r="Y66" t="e">
        <f t="shared" si="7"/>
        <v>#N/A</v>
      </c>
      <c r="AC66" t="s">
        <v>74</v>
      </c>
      <c r="AD66">
        <v>5109</v>
      </c>
    </row>
    <row r="67" spans="2:30" x14ac:dyDescent="0.3">
      <c r="B67" s="22" t="str">
        <f t="shared" si="13"/>
        <v/>
      </c>
      <c r="C67" t="str">
        <f t="shared" si="14"/>
        <v/>
      </c>
      <c r="F67" s="22" t="str">
        <f t="shared" si="9"/>
        <v/>
      </c>
      <c r="G67" t="str">
        <f t="shared" si="10"/>
        <v/>
      </c>
      <c r="U67" t="e">
        <f t="shared" si="5"/>
        <v>#N/A</v>
      </c>
      <c r="X67" t="e">
        <f t="shared" si="6"/>
        <v>#N/A</v>
      </c>
      <c r="Y67" t="e">
        <f t="shared" si="7"/>
        <v>#N/A</v>
      </c>
      <c r="AC67" t="s">
        <v>75</v>
      </c>
      <c r="AD67">
        <v>5201</v>
      </c>
    </row>
    <row r="68" spans="2:30" x14ac:dyDescent="0.3">
      <c r="B68" s="22" t="str">
        <f t="shared" si="13"/>
        <v/>
      </c>
      <c r="C68" t="str">
        <f t="shared" si="14"/>
        <v/>
      </c>
      <c r="F68" s="22" t="str">
        <f t="shared" si="9"/>
        <v/>
      </c>
      <c r="G68" t="str">
        <f t="shared" si="10"/>
        <v/>
      </c>
      <c r="U68" t="e">
        <f t="shared" si="5"/>
        <v>#N/A</v>
      </c>
      <c r="X68" t="e">
        <f t="shared" si="6"/>
        <v>#N/A</v>
      </c>
      <c r="Y68" t="e">
        <f t="shared" si="7"/>
        <v>#N/A</v>
      </c>
      <c r="AC68" t="s">
        <v>76</v>
      </c>
      <c r="AD68">
        <v>5301</v>
      </c>
    </row>
    <row r="69" spans="2:30" x14ac:dyDescent="0.3">
      <c r="B69" s="22" t="str">
        <f t="shared" si="13"/>
        <v/>
      </c>
      <c r="C69" t="str">
        <f t="shared" si="14"/>
        <v/>
      </c>
      <c r="F69" s="22" t="str">
        <f t="shared" si="9"/>
        <v/>
      </c>
      <c r="G69" t="str">
        <f t="shared" si="10"/>
        <v/>
      </c>
      <c r="U69" t="e">
        <f t="shared" ref="U69:U132" si="17">+VLOOKUP(W69,$R$4:$S$6,2,0)*100000+X69</f>
        <v>#N/A</v>
      </c>
      <c r="X69" t="e">
        <f t="shared" ref="X69:X132" si="18">+VLOOKUP(V69,$AC$3:$AD$364,2,0)</f>
        <v>#N/A</v>
      </c>
      <c r="Y69" t="e">
        <f t="shared" ref="Y69:Y132" si="19">+U69</f>
        <v>#N/A</v>
      </c>
      <c r="AC69" t="s">
        <v>77</v>
      </c>
      <c r="AD69">
        <v>5302</v>
      </c>
    </row>
    <row r="70" spans="2:30" x14ac:dyDescent="0.3">
      <c r="B70" s="22" t="str">
        <f t="shared" si="13"/>
        <v/>
      </c>
      <c r="C70" t="str">
        <f t="shared" si="14"/>
        <v/>
      </c>
      <c r="F70" s="22" t="str">
        <f t="shared" si="9"/>
        <v/>
      </c>
      <c r="G70" t="str">
        <f t="shared" si="10"/>
        <v/>
      </c>
      <c r="U70" t="e">
        <f t="shared" si="17"/>
        <v>#N/A</v>
      </c>
      <c r="X70" t="e">
        <f t="shared" si="18"/>
        <v>#N/A</v>
      </c>
      <c r="Y70" t="e">
        <f t="shared" si="19"/>
        <v>#N/A</v>
      </c>
      <c r="AC70" t="s">
        <v>78</v>
      </c>
      <c r="AD70">
        <v>5303</v>
      </c>
    </row>
    <row r="71" spans="2:30" x14ac:dyDescent="0.3">
      <c r="B71" s="22" t="str">
        <f t="shared" si="13"/>
        <v/>
      </c>
      <c r="C71" t="str">
        <f t="shared" si="14"/>
        <v/>
      </c>
      <c r="F71" s="22" t="str">
        <f t="shared" ref="F71:F100" si="20">+IF(E71="","",F70+1)</f>
        <v/>
      </c>
      <c r="G71" t="str">
        <f t="shared" ref="G71:G100" si="21">+IF(E71="","","C-"&amp;$B$1+F71)</f>
        <v/>
      </c>
      <c r="U71" t="e">
        <f t="shared" si="17"/>
        <v>#N/A</v>
      </c>
      <c r="X71" t="e">
        <f t="shared" si="18"/>
        <v>#N/A</v>
      </c>
      <c r="Y71" t="e">
        <f t="shared" si="19"/>
        <v>#N/A</v>
      </c>
      <c r="AC71" t="s">
        <v>79</v>
      </c>
      <c r="AD71">
        <v>5304</v>
      </c>
    </row>
    <row r="72" spans="2:30" x14ac:dyDescent="0.3">
      <c r="B72" s="22" t="str">
        <f t="shared" ref="B72:B100" si="22">+IF(A72="","",B71+1)</f>
        <v/>
      </c>
      <c r="C72" t="str">
        <f t="shared" ref="C72:C100" si="23">+IF(A72="","","T-"&amp;$B$1+B72)</f>
        <v/>
      </c>
      <c r="F72" s="22" t="str">
        <f t="shared" si="20"/>
        <v/>
      </c>
      <c r="G72" t="str">
        <f t="shared" si="21"/>
        <v/>
      </c>
      <c r="U72" t="e">
        <f t="shared" si="17"/>
        <v>#N/A</v>
      </c>
      <c r="X72" t="e">
        <f t="shared" si="18"/>
        <v>#N/A</v>
      </c>
      <c r="Y72" t="e">
        <f t="shared" si="19"/>
        <v>#N/A</v>
      </c>
      <c r="AC72" t="s">
        <v>80</v>
      </c>
      <c r="AD72">
        <v>5401</v>
      </c>
    </row>
    <row r="73" spans="2:30" x14ac:dyDescent="0.3">
      <c r="B73" s="22" t="str">
        <f t="shared" si="22"/>
        <v/>
      </c>
      <c r="C73" t="str">
        <f t="shared" si="23"/>
        <v/>
      </c>
      <c r="F73" s="22" t="str">
        <f t="shared" si="20"/>
        <v/>
      </c>
      <c r="G73" t="str">
        <f t="shared" si="21"/>
        <v/>
      </c>
      <c r="U73" t="e">
        <f t="shared" si="17"/>
        <v>#N/A</v>
      </c>
      <c r="X73" t="e">
        <f t="shared" si="18"/>
        <v>#N/A</v>
      </c>
      <c r="Y73" t="e">
        <f t="shared" si="19"/>
        <v>#N/A</v>
      </c>
      <c r="AC73" t="s">
        <v>81</v>
      </c>
      <c r="AD73">
        <v>5402</v>
      </c>
    </row>
    <row r="74" spans="2:30" x14ac:dyDescent="0.3">
      <c r="B74" s="22" t="str">
        <f t="shared" si="22"/>
        <v/>
      </c>
      <c r="C74" t="str">
        <f t="shared" si="23"/>
        <v/>
      </c>
      <c r="F74" s="22" t="str">
        <f t="shared" si="20"/>
        <v/>
      </c>
      <c r="G74" t="str">
        <f t="shared" si="21"/>
        <v/>
      </c>
      <c r="U74" t="e">
        <f t="shared" si="17"/>
        <v>#N/A</v>
      </c>
      <c r="X74" t="e">
        <f t="shared" si="18"/>
        <v>#N/A</v>
      </c>
      <c r="Y74" t="e">
        <f t="shared" si="19"/>
        <v>#N/A</v>
      </c>
      <c r="AC74" t="s">
        <v>82</v>
      </c>
      <c r="AD74">
        <v>5403</v>
      </c>
    </row>
    <row r="75" spans="2:30" x14ac:dyDescent="0.3">
      <c r="B75" s="22" t="str">
        <f t="shared" si="22"/>
        <v/>
      </c>
      <c r="C75" t="str">
        <f t="shared" si="23"/>
        <v/>
      </c>
      <c r="F75" s="22" t="str">
        <f t="shared" si="20"/>
        <v/>
      </c>
      <c r="G75" t="str">
        <f t="shared" si="21"/>
        <v/>
      </c>
      <c r="U75" t="e">
        <f t="shared" si="17"/>
        <v>#N/A</v>
      </c>
      <c r="X75" t="e">
        <f t="shared" si="18"/>
        <v>#N/A</v>
      </c>
      <c r="Y75" t="e">
        <f t="shared" si="19"/>
        <v>#N/A</v>
      </c>
      <c r="AC75" t="s">
        <v>83</v>
      </c>
      <c r="AD75">
        <v>5404</v>
      </c>
    </row>
    <row r="76" spans="2:30" x14ac:dyDescent="0.3">
      <c r="B76" s="22" t="str">
        <f t="shared" si="22"/>
        <v/>
      </c>
      <c r="C76" t="str">
        <f t="shared" si="23"/>
        <v/>
      </c>
      <c r="F76" s="22" t="str">
        <f t="shared" si="20"/>
        <v/>
      </c>
      <c r="G76" t="str">
        <f t="shared" si="21"/>
        <v/>
      </c>
      <c r="U76" t="e">
        <f t="shared" si="17"/>
        <v>#N/A</v>
      </c>
      <c r="X76" t="e">
        <f t="shared" si="18"/>
        <v>#N/A</v>
      </c>
      <c r="Y76" t="e">
        <f t="shared" si="19"/>
        <v>#N/A</v>
      </c>
      <c r="AC76" t="s">
        <v>84</v>
      </c>
      <c r="AD76">
        <v>5405</v>
      </c>
    </row>
    <row r="77" spans="2:30" x14ac:dyDescent="0.3">
      <c r="B77" s="22" t="str">
        <f t="shared" si="22"/>
        <v/>
      </c>
      <c r="C77" t="str">
        <f t="shared" si="23"/>
        <v/>
      </c>
      <c r="F77" s="22" t="str">
        <f t="shared" si="20"/>
        <v/>
      </c>
      <c r="G77" t="str">
        <f t="shared" si="21"/>
        <v/>
      </c>
      <c r="U77" t="e">
        <f t="shared" si="17"/>
        <v>#N/A</v>
      </c>
      <c r="X77" t="e">
        <f t="shared" si="18"/>
        <v>#N/A</v>
      </c>
      <c r="Y77" t="e">
        <f t="shared" si="19"/>
        <v>#N/A</v>
      </c>
      <c r="AC77" t="s">
        <v>85</v>
      </c>
      <c r="AD77">
        <v>5501</v>
      </c>
    </row>
    <row r="78" spans="2:30" x14ac:dyDescent="0.3">
      <c r="B78" s="22" t="str">
        <f t="shared" si="22"/>
        <v/>
      </c>
      <c r="C78" t="str">
        <f t="shared" si="23"/>
        <v/>
      </c>
      <c r="F78" s="22" t="str">
        <f t="shared" si="20"/>
        <v/>
      </c>
      <c r="G78" t="str">
        <f t="shared" si="21"/>
        <v/>
      </c>
      <c r="U78" t="e">
        <f t="shared" si="17"/>
        <v>#N/A</v>
      </c>
      <c r="X78" t="e">
        <f t="shared" si="18"/>
        <v>#N/A</v>
      </c>
      <c r="Y78" t="e">
        <f t="shared" si="19"/>
        <v>#N/A</v>
      </c>
      <c r="AC78" t="s">
        <v>86</v>
      </c>
      <c r="AD78">
        <v>5502</v>
      </c>
    </row>
    <row r="79" spans="2:30" x14ac:dyDescent="0.3">
      <c r="B79" s="22" t="str">
        <f t="shared" si="22"/>
        <v/>
      </c>
      <c r="C79" t="str">
        <f t="shared" si="23"/>
        <v/>
      </c>
      <c r="F79" s="22" t="str">
        <f t="shared" si="20"/>
        <v/>
      </c>
      <c r="G79" t="str">
        <f t="shared" si="21"/>
        <v/>
      </c>
      <c r="U79" t="e">
        <f t="shared" si="17"/>
        <v>#N/A</v>
      </c>
      <c r="X79" t="e">
        <f t="shared" si="18"/>
        <v>#N/A</v>
      </c>
      <c r="Y79" t="e">
        <f t="shared" si="19"/>
        <v>#N/A</v>
      </c>
      <c r="AC79" t="s">
        <v>87</v>
      </c>
      <c r="AD79">
        <v>5503</v>
      </c>
    </row>
    <row r="80" spans="2:30" x14ac:dyDescent="0.3">
      <c r="B80" s="22" t="str">
        <f t="shared" si="22"/>
        <v/>
      </c>
      <c r="C80" t="str">
        <f t="shared" si="23"/>
        <v/>
      </c>
      <c r="F80" s="22" t="str">
        <f t="shared" si="20"/>
        <v/>
      </c>
      <c r="G80" t="str">
        <f t="shared" si="21"/>
        <v/>
      </c>
      <c r="U80" t="e">
        <f t="shared" si="17"/>
        <v>#N/A</v>
      </c>
      <c r="X80" t="e">
        <f t="shared" si="18"/>
        <v>#N/A</v>
      </c>
      <c r="Y80" t="e">
        <f t="shared" si="19"/>
        <v>#N/A</v>
      </c>
      <c r="AC80" t="s">
        <v>88</v>
      </c>
      <c r="AD80">
        <v>5504</v>
      </c>
    </row>
    <row r="81" spans="2:30" x14ac:dyDescent="0.3">
      <c r="B81" s="22" t="str">
        <f t="shared" si="22"/>
        <v/>
      </c>
      <c r="C81" t="str">
        <f t="shared" si="23"/>
        <v/>
      </c>
      <c r="F81" s="22" t="str">
        <f t="shared" si="20"/>
        <v/>
      </c>
      <c r="G81" t="str">
        <f t="shared" si="21"/>
        <v/>
      </c>
      <c r="U81" t="e">
        <f t="shared" si="17"/>
        <v>#N/A</v>
      </c>
      <c r="X81" t="e">
        <f t="shared" si="18"/>
        <v>#N/A</v>
      </c>
      <c r="Y81" t="e">
        <f t="shared" si="19"/>
        <v>#N/A</v>
      </c>
      <c r="AC81" t="s">
        <v>89</v>
      </c>
      <c r="AD81">
        <v>5506</v>
      </c>
    </row>
    <row r="82" spans="2:30" x14ac:dyDescent="0.3">
      <c r="B82" s="22" t="str">
        <f t="shared" si="22"/>
        <v/>
      </c>
      <c r="C82" t="str">
        <f t="shared" si="23"/>
        <v/>
      </c>
      <c r="F82" s="22" t="str">
        <f t="shared" si="20"/>
        <v/>
      </c>
      <c r="G82" t="str">
        <f t="shared" si="21"/>
        <v/>
      </c>
      <c r="U82" t="e">
        <f t="shared" si="17"/>
        <v>#N/A</v>
      </c>
      <c r="X82" t="e">
        <f t="shared" si="18"/>
        <v>#N/A</v>
      </c>
      <c r="Y82" t="e">
        <f t="shared" si="19"/>
        <v>#N/A</v>
      </c>
      <c r="AC82" t="s">
        <v>90</v>
      </c>
      <c r="AD82">
        <v>5601</v>
      </c>
    </row>
    <row r="83" spans="2:30" x14ac:dyDescent="0.3">
      <c r="B83" s="22" t="str">
        <f t="shared" si="22"/>
        <v/>
      </c>
      <c r="C83" t="str">
        <f t="shared" si="23"/>
        <v/>
      </c>
      <c r="F83" s="22" t="str">
        <f t="shared" si="20"/>
        <v/>
      </c>
      <c r="G83" t="str">
        <f t="shared" si="21"/>
        <v/>
      </c>
      <c r="U83" t="e">
        <f t="shared" si="17"/>
        <v>#N/A</v>
      </c>
      <c r="X83" t="e">
        <f t="shared" si="18"/>
        <v>#N/A</v>
      </c>
      <c r="Y83" t="e">
        <f t="shared" si="19"/>
        <v>#N/A</v>
      </c>
      <c r="AC83" t="s">
        <v>91</v>
      </c>
      <c r="AD83">
        <v>5602</v>
      </c>
    </row>
    <row r="84" spans="2:30" x14ac:dyDescent="0.3">
      <c r="B84" s="22" t="str">
        <f t="shared" si="22"/>
        <v/>
      </c>
      <c r="C84" t="str">
        <f t="shared" si="23"/>
        <v/>
      </c>
      <c r="F84" s="22" t="str">
        <f t="shared" si="20"/>
        <v/>
      </c>
      <c r="G84" t="str">
        <f t="shared" si="21"/>
        <v/>
      </c>
      <c r="U84" t="e">
        <f t="shared" si="17"/>
        <v>#N/A</v>
      </c>
      <c r="X84" t="e">
        <f t="shared" si="18"/>
        <v>#N/A</v>
      </c>
      <c r="Y84" t="e">
        <f t="shared" si="19"/>
        <v>#N/A</v>
      </c>
      <c r="AC84" t="s">
        <v>92</v>
      </c>
      <c r="AD84">
        <v>5603</v>
      </c>
    </row>
    <row r="85" spans="2:30" x14ac:dyDescent="0.3">
      <c r="B85" s="22" t="str">
        <f t="shared" si="22"/>
        <v/>
      </c>
      <c r="C85" t="str">
        <f t="shared" si="23"/>
        <v/>
      </c>
      <c r="F85" s="22" t="str">
        <f t="shared" si="20"/>
        <v/>
      </c>
      <c r="G85" t="str">
        <f t="shared" si="21"/>
        <v/>
      </c>
      <c r="U85" t="e">
        <f t="shared" si="17"/>
        <v>#N/A</v>
      </c>
      <c r="X85" t="e">
        <f t="shared" si="18"/>
        <v>#N/A</v>
      </c>
      <c r="Y85" t="e">
        <f t="shared" si="19"/>
        <v>#N/A</v>
      </c>
      <c r="AC85" t="s">
        <v>93</v>
      </c>
      <c r="AD85">
        <v>5604</v>
      </c>
    </row>
    <row r="86" spans="2:30" x14ac:dyDescent="0.3">
      <c r="B86" s="22" t="str">
        <f t="shared" si="22"/>
        <v/>
      </c>
      <c r="C86" t="str">
        <f t="shared" si="23"/>
        <v/>
      </c>
      <c r="F86" s="22" t="str">
        <f t="shared" si="20"/>
        <v/>
      </c>
      <c r="G86" t="str">
        <f t="shared" si="21"/>
        <v/>
      </c>
      <c r="U86" t="e">
        <f t="shared" si="17"/>
        <v>#N/A</v>
      </c>
      <c r="X86" t="e">
        <f t="shared" si="18"/>
        <v>#N/A</v>
      </c>
      <c r="Y86" t="e">
        <f t="shared" si="19"/>
        <v>#N/A</v>
      </c>
      <c r="AC86" t="s">
        <v>94</v>
      </c>
      <c r="AD86">
        <v>5605</v>
      </c>
    </row>
    <row r="87" spans="2:30" x14ac:dyDescent="0.3">
      <c r="B87" s="22" t="str">
        <f t="shared" si="22"/>
        <v/>
      </c>
      <c r="C87" t="str">
        <f t="shared" si="23"/>
        <v/>
      </c>
      <c r="F87" s="22" t="str">
        <f t="shared" si="20"/>
        <v/>
      </c>
      <c r="G87" t="str">
        <f t="shared" si="21"/>
        <v/>
      </c>
      <c r="U87" t="e">
        <f t="shared" si="17"/>
        <v>#N/A</v>
      </c>
      <c r="X87" t="e">
        <f t="shared" si="18"/>
        <v>#N/A</v>
      </c>
      <c r="Y87" t="e">
        <f t="shared" si="19"/>
        <v>#N/A</v>
      </c>
      <c r="AC87" t="s">
        <v>95</v>
      </c>
      <c r="AD87">
        <v>5606</v>
      </c>
    </row>
    <row r="88" spans="2:30" x14ac:dyDescent="0.3">
      <c r="B88" s="22" t="str">
        <f t="shared" si="22"/>
        <v/>
      </c>
      <c r="C88" t="str">
        <f t="shared" si="23"/>
        <v/>
      </c>
      <c r="F88" s="22" t="str">
        <f t="shared" si="20"/>
        <v/>
      </c>
      <c r="G88" t="str">
        <f t="shared" si="21"/>
        <v/>
      </c>
      <c r="U88" t="e">
        <f t="shared" si="17"/>
        <v>#N/A</v>
      </c>
      <c r="X88" t="e">
        <f t="shared" si="18"/>
        <v>#N/A</v>
      </c>
      <c r="Y88" t="e">
        <f t="shared" si="19"/>
        <v>#N/A</v>
      </c>
      <c r="AC88" t="s">
        <v>96</v>
      </c>
      <c r="AD88">
        <v>5701</v>
      </c>
    </row>
    <row r="89" spans="2:30" x14ac:dyDescent="0.3">
      <c r="B89" s="22" t="str">
        <f t="shared" si="22"/>
        <v/>
      </c>
      <c r="C89" t="str">
        <f t="shared" si="23"/>
        <v/>
      </c>
      <c r="F89" s="22" t="str">
        <f t="shared" si="20"/>
        <v/>
      </c>
      <c r="G89" t="str">
        <f t="shared" si="21"/>
        <v/>
      </c>
      <c r="U89" t="e">
        <f t="shared" si="17"/>
        <v>#N/A</v>
      </c>
      <c r="X89" t="e">
        <f t="shared" si="18"/>
        <v>#N/A</v>
      </c>
      <c r="Y89" t="e">
        <f t="shared" si="19"/>
        <v>#N/A</v>
      </c>
      <c r="AC89" t="s">
        <v>97</v>
      </c>
      <c r="AD89">
        <v>5702</v>
      </c>
    </row>
    <row r="90" spans="2:30" x14ac:dyDescent="0.3">
      <c r="B90" s="22" t="str">
        <f t="shared" si="22"/>
        <v/>
      </c>
      <c r="C90" t="str">
        <f t="shared" si="23"/>
        <v/>
      </c>
      <c r="F90" s="22" t="str">
        <f t="shared" si="20"/>
        <v/>
      </c>
      <c r="G90" t="str">
        <f t="shared" si="21"/>
        <v/>
      </c>
      <c r="U90" t="e">
        <f t="shared" si="17"/>
        <v>#N/A</v>
      </c>
      <c r="X90" t="e">
        <f t="shared" si="18"/>
        <v>#N/A</v>
      </c>
      <c r="Y90" t="e">
        <f t="shared" si="19"/>
        <v>#N/A</v>
      </c>
      <c r="AC90" t="s">
        <v>98</v>
      </c>
      <c r="AD90">
        <v>5703</v>
      </c>
    </row>
    <row r="91" spans="2:30" x14ac:dyDescent="0.3">
      <c r="B91" s="22" t="str">
        <f t="shared" si="22"/>
        <v/>
      </c>
      <c r="C91" t="str">
        <f t="shared" si="23"/>
        <v/>
      </c>
      <c r="F91" s="22" t="str">
        <f t="shared" si="20"/>
        <v/>
      </c>
      <c r="G91" t="str">
        <f t="shared" si="21"/>
        <v/>
      </c>
      <c r="U91" t="e">
        <f t="shared" si="17"/>
        <v>#N/A</v>
      </c>
      <c r="X91" t="e">
        <f t="shared" si="18"/>
        <v>#N/A</v>
      </c>
      <c r="Y91" t="e">
        <f t="shared" si="19"/>
        <v>#N/A</v>
      </c>
      <c r="AC91" t="s">
        <v>99</v>
      </c>
      <c r="AD91">
        <v>5704</v>
      </c>
    </row>
    <row r="92" spans="2:30" x14ac:dyDescent="0.3">
      <c r="B92" s="22" t="str">
        <f t="shared" si="22"/>
        <v/>
      </c>
      <c r="C92" t="str">
        <f t="shared" si="23"/>
        <v/>
      </c>
      <c r="F92" s="22" t="str">
        <f t="shared" si="20"/>
        <v/>
      </c>
      <c r="G92" t="str">
        <f t="shared" si="21"/>
        <v/>
      </c>
      <c r="U92" t="e">
        <f t="shared" si="17"/>
        <v>#N/A</v>
      </c>
      <c r="X92" t="e">
        <f t="shared" si="18"/>
        <v>#N/A</v>
      </c>
      <c r="Y92" t="e">
        <f t="shared" si="19"/>
        <v>#N/A</v>
      </c>
      <c r="AC92" t="s">
        <v>100</v>
      </c>
      <c r="AD92">
        <v>5705</v>
      </c>
    </row>
    <row r="93" spans="2:30" x14ac:dyDescent="0.3">
      <c r="B93" s="22" t="str">
        <f t="shared" si="22"/>
        <v/>
      </c>
      <c r="C93" t="str">
        <f t="shared" si="23"/>
        <v/>
      </c>
      <c r="F93" s="22" t="str">
        <f t="shared" si="20"/>
        <v/>
      </c>
      <c r="G93" t="str">
        <f t="shared" si="21"/>
        <v/>
      </c>
      <c r="U93" t="e">
        <f t="shared" si="17"/>
        <v>#N/A</v>
      </c>
      <c r="X93" t="e">
        <f t="shared" si="18"/>
        <v>#N/A</v>
      </c>
      <c r="Y93" t="e">
        <f t="shared" si="19"/>
        <v>#N/A</v>
      </c>
      <c r="AC93" t="s">
        <v>101</v>
      </c>
      <c r="AD93">
        <v>5706</v>
      </c>
    </row>
    <row r="94" spans="2:30" x14ac:dyDescent="0.3">
      <c r="B94" s="22" t="str">
        <f t="shared" si="22"/>
        <v/>
      </c>
      <c r="C94" t="str">
        <f t="shared" si="23"/>
        <v/>
      </c>
      <c r="F94" s="22" t="str">
        <f t="shared" si="20"/>
        <v/>
      </c>
      <c r="G94" t="str">
        <f t="shared" si="21"/>
        <v/>
      </c>
      <c r="U94" t="e">
        <f t="shared" si="17"/>
        <v>#N/A</v>
      </c>
      <c r="X94" t="e">
        <f t="shared" si="18"/>
        <v>#N/A</v>
      </c>
      <c r="Y94" t="e">
        <f t="shared" si="19"/>
        <v>#N/A</v>
      </c>
      <c r="AC94" t="s">
        <v>102</v>
      </c>
      <c r="AD94">
        <v>5801</v>
      </c>
    </row>
    <row r="95" spans="2:30" x14ac:dyDescent="0.3">
      <c r="B95" s="22" t="str">
        <f t="shared" si="22"/>
        <v/>
      </c>
      <c r="C95" t="str">
        <f t="shared" si="23"/>
        <v/>
      </c>
      <c r="F95" s="22" t="str">
        <f t="shared" si="20"/>
        <v/>
      </c>
      <c r="G95" t="str">
        <f t="shared" si="21"/>
        <v/>
      </c>
      <c r="U95" t="e">
        <f t="shared" si="17"/>
        <v>#N/A</v>
      </c>
      <c r="X95" t="e">
        <f t="shared" si="18"/>
        <v>#N/A</v>
      </c>
      <c r="Y95" t="e">
        <f t="shared" si="19"/>
        <v>#N/A</v>
      </c>
      <c r="AC95" t="s">
        <v>103</v>
      </c>
      <c r="AD95">
        <v>5802</v>
      </c>
    </row>
    <row r="96" spans="2:30" x14ac:dyDescent="0.3">
      <c r="B96" s="22" t="str">
        <f t="shared" si="22"/>
        <v/>
      </c>
      <c r="C96" t="str">
        <f t="shared" si="23"/>
        <v/>
      </c>
      <c r="F96" s="22" t="str">
        <f t="shared" si="20"/>
        <v/>
      </c>
      <c r="G96" t="str">
        <f t="shared" si="21"/>
        <v/>
      </c>
      <c r="U96" t="e">
        <f t="shared" si="17"/>
        <v>#N/A</v>
      </c>
      <c r="X96" t="e">
        <f t="shared" si="18"/>
        <v>#N/A</v>
      </c>
      <c r="Y96" t="e">
        <f t="shared" si="19"/>
        <v>#N/A</v>
      </c>
      <c r="AC96" t="s">
        <v>104</v>
      </c>
      <c r="AD96">
        <v>5803</v>
      </c>
    </row>
    <row r="97" spans="2:30" x14ac:dyDescent="0.3">
      <c r="B97" s="22" t="str">
        <f t="shared" si="22"/>
        <v/>
      </c>
      <c r="C97" t="str">
        <f t="shared" si="23"/>
        <v/>
      </c>
      <c r="F97" s="22" t="str">
        <f t="shared" si="20"/>
        <v/>
      </c>
      <c r="G97" t="str">
        <f t="shared" si="21"/>
        <v/>
      </c>
      <c r="U97" t="e">
        <f t="shared" si="17"/>
        <v>#N/A</v>
      </c>
      <c r="X97" t="e">
        <f t="shared" si="18"/>
        <v>#N/A</v>
      </c>
      <c r="Y97" t="e">
        <f t="shared" si="19"/>
        <v>#N/A</v>
      </c>
      <c r="AC97" t="s">
        <v>105</v>
      </c>
      <c r="AD97">
        <v>5804</v>
      </c>
    </row>
    <row r="98" spans="2:30" x14ac:dyDescent="0.3">
      <c r="B98" s="22" t="str">
        <f t="shared" si="22"/>
        <v/>
      </c>
      <c r="C98" t="str">
        <f t="shared" si="23"/>
        <v/>
      </c>
      <c r="F98" s="22" t="str">
        <f t="shared" si="20"/>
        <v/>
      </c>
      <c r="G98" t="str">
        <f t="shared" si="21"/>
        <v/>
      </c>
      <c r="U98" t="e">
        <f t="shared" si="17"/>
        <v>#N/A</v>
      </c>
      <c r="X98" t="e">
        <f t="shared" si="18"/>
        <v>#N/A</v>
      </c>
      <c r="Y98" t="e">
        <f t="shared" si="19"/>
        <v>#N/A</v>
      </c>
      <c r="AC98" t="s">
        <v>106</v>
      </c>
      <c r="AD98">
        <v>6101</v>
      </c>
    </row>
    <row r="99" spans="2:30" x14ac:dyDescent="0.3">
      <c r="B99" s="22" t="str">
        <f t="shared" si="22"/>
        <v/>
      </c>
      <c r="C99" t="str">
        <f t="shared" si="23"/>
        <v/>
      </c>
      <c r="F99" s="22" t="str">
        <f t="shared" si="20"/>
        <v/>
      </c>
      <c r="G99" t="str">
        <f t="shared" si="21"/>
        <v/>
      </c>
      <c r="U99" t="e">
        <f t="shared" si="17"/>
        <v>#N/A</v>
      </c>
      <c r="X99" t="e">
        <f t="shared" si="18"/>
        <v>#N/A</v>
      </c>
      <c r="Y99" t="e">
        <f t="shared" si="19"/>
        <v>#N/A</v>
      </c>
      <c r="AC99" t="s">
        <v>107</v>
      </c>
      <c r="AD99">
        <v>6102</v>
      </c>
    </row>
    <row r="100" spans="2:30" x14ac:dyDescent="0.3">
      <c r="B100" s="22" t="str">
        <f t="shared" si="22"/>
        <v/>
      </c>
      <c r="C100" t="str">
        <f t="shared" si="23"/>
        <v/>
      </c>
      <c r="F100" s="22" t="str">
        <f t="shared" si="20"/>
        <v/>
      </c>
      <c r="G100" t="str">
        <f t="shared" si="21"/>
        <v/>
      </c>
      <c r="U100" t="e">
        <f t="shared" si="17"/>
        <v>#N/A</v>
      </c>
      <c r="X100" t="e">
        <f t="shared" si="18"/>
        <v>#N/A</v>
      </c>
      <c r="Y100" t="e">
        <f t="shared" si="19"/>
        <v>#N/A</v>
      </c>
      <c r="AC100" t="s">
        <v>108</v>
      </c>
      <c r="AD100">
        <v>6103</v>
      </c>
    </row>
    <row r="101" spans="2:30" x14ac:dyDescent="0.3">
      <c r="U101" t="e">
        <f t="shared" si="17"/>
        <v>#N/A</v>
      </c>
      <c r="X101" t="e">
        <f t="shared" si="18"/>
        <v>#N/A</v>
      </c>
      <c r="Y101" t="e">
        <f t="shared" si="19"/>
        <v>#N/A</v>
      </c>
      <c r="AC101" t="s">
        <v>109</v>
      </c>
      <c r="AD101">
        <v>6104</v>
      </c>
    </row>
    <row r="102" spans="2:30" x14ac:dyDescent="0.3">
      <c r="U102" t="e">
        <f t="shared" si="17"/>
        <v>#N/A</v>
      </c>
      <c r="X102" t="e">
        <f t="shared" si="18"/>
        <v>#N/A</v>
      </c>
      <c r="Y102" t="e">
        <f t="shared" si="19"/>
        <v>#N/A</v>
      </c>
      <c r="AC102" t="s">
        <v>110</v>
      </c>
      <c r="AD102">
        <v>6105</v>
      </c>
    </row>
    <row r="103" spans="2:30" x14ac:dyDescent="0.3">
      <c r="U103" t="e">
        <f t="shared" si="17"/>
        <v>#N/A</v>
      </c>
      <c r="X103" t="e">
        <f t="shared" si="18"/>
        <v>#N/A</v>
      </c>
      <c r="Y103" t="e">
        <f t="shared" si="19"/>
        <v>#N/A</v>
      </c>
      <c r="AC103" t="s">
        <v>111</v>
      </c>
      <c r="AD103">
        <v>6106</v>
      </c>
    </row>
    <row r="104" spans="2:30" x14ac:dyDescent="0.3">
      <c r="U104" t="e">
        <f t="shared" si="17"/>
        <v>#N/A</v>
      </c>
      <c r="X104" t="e">
        <f t="shared" si="18"/>
        <v>#N/A</v>
      </c>
      <c r="Y104" t="e">
        <f t="shared" si="19"/>
        <v>#N/A</v>
      </c>
      <c r="AC104" t="s">
        <v>112</v>
      </c>
      <c r="AD104">
        <v>6107</v>
      </c>
    </row>
    <row r="105" spans="2:30" x14ac:dyDescent="0.3">
      <c r="U105" t="e">
        <f t="shared" si="17"/>
        <v>#N/A</v>
      </c>
      <c r="X105" t="e">
        <f t="shared" si="18"/>
        <v>#N/A</v>
      </c>
      <c r="Y105" t="e">
        <f t="shared" si="19"/>
        <v>#N/A</v>
      </c>
      <c r="AC105" t="s">
        <v>113</v>
      </c>
      <c r="AD105">
        <v>6108</v>
      </c>
    </row>
    <row r="106" spans="2:30" x14ac:dyDescent="0.3">
      <c r="U106" t="e">
        <f t="shared" si="17"/>
        <v>#N/A</v>
      </c>
      <c r="X106" t="e">
        <f t="shared" si="18"/>
        <v>#N/A</v>
      </c>
      <c r="Y106" t="e">
        <f t="shared" si="19"/>
        <v>#N/A</v>
      </c>
      <c r="AC106" t="s">
        <v>114</v>
      </c>
      <c r="AD106">
        <v>6109</v>
      </c>
    </row>
    <row r="107" spans="2:30" x14ac:dyDescent="0.3">
      <c r="U107" t="e">
        <f t="shared" si="17"/>
        <v>#N/A</v>
      </c>
      <c r="X107" t="e">
        <f t="shared" si="18"/>
        <v>#N/A</v>
      </c>
      <c r="Y107" t="e">
        <f t="shared" si="19"/>
        <v>#N/A</v>
      </c>
      <c r="AC107" t="s">
        <v>115</v>
      </c>
      <c r="AD107">
        <v>6110</v>
      </c>
    </row>
    <row r="108" spans="2:30" x14ac:dyDescent="0.3">
      <c r="U108" t="e">
        <f t="shared" si="17"/>
        <v>#N/A</v>
      </c>
      <c r="X108" t="e">
        <f t="shared" si="18"/>
        <v>#N/A</v>
      </c>
      <c r="Y108" t="e">
        <f t="shared" si="19"/>
        <v>#N/A</v>
      </c>
      <c r="AC108" t="s">
        <v>116</v>
      </c>
      <c r="AD108">
        <v>6111</v>
      </c>
    </row>
    <row r="109" spans="2:30" x14ac:dyDescent="0.3">
      <c r="U109" t="e">
        <f t="shared" si="17"/>
        <v>#N/A</v>
      </c>
      <c r="X109" t="e">
        <f t="shared" si="18"/>
        <v>#N/A</v>
      </c>
      <c r="Y109" t="e">
        <f t="shared" si="19"/>
        <v>#N/A</v>
      </c>
      <c r="AC109" t="s">
        <v>117</v>
      </c>
      <c r="AD109">
        <v>6112</v>
      </c>
    </row>
    <row r="110" spans="2:30" x14ac:dyDescent="0.3">
      <c r="U110" t="e">
        <f t="shared" si="17"/>
        <v>#N/A</v>
      </c>
      <c r="X110" t="e">
        <f t="shared" si="18"/>
        <v>#N/A</v>
      </c>
      <c r="Y110" t="e">
        <f t="shared" si="19"/>
        <v>#N/A</v>
      </c>
      <c r="AC110" t="s">
        <v>118</v>
      </c>
      <c r="AD110">
        <v>6113</v>
      </c>
    </row>
    <row r="111" spans="2:30" x14ac:dyDescent="0.3">
      <c r="U111" t="e">
        <f t="shared" si="17"/>
        <v>#N/A</v>
      </c>
      <c r="X111" t="e">
        <f t="shared" si="18"/>
        <v>#N/A</v>
      </c>
      <c r="Y111" t="e">
        <f t="shared" si="19"/>
        <v>#N/A</v>
      </c>
      <c r="AC111" t="s">
        <v>119</v>
      </c>
      <c r="AD111">
        <v>6114</v>
      </c>
    </row>
    <row r="112" spans="2:30" x14ac:dyDescent="0.3">
      <c r="U112" t="e">
        <f t="shared" si="17"/>
        <v>#N/A</v>
      </c>
      <c r="X112" t="e">
        <f t="shared" si="18"/>
        <v>#N/A</v>
      </c>
      <c r="Y112" t="e">
        <f t="shared" si="19"/>
        <v>#N/A</v>
      </c>
      <c r="AC112" t="s">
        <v>120</v>
      </c>
      <c r="AD112">
        <v>6115</v>
      </c>
    </row>
    <row r="113" spans="21:30" x14ac:dyDescent="0.3">
      <c r="U113" t="e">
        <f t="shared" si="17"/>
        <v>#N/A</v>
      </c>
      <c r="X113" t="e">
        <f t="shared" si="18"/>
        <v>#N/A</v>
      </c>
      <c r="Y113" t="e">
        <f t="shared" si="19"/>
        <v>#N/A</v>
      </c>
      <c r="AC113" t="s">
        <v>121</v>
      </c>
      <c r="AD113">
        <v>6116</v>
      </c>
    </row>
    <row r="114" spans="21:30" x14ac:dyDescent="0.3">
      <c r="U114" t="e">
        <f t="shared" si="17"/>
        <v>#N/A</v>
      </c>
      <c r="X114" t="e">
        <f t="shared" si="18"/>
        <v>#N/A</v>
      </c>
      <c r="Y114" t="e">
        <f t="shared" si="19"/>
        <v>#N/A</v>
      </c>
      <c r="AC114" t="s">
        <v>122</v>
      </c>
      <c r="AD114">
        <v>6117</v>
      </c>
    </row>
    <row r="115" spans="21:30" x14ac:dyDescent="0.3">
      <c r="U115" t="e">
        <f t="shared" si="17"/>
        <v>#N/A</v>
      </c>
      <c r="X115" t="e">
        <f t="shared" si="18"/>
        <v>#N/A</v>
      </c>
      <c r="Y115" t="e">
        <f t="shared" si="19"/>
        <v>#N/A</v>
      </c>
      <c r="AC115" t="s">
        <v>123</v>
      </c>
      <c r="AD115">
        <v>6201</v>
      </c>
    </row>
    <row r="116" spans="21:30" x14ac:dyDescent="0.3">
      <c r="U116" t="e">
        <f t="shared" si="17"/>
        <v>#N/A</v>
      </c>
      <c r="X116" t="e">
        <f t="shared" si="18"/>
        <v>#N/A</v>
      </c>
      <c r="Y116" t="e">
        <f t="shared" si="19"/>
        <v>#N/A</v>
      </c>
      <c r="AC116" t="s">
        <v>124</v>
      </c>
      <c r="AD116">
        <v>6202</v>
      </c>
    </row>
    <row r="117" spans="21:30" x14ac:dyDescent="0.3">
      <c r="U117" t="e">
        <f t="shared" si="17"/>
        <v>#N/A</v>
      </c>
      <c r="X117" t="e">
        <f t="shared" si="18"/>
        <v>#N/A</v>
      </c>
      <c r="Y117" t="e">
        <f t="shared" si="19"/>
        <v>#N/A</v>
      </c>
      <c r="AC117" t="s">
        <v>125</v>
      </c>
      <c r="AD117">
        <v>6203</v>
      </c>
    </row>
    <row r="118" spans="21:30" x14ac:dyDescent="0.3">
      <c r="U118" t="e">
        <f t="shared" si="17"/>
        <v>#N/A</v>
      </c>
      <c r="X118" t="e">
        <f t="shared" si="18"/>
        <v>#N/A</v>
      </c>
      <c r="Y118" t="e">
        <f t="shared" si="19"/>
        <v>#N/A</v>
      </c>
      <c r="AC118" t="s">
        <v>126</v>
      </c>
      <c r="AD118">
        <v>6204</v>
      </c>
    </row>
    <row r="119" spans="21:30" x14ac:dyDescent="0.3">
      <c r="U119" t="e">
        <f t="shared" si="17"/>
        <v>#N/A</v>
      </c>
      <c r="X119" t="e">
        <f t="shared" si="18"/>
        <v>#N/A</v>
      </c>
      <c r="Y119" t="e">
        <f t="shared" si="19"/>
        <v>#N/A</v>
      </c>
      <c r="AC119" t="s">
        <v>127</v>
      </c>
      <c r="AD119">
        <v>6205</v>
      </c>
    </row>
    <row r="120" spans="21:30" x14ac:dyDescent="0.3">
      <c r="U120" t="e">
        <f t="shared" si="17"/>
        <v>#N/A</v>
      </c>
      <c r="X120" t="e">
        <f t="shared" si="18"/>
        <v>#N/A</v>
      </c>
      <c r="Y120" t="e">
        <f t="shared" si="19"/>
        <v>#N/A</v>
      </c>
      <c r="AC120" t="s">
        <v>128</v>
      </c>
      <c r="AD120">
        <v>6206</v>
      </c>
    </row>
    <row r="121" spans="21:30" x14ac:dyDescent="0.3">
      <c r="U121" t="e">
        <f t="shared" si="17"/>
        <v>#N/A</v>
      </c>
      <c r="X121" t="e">
        <f t="shared" si="18"/>
        <v>#N/A</v>
      </c>
      <c r="Y121" t="e">
        <f t="shared" si="19"/>
        <v>#N/A</v>
      </c>
      <c r="AC121" t="s">
        <v>129</v>
      </c>
      <c r="AD121">
        <v>6301</v>
      </c>
    </row>
    <row r="122" spans="21:30" x14ac:dyDescent="0.3">
      <c r="U122" t="e">
        <f t="shared" si="17"/>
        <v>#N/A</v>
      </c>
      <c r="X122" t="e">
        <f t="shared" si="18"/>
        <v>#N/A</v>
      </c>
      <c r="Y122" t="e">
        <f t="shared" si="19"/>
        <v>#N/A</v>
      </c>
      <c r="AC122" t="s">
        <v>130</v>
      </c>
      <c r="AD122">
        <v>6302</v>
      </c>
    </row>
    <row r="123" spans="21:30" x14ac:dyDescent="0.3">
      <c r="U123" t="e">
        <f t="shared" si="17"/>
        <v>#N/A</v>
      </c>
      <c r="X123" t="e">
        <f t="shared" si="18"/>
        <v>#N/A</v>
      </c>
      <c r="Y123" t="e">
        <f t="shared" si="19"/>
        <v>#N/A</v>
      </c>
      <c r="AC123" t="s">
        <v>131</v>
      </c>
      <c r="AD123">
        <v>6303</v>
      </c>
    </row>
    <row r="124" spans="21:30" x14ac:dyDescent="0.3">
      <c r="U124" t="e">
        <f t="shared" si="17"/>
        <v>#N/A</v>
      </c>
      <c r="X124" t="e">
        <f t="shared" si="18"/>
        <v>#N/A</v>
      </c>
      <c r="Y124" t="e">
        <f t="shared" si="19"/>
        <v>#N/A</v>
      </c>
      <c r="AC124" t="s">
        <v>132</v>
      </c>
      <c r="AD124">
        <v>6304</v>
      </c>
    </row>
    <row r="125" spans="21:30" x14ac:dyDescent="0.3">
      <c r="U125" t="e">
        <f t="shared" si="17"/>
        <v>#N/A</v>
      </c>
      <c r="X125" t="e">
        <f t="shared" si="18"/>
        <v>#N/A</v>
      </c>
      <c r="Y125" t="e">
        <f t="shared" si="19"/>
        <v>#N/A</v>
      </c>
      <c r="AC125" t="s">
        <v>133</v>
      </c>
      <c r="AD125">
        <v>6305</v>
      </c>
    </row>
    <row r="126" spans="21:30" x14ac:dyDescent="0.3">
      <c r="U126" t="e">
        <f t="shared" si="17"/>
        <v>#N/A</v>
      </c>
      <c r="X126" t="e">
        <f t="shared" si="18"/>
        <v>#N/A</v>
      </c>
      <c r="Y126" t="e">
        <f t="shared" si="19"/>
        <v>#N/A</v>
      </c>
      <c r="AC126" t="s">
        <v>134</v>
      </c>
      <c r="AD126">
        <v>6306</v>
      </c>
    </row>
    <row r="127" spans="21:30" x14ac:dyDescent="0.3">
      <c r="U127" t="e">
        <f t="shared" si="17"/>
        <v>#N/A</v>
      </c>
      <c r="X127" t="e">
        <f t="shared" si="18"/>
        <v>#N/A</v>
      </c>
      <c r="Y127" t="e">
        <f t="shared" si="19"/>
        <v>#N/A</v>
      </c>
      <c r="AC127" t="s">
        <v>135</v>
      </c>
      <c r="AD127">
        <v>6307</v>
      </c>
    </row>
    <row r="128" spans="21:30" x14ac:dyDescent="0.3">
      <c r="U128" t="e">
        <f t="shared" si="17"/>
        <v>#N/A</v>
      </c>
      <c r="X128" t="e">
        <f t="shared" si="18"/>
        <v>#N/A</v>
      </c>
      <c r="Y128" t="e">
        <f t="shared" si="19"/>
        <v>#N/A</v>
      </c>
      <c r="AC128" t="s">
        <v>136</v>
      </c>
      <c r="AD128">
        <v>6308</v>
      </c>
    </row>
    <row r="129" spans="21:30" x14ac:dyDescent="0.3">
      <c r="U129" t="e">
        <f t="shared" si="17"/>
        <v>#N/A</v>
      </c>
      <c r="X129" t="e">
        <f t="shared" si="18"/>
        <v>#N/A</v>
      </c>
      <c r="Y129" t="e">
        <f t="shared" si="19"/>
        <v>#N/A</v>
      </c>
      <c r="AC129" t="s">
        <v>137</v>
      </c>
      <c r="AD129">
        <v>6309</v>
      </c>
    </row>
    <row r="130" spans="21:30" x14ac:dyDescent="0.3">
      <c r="U130" t="e">
        <f t="shared" si="17"/>
        <v>#N/A</v>
      </c>
      <c r="X130" t="e">
        <f t="shared" si="18"/>
        <v>#N/A</v>
      </c>
      <c r="Y130" t="e">
        <f t="shared" si="19"/>
        <v>#N/A</v>
      </c>
      <c r="AC130" t="s">
        <v>138</v>
      </c>
      <c r="AD130">
        <v>6310</v>
      </c>
    </row>
    <row r="131" spans="21:30" x14ac:dyDescent="0.3">
      <c r="U131" t="e">
        <f t="shared" si="17"/>
        <v>#N/A</v>
      </c>
      <c r="X131" t="e">
        <f t="shared" si="18"/>
        <v>#N/A</v>
      </c>
      <c r="Y131" t="e">
        <f t="shared" si="19"/>
        <v>#N/A</v>
      </c>
      <c r="AC131" t="s">
        <v>139</v>
      </c>
      <c r="AD131">
        <v>7101</v>
      </c>
    </row>
    <row r="132" spans="21:30" x14ac:dyDescent="0.3">
      <c r="U132" t="e">
        <f t="shared" si="17"/>
        <v>#N/A</v>
      </c>
      <c r="X132" t="e">
        <f t="shared" si="18"/>
        <v>#N/A</v>
      </c>
      <c r="Y132" t="e">
        <f t="shared" si="19"/>
        <v>#N/A</v>
      </c>
      <c r="AC132" t="s">
        <v>140</v>
      </c>
      <c r="AD132">
        <v>7102</v>
      </c>
    </row>
    <row r="133" spans="21:30" x14ac:dyDescent="0.3">
      <c r="U133" t="e">
        <f t="shared" ref="U133:U196" si="24">+VLOOKUP(W133,$R$4:$S$6,2,0)*100000+X133</f>
        <v>#N/A</v>
      </c>
      <c r="X133" t="e">
        <f t="shared" ref="X133:X196" si="25">+VLOOKUP(V133,$AC$3:$AD$364,2,0)</f>
        <v>#N/A</v>
      </c>
      <c r="Y133" t="e">
        <f t="shared" ref="Y133:Y196" si="26">+U133</f>
        <v>#N/A</v>
      </c>
      <c r="AC133" t="s">
        <v>141</v>
      </c>
      <c r="AD133">
        <v>7103</v>
      </c>
    </row>
    <row r="134" spans="21:30" x14ac:dyDescent="0.3">
      <c r="U134" t="e">
        <f t="shared" si="24"/>
        <v>#N/A</v>
      </c>
      <c r="X134" t="e">
        <f t="shared" si="25"/>
        <v>#N/A</v>
      </c>
      <c r="Y134" t="e">
        <f t="shared" si="26"/>
        <v>#N/A</v>
      </c>
      <c r="AC134" t="s">
        <v>142</v>
      </c>
      <c r="AD134">
        <v>7104</v>
      </c>
    </row>
    <row r="135" spans="21:30" x14ac:dyDescent="0.3">
      <c r="U135" t="e">
        <f t="shared" si="24"/>
        <v>#N/A</v>
      </c>
      <c r="X135" t="e">
        <f t="shared" si="25"/>
        <v>#N/A</v>
      </c>
      <c r="Y135" t="e">
        <f t="shared" si="26"/>
        <v>#N/A</v>
      </c>
      <c r="AC135" t="s">
        <v>30</v>
      </c>
      <c r="AD135">
        <v>7105</v>
      </c>
    </row>
    <row r="136" spans="21:30" x14ac:dyDescent="0.3">
      <c r="U136" t="e">
        <f t="shared" si="24"/>
        <v>#N/A</v>
      </c>
      <c r="X136" t="e">
        <f t="shared" si="25"/>
        <v>#N/A</v>
      </c>
      <c r="Y136" t="e">
        <f t="shared" si="26"/>
        <v>#N/A</v>
      </c>
      <c r="AC136" t="s">
        <v>143</v>
      </c>
      <c r="AD136">
        <v>7106</v>
      </c>
    </row>
    <row r="137" spans="21:30" x14ac:dyDescent="0.3">
      <c r="U137" t="e">
        <f t="shared" si="24"/>
        <v>#N/A</v>
      </c>
      <c r="X137" t="e">
        <f t="shared" si="25"/>
        <v>#N/A</v>
      </c>
      <c r="Y137" t="e">
        <f t="shared" si="26"/>
        <v>#N/A</v>
      </c>
      <c r="AC137" t="s">
        <v>144</v>
      </c>
      <c r="AD137">
        <v>7107</v>
      </c>
    </row>
    <row r="138" spans="21:30" x14ac:dyDescent="0.3">
      <c r="U138" t="e">
        <f t="shared" si="24"/>
        <v>#N/A</v>
      </c>
      <c r="X138" t="e">
        <f t="shared" si="25"/>
        <v>#N/A</v>
      </c>
      <c r="Y138" t="e">
        <f t="shared" si="26"/>
        <v>#N/A</v>
      </c>
      <c r="AC138" t="s">
        <v>145</v>
      </c>
      <c r="AD138">
        <v>7108</v>
      </c>
    </row>
    <row r="139" spans="21:30" x14ac:dyDescent="0.3">
      <c r="U139" t="e">
        <f t="shared" si="24"/>
        <v>#N/A</v>
      </c>
      <c r="X139" t="e">
        <f t="shared" si="25"/>
        <v>#N/A</v>
      </c>
      <c r="Y139" t="e">
        <f t="shared" si="26"/>
        <v>#N/A</v>
      </c>
      <c r="AC139" t="s">
        <v>146</v>
      </c>
      <c r="AD139">
        <v>7109</v>
      </c>
    </row>
    <row r="140" spans="21:30" x14ac:dyDescent="0.3">
      <c r="U140" t="e">
        <f t="shared" si="24"/>
        <v>#N/A</v>
      </c>
      <c r="X140" t="e">
        <f t="shared" si="25"/>
        <v>#N/A</v>
      </c>
      <c r="Y140" t="e">
        <f t="shared" si="26"/>
        <v>#N/A</v>
      </c>
      <c r="AC140" t="s">
        <v>147</v>
      </c>
      <c r="AD140">
        <v>7110</v>
      </c>
    </row>
    <row r="141" spans="21:30" x14ac:dyDescent="0.3">
      <c r="U141" t="e">
        <f t="shared" si="24"/>
        <v>#N/A</v>
      </c>
      <c r="X141" t="e">
        <f t="shared" si="25"/>
        <v>#N/A</v>
      </c>
      <c r="Y141" t="e">
        <f t="shared" si="26"/>
        <v>#N/A</v>
      </c>
      <c r="AC141" t="s">
        <v>148</v>
      </c>
      <c r="AD141">
        <v>7201</v>
      </c>
    </row>
    <row r="142" spans="21:30" x14ac:dyDescent="0.3">
      <c r="U142" t="e">
        <f t="shared" si="24"/>
        <v>#N/A</v>
      </c>
      <c r="X142" t="e">
        <f t="shared" si="25"/>
        <v>#N/A</v>
      </c>
      <c r="Y142" t="e">
        <f t="shared" si="26"/>
        <v>#N/A</v>
      </c>
      <c r="AC142" t="s">
        <v>149</v>
      </c>
      <c r="AD142">
        <v>7202</v>
      </c>
    </row>
    <row r="143" spans="21:30" x14ac:dyDescent="0.3">
      <c r="U143" t="e">
        <f t="shared" si="24"/>
        <v>#N/A</v>
      </c>
      <c r="X143" t="e">
        <f t="shared" si="25"/>
        <v>#N/A</v>
      </c>
      <c r="Y143" t="e">
        <f t="shared" si="26"/>
        <v>#N/A</v>
      </c>
      <c r="AC143" t="s">
        <v>150</v>
      </c>
      <c r="AD143">
        <v>7203</v>
      </c>
    </row>
    <row r="144" spans="21:30" x14ac:dyDescent="0.3">
      <c r="U144" t="e">
        <f t="shared" si="24"/>
        <v>#N/A</v>
      </c>
      <c r="X144" t="e">
        <f t="shared" si="25"/>
        <v>#N/A</v>
      </c>
      <c r="Y144" t="e">
        <f t="shared" si="26"/>
        <v>#N/A</v>
      </c>
      <c r="AC144" t="s">
        <v>151</v>
      </c>
      <c r="AD144">
        <v>7301</v>
      </c>
    </row>
    <row r="145" spans="21:30" x14ac:dyDescent="0.3">
      <c r="U145" t="e">
        <f t="shared" si="24"/>
        <v>#N/A</v>
      </c>
      <c r="X145" t="e">
        <f t="shared" si="25"/>
        <v>#N/A</v>
      </c>
      <c r="Y145" t="e">
        <f t="shared" si="26"/>
        <v>#N/A</v>
      </c>
      <c r="AC145" t="s">
        <v>152</v>
      </c>
      <c r="AD145">
        <v>7302</v>
      </c>
    </row>
    <row r="146" spans="21:30" x14ac:dyDescent="0.3">
      <c r="U146" t="e">
        <f t="shared" si="24"/>
        <v>#N/A</v>
      </c>
      <c r="X146" t="e">
        <f t="shared" si="25"/>
        <v>#N/A</v>
      </c>
      <c r="Y146" t="e">
        <f t="shared" si="26"/>
        <v>#N/A</v>
      </c>
      <c r="AC146" t="s">
        <v>153</v>
      </c>
      <c r="AD146">
        <v>7303</v>
      </c>
    </row>
    <row r="147" spans="21:30" x14ac:dyDescent="0.3">
      <c r="U147" t="e">
        <f t="shared" si="24"/>
        <v>#N/A</v>
      </c>
      <c r="X147" t="e">
        <f t="shared" si="25"/>
        <v>#N/A</v>
      </c>
      <c r="Y147" t="e">
        <f t="shared" si="26"/>
        <v>#N/A</v>
      </c>
      <c r="AC147" t="s">
        <v>154</v>
      </c>
      <c r="AD147">
        <v>7304</v>
      </c>
    </row>
    <row r="148" spans="21:30" x14ac:dyDescent="0.3">
      <c r="U148" t="e">
        <f t="shared" si="24"/>
        <v>#N/A</v>
      </c>
      <c r="X148" t="e">
        <f t="shared" si="25"/>
        <v>#N/A</v>
      </c>
      <c r="Y148" t="e">
        <f t="shared" si="26"/>
        <v>#N/A</v>
      </c>
      <c r="AC148" t="s">
        <v>155</v>
      </c>
      <c r="AD148">
        <v>7305</v>
      </c>
    </row>
    <row r="149" spans="21:30" x14ac:dyDescent="0.3">
      <c r="U149" t="e">
        <f t="shared" si="24"/>
        <v>#N/A</v>
      </c>
      <c r="X149" t="e">
        <f t="shared" si="25"/>
        <v>#N/A</v>
      </c>
      <c r="Y149" t="e">
        <f t="shared" si="26"/>
        <v>#N/A</v>
      </c>
      <c r="AC149" t="s">
        <v>156</v>
      </c>
      <c r="AD149">
        <v>7306</v>
      </c>
    </row>
    <row r="150" spans="21:30" x14ac:dyDescent="0.3">
      <c r="U150" t="e">
        <f t="shared" si="24"/>
        <v>#N/A</v>
      </c>
      <c r="X150" t="e">
        <f t="shared" si="25"/>
        <v>#N/A</v>
      </c>
      <c r="Y150" t="e">
        <f t="shared" si="26"/>
        <v>#N/A</v>
      </c>
      <c r="AC150" t="s">
        <v>157</v>
      </c>
      <c r="AD150">
        <v>7307</v>
      </c>
    </row>
    <row r="151" spans="21:30" x14ac:dyDescent="0.3">
      <c r="U151" t="e">
        <f t="shared" si="24"/>
        <v>#N/A</v>
      </c>
      <c r="X151" t="e">
        <f t="shared" si="25"/>
        <v>#N/A</v>
      </c>
      <c r="Y151" t="e">
        <f t="shared" si="26"/>
        <v>#N/A</v>
      </c>
      <c r="AC151" t="s">
        <v>158</v>
      </c>
      <c r="AD151">
        <v>7308</v>
      </c>
    </row>
    <row r="152" spans="21:30" x14ac:dyDescent="0.3">
      <c r="U152" t="e">
        <f t="shared" si="24"/>
        <v>#N/A</v>
      </c>
      <c r="X152" t="e">
        <f t="shared" si="25"/>
        <v>#N/A</v>
      </c>
      <c r="Y152" t="e">
        <f t="shared" si="26"/>
        <v>#N/A</v>
      </c>
      <c r="AC152" t="s">
        <v>159</v>
      </c>
      <c r="AD152">
        <v>7309</v>
      </c>
    </row>
    <row r="153" spans="21:30" x14ac:dyDescent="0.3">
      <c r="U153" t="e">
        <f t="shared" si="24"/>
        <v>#N/A</v>
      </c>
      <c r="X153" t="e">
        <f t="shared" si="25"/>
        <v>#N/A</v>
      </c>
      <c r="Y153" t="e">
        <f t="shared" si="26"/>
        <v>#N/A</v>
      </c>
      <c r="AC153" t="s">
        <v>160</v>
      </c>
      <c r="AD153">
        <v>7401</v>
      </c>
    </row>
    <row r="154" spans="21:30" x14ac:dyDescent="0.3">
      <c r="U154" t="e">
        <f t="shared" si="24"/>
        <v>#N/A</v>
      </c>
      <c r="X154" t="e">
        <f t="shared" si="25"/>
        <v>#N/A</v>
      </c>
      <c r="Y154" t="e">
        <f t="shared" si="26"/>
        <v>#N/A</v>
      </c>
      <c r="AC154" t="s">
        <v>161</v>
      </c>
      <c r="AD154">
        <v>7402</v>
      </c>
    </row>
    <row r="155" spans="21:30" x14ac:dyDescent="0.3">
      <c r="U155" t="e">
        <f t="shared" si="24"/>
        <v>#N/A</v>
      </c>
      <c r="X155" t="e">
        <f t="shared" si="25"/>
        <v>#N/A</v>
      </c>
      <c r="Y155" t="e">
        <f t="shared" si="26"/>
        <v>#N/A</v>
      </c>
      <c r="AC155" t="s">
        <v>162</v>
      </c>
      <c r="AD155">
        <v>7403</v>
      </c>
    </row>
    <row r="156" spans="21:30" x14ac:dyDescent="0.3">
      <c r="U156" t="e">
        <f t="shared" si="24"/>
        <v>#N/A</v>
      </c>
      <c r="X156" t="e">
        <f t="shared" si="25"/>
        <v>#N/A</v>
      </c>
      <c r="Y156" t="e">
        <f t="shared" si="26"/>
        <v>#N/A</v>
      </c>
      <c r="AC156" t="s">
        <v>163</v>
      </c>
      <c r="AD156">
        <v>7404</v>
      </c>
    </row>
    <row r="157" spans="21:30" x14ac:dyDescent="0.3">
      <c r="U157" t="e">
        <f t="shared" si="24"/>
        <v>#N/A</v>
      </c>
      <c r="X157" t="e">
        <f t="shared" si="25"/>
        <v>#N/A</v>
      </c>
      <c r="Y157" t="e">
        <f t="shared" si="26"/>
        <v>#N/A</v>
      </c>
      <c r="AC157" t="s">
        <v>164</v>
      </c>
      <c r="AD157">
        <v>7405</v>
      </c>
    </row>
    <row r="158" spans="21:30" x14ac:dyDescent="0.3">
      <c r="U158" t="e">
        <f t="shared" si="24"/>
        <v>#N/A</v>
      </c>
      <c r="X158" t="e">
        <f t="shared" si="25"/>
        <v>#N/A</v>
      </c>
      <c r="Y158" t="e">
        <f t="shared" si="26"/>
        <v>#N/A</v>
      </c>
      <c r="AC158" t="s">
        <v>165</v>
      </c>
      <c r="AD158">
        <v>7406</v>
      </c>
    </row>
    <row r="159" spans="21:30" x14ac:dyDescent="0.3">
      <c r="U159" t="e">
        <f t="shared" si="24"/>
        <v>#N/A</v>
      </c>
      <c r="X159" t="e">
        <f t="shared" si="25"/>
        <v>#N/A</v>
      </c>
      <c r="Y159" t="e">
        <f t="shared" si="26"/>
        <v>#N/A</v>
      </c>
      <c r="AC159" t="s">
        <v>166</v>
      </c>
      <c r="AD159">
        <v>7407</v>
      </c>
    </row>
    <row r="160" spans="21:30" x14ac:dyDescent="0.3">
      <c r="U160" t="e">
        <f t="shared" si="24"/>
        <v>#N/A</v>
      </c>
      <c r="X160" t="e">
        <f t="shared" si="25"/>
        <v>#N/A</v>
      </c>
      <c r="Y160" t="e">
        <f t="shared" si="26"/>
        <v>#N/A</v>
      </c>
      <c r="AC160" t="s">
        <v>167</v>
      </c>
      <c r="AD160">
        <v>7408</v>
      </c>
    </row>
    <row r="161" spans="21:30" x14ac:dyDescent="0.3">
      <c r="U161" t="e">
        <f t="shared" si="24"/>
        <v>#N/A</v>
      </c>
      <c r="X161" t="e">
        <f t="shared" si="25"/>
        <v>#N/A</v>
      </c>
      <c r="Y161" t="e">
        <f t="shared" si="26"/>
        <v>#N/A</v>
      </c>
      <c r="AC161" t="s">
        <v>168</v>
      </c>
      <c r="AD161">
        <v>8101</v>
      </c>
    </row>
    <row r="162" spans="21:30" x14ac:dyDescent="0.3">
      <c r="U162" t="e">
        <f t="shared" si="24"/>
        <v>#N/A</v>
      </c>
      <c r="X162" t="e">
        <f t="shared" si="25"/>
        <v>#N/A</v>
      </c>
      <c r="Y162" t="e">
        <f t="shared" si="26"/>
        <v>#N/A</v>
      </c>
      <c r="AC162" t="s">
        <v>169</v>
      </c>
      <c r="AD162">
        <v>8102</v>
      </c>
    </row>
    <row r="163" spans="21:30" x14ac:dyDescent="0.3">
      <c r="U163" t="e">
        <f t="shared" si="24"/>
        <v>#N/A</v>
      </c>
      <c r="X163" t="e">
        <f t="shared" si="25"/>
        <v>#N/A</v>
      </c>
      <c r="Y163" t="e">
        <f t="shared" si="26"/>
        <v>#N/A</v>
      </c>
      <c r="AC163" t="s">
        <v>170</v>
      </c>
      <c r="AD163">
        <v>8103</v>
      </c>
    </row>
    <row r="164" spans="21:30" x14ac:dyDescent="0.3">
      <c r="U164" t="e">
        <f t="shared" si="24"/>
        <v>#N/A</v>
      </c>
      <c r="X164" t="e">
        <f t="shared" si="25"/>
        <v>#N/A</v>
      </c>
      <c r="Y164" t="e">
        <f t="shared" si="26"/>
        <v>#N/A</v>
      </c>
      <c r="AC164" t="s">
        <v>171</v>
      </c>
      <c r="AD164">
        <v>8104</v>
      </c>
    </row>
    <row r="165" spans="21:30" x14ac:dyDescent="0.3">
      <c r="U165" t="e">
        <f t="shared" si="24"/>
        <v>#N/A</v>
      </c>
      <c r="X165" t="e">
        <f t="shared" si="25"/>
        <v>#N/A</v>
      </c>
      <c r="Y165" t="e">
        <f t="shared" si="26"/>
        <v>#N/A</v>
      </c>
      <c r="AC165" t="s">
        <v>172</v>
      </c>
      <c r="AD165">
        <v>8105</v>
      </c>
    </row>
    <row r="166" spans="21:30" x14ac:dyDescent="0.3">
      <c r="U166" t="e">
        <f t="shared" si="24"/>
        <v>#N/A</v>
      </c>
      <c r="X166" t="e">
        <f t="shared" si="25"/>
        <v>#N/A</v>
      </c>
      <c r="Y166" t="e">
        <f t="shared" si="26"/>
        <v>#N/A</v>
      </c>
      <c r="AC166" t="s">
        <v>173</v>
      </c>
      <c r="AD166">
        <v>8106</v>
      </c>
    </row>
    <row r="167" spans="21:30" x14ac:dyDescent="0.3">
      <c r="U167" t="e">
        <f t="shared" si="24"/>
        <v>#N/A</v>
      </c>
      <c r="X167" t="e">
        <f t="shared" si="25"/>
        <v>#N/A</v>
      </c>
      <c r="Y167" t="e">
        <f t="shared" si="26"/>
        <v>#N/A</v>
      </c>
      <c r="AC167" t="s">
        <v>174</v>
      </c>
      <c r="AD167">
        <v>8107</v>
      </c>
    </row>
    <row r="168" spans="21:30" x14ac:dyDescent="0.3">
      <c r="U168" t="e">
        <f t="shared" si="24"/>
        <v>#N/A</v>
      </c>
      <c r="X168" t="e">
        <f t="shared" si="25"/>
        <v>#N/A</v>
      </c>
      <c r="Y168" t="e">
        <f t="shared" si="26"/>
        <v>#N/A</v>
      </c>
      <c r="AC168" t="s">
        <v>175</v>
      </c>
      <c r="AD168">
        <v>8108</v>
      </c>
    </row>
    <row r="169" spans="21:30" x14ac:dyDescent="0.3">
      <c r="U169" t="e">
        <f t="shared" si="24"/>
        <v>#N/A</v>
      </c>
      <c r="X169" t="e">
        <f t="shared" si="25"/>
        <v>#N/A</v>
      </c>
      <c r="Y169" t="e">
        <f t="shared" si="26"/>
        <v>#N/A</v>
      </c>
      <c r="AC169" t="s">
        <v>176</v>
      </c>
      <c r="AD169">
        <v>8109</v>
      </c>
    </row>
    <row r="170" spans="21:30" x14ac:dyDescent="0.3">
      <c r="U170" t="e">
        <f t="shared" si="24"/>
        <v>#N/A</v>
      </c>
      <c r="X170" t="e">
        <f t="shared" si="25"/>
        <v>#N/A</v>
      </c>
      <c r="Y170" t="e">
        <f t="shared" si="26"/>
        <v>#N/A</v>
      </c>
      <c r="AC170" t="s">
        <v>177</v>
      </c>
      <c r="AD170">
        <v>8110</v>
      </c>
    </row>
    <row r="171" spans="21:30" x14ac:dyDescent="0.3">
      <c r="U171" t="e">
        <f t="shared" si="24"/>
        <v>#N/A</v>
      </c>
      <c r="X171" t="e">
        <f t="shared" si="25"/>
        <v>#N/A</v>
      </c>
      <c r="Y171" t="e">
        <f t="shared" si="26"/>
        <v>#N/A</v>
      </c>
      <c r="AC171" t="s">
        <v>178</v>
      </c>
      <c r="AD171">
        <v>8111</v>
      </c>
    </row>
    <row r="172" spans="21:30" x14ac:dyDescent="0.3">
      <c r="U172" t="e">
        <f t="shared" si="24"/>
        <v>#N/A</v>
      </c>
      <c r="X172" t="e">
        <f t="shared" si="25"/>
        <v>#N/A</v>
      </c>
      <c r="Y172" t="e">
        <f t="shared" si="26"/>
        <v>#N/A</v>
      </c>
      <c r="AC172" t="s">
        <v>179</v>
      </c>
      <c r="AD172">
        <v>8112</v>
      </c>
    </row>
    <row r="173" spans="21:30" x14ac:dyDescent="0.3">
      <c r="U173" t="e">
        <f t="shared" si="24"/>
        <v>#N/A</v>
      </c>
      <c r="X173" t="e">
        <f t="shared" si="25"/>
        <v>#N/A</v>
      </c>
      <c r="Y173" t="e">
        <f t="shared" si="26"/>
        <v>#N/A</v>
      </c>
      <c r="AC173" t="s">
        <v>180</v>
      </c>
      <c r="AD173">
        <v>8201</v>
      </c>
    </row>
    <row r="174" spans="21:30" x14ac:dyDescent="0.3">
      <c r="U174" t="e">
        <f t="shared" si="24"/>
        <v>#N/A</v>
      </c>
      <c r="X174" t="e">
        <f t="shared" si="25"/>
        <v>#N/A</v>
      </c>
      <c r="Y174" t="e">
        <f t="shared" si="26"/>
        <v>#N/A</v>
      </c>
      <c r="AC174" t="s">
        <v>181</v>
      </c>
      <c r="AD174">
        <v>8202</v>
      </c>
    </row>
    <row r="175" spans="21:30" x14ac:dyDescent="0.3">
      <c r="U175" t="e">
        <f t="shared" si="24"/>
        <v>#N/A</v>
      </c>
      <c r="X175" t="e">
        <f t="shared" si="25"/>
        <v>#N/A</v>
      </c>
      <c r="Y175" t="e">
        <f t="shared" si="26"/>
        <v>#N/A</v>
      </c>
      <c r="AC175" t="s">
        <v>182</v>
      </c>
      <c r="AD175">
        <v>8203</v>
      </c>
    </row>
    <row r="176" spans="21:30" x14ac:dyDescent="0.3">
      <c r="U176" t="e">
        <f t="shared" si="24"/>
        <v>#N/A</v>
      </c>
      <c r="X176" t="e">
        <f t="shared" si="25"/>
        <v>#N/A</v>
      </c>
      <c r="Y176" t="e">
        <f t="shared" si="26"/>
        <v>#N/A</v>
      </c>
      <c r="AC176" t="s">
        <v>183</v>
      </c>
      <c r="AD176">
        <v>8204</v>
      </c>
    </row>
    <row r="177" spans="21:30" x14ac:dyDescent="0.3">
      <c r="U177" t="e">
        <f t="shared" si="24"/>
        <v>#N/A</v>
      </c>
      <c r="X177" t="e">
        <f t="shared" si="25"/>
        <v>#N/A</v>
      </c>
      <c r="Y177" t="e">
        <f t="shared" si="26"/>
        <v>#N/A</v>
      </c>
      <c r="AC177" t="s">
        <v>184</v>
      </c>
      <c r="AD177">
        <v>8205</v>
      </c>
    </row>
    <row r="178" spans="21:30" x14ac:dyDescent="0.3">
      <c r="U178" t="e">
        <f t="shared" si="24"/>
        <v>#N/A</v>
      </c>
      <c r="X178" t="e">
        <f t="shared" si="25"/>
        <v>#N/A</v>
      </c>
      <c r="Y178" t="e">
        <f t="shared" si="26"/>
        <v>#N/A</v>
      </c>
      <c r="AC178" t="s">
        <v>185</v>
      </c>
      <c r="AD178">
        <v>8206</v>
      </c>
    </row>
    <row r="179" spans="21:30" x14ac:dyDescent="0.3">
      <c r="U179" t="e">
        <f t="shared" si="24"/>
        <v>#N/A</v>
      </c>
      <c r="X179" t="e">
        <f t="shared" si="25"/>
        <v>#N/A</v>
      </c>
      <c r="Y179" t="e">
        <f t="shared" si="26"/>
        <v>#N/A</v>
      </c>
      <c r="AC179" t="s">
        <v>186</v>
      </c>
      <c r="AD179">
        <v>8207</v>
      </c>
    </row>
    <row r="180" spans="21:30" x14ac:dyDescent="0.3">
      <c r="U180" t="e">
        <f t="shared" si="24"/>
        <v>#N/A</v>
      </c>
      <c r="X180" t="e">
        <f t="shared" si="25"/>
        <v>#N/A</v>
      </c>
      <c r="Y180" t="e">
        <f t="shared" si="26"/>
        <v>#N/A</v>
      </c>
      <c r="AC180" t="s">
        <v>187</v>
      </c>
      <c r="AD180">
        <v>8301</v>
      </c>
    </row>
    <row r="181" spans="21:30" x14ac:dyDescent="0.3">
      <c r="U181" t="e">
        <f t="shared" si="24"/>
        <v>#N/A</v>
      </c>
      <c r="X181" t="e">
        <f t="shared" si="25"/>
        <v>#N/A</v>
      </c>
      <c r="Y181" t="e">
        <f t="shared" si="26"/>
        <v>#N/A</v>
      </c>
      <c r="AC181" t="s">
        <v>188</v>
      </c>
      <c r="AD181">
        <v>8302</v>
      </c>
    </row>
    <row r="182" spans="21:30" x14ac:dyDescent="0.3">
      <c r="U182" t="e">
        <f t="shared" si="24"/>
        <v>#N/A</v>
      </c>
      <c r="X182" t="e">
        <f t="shared" si="25"/>
        <v>#N/A</v>
      </c>
      <c r="Y182" t="e">
        <f t="shared" si="26"/>
        <v>#N/A</v>
      </c>
      <c r="AC182" t="s">
        <v>189</v>
      </c>
      <c r="AD182">
        <v>8303</v>
      </c>
    </row>
    <row r="183" spans="21:30" x14ac:dyDescent="0.3">
      <c r="U183" t="e">
        <f t="shared" si="24"/>
        <v>#N/A</v>
      </c>
      <c r="X183" t="e">
        <f t="shared" si="25"/>
        <v>#N/A</v>
      </c>
      <c r="Y183" t="e">
        <f t="shared" si="26"/>
        <v>#N/A</v>
      </c>
      <c r="AC183" t="s">
        <v>190</v>
      </c>
      <c r="AD183">
        <v>8304</v>
      </c>
    </row>
    <row r="184" spans="21:30" x14ac:dyDescent="0.3">
      <c r="U184" t="e">
        <f t="shared" si="24"/>
        <v>#N/A</v>
      </c>
      <c r="X184" t="e">
        <f t="shared" si="25"/>
        <v>#N/A</v>
      </c>
      <c r="Y184" t="e">
        <f t="shared" si="26"/>
        <v>#N/A</v>
      </c>
      <c r="AC184" t="s">
        <v>191</v>
      </c>
      <c r="AD184">
        <v>8305</v>
      </c>
    </row>
    <row r="185" spans="21:30" x14ac:dyDescent="0.3">
      <c r="U185" t="e">
        <f t="shared" si="24"/>
        <v>#N/A</v>
      </c>
      <c r="X185" t="e">
        <f t="shared" si="25"/>
        <v>#N/A</v>
      </c>
      <c r="Y185" t="e">
        <f t="shared" si="26"/>
        <v>#N/A</v>
      </c>
      <c r="AC185" t="s">
        <v>192</v>
      </c>
      <c r="AD185">
        <v>8306</v>
      </c>
    </row>
    <row r="186" spans="21:30" x14ac:dyDescent="0.3">
      <c r="U186" t="e">
        <f t="shared" si="24"/>
        <v>#N/A</v>
      </c>
      <c r="X186" t="e">
        <f t="shared" si="25"/>
        <v>#N/A</v>
      </c>
      <c r="Y186" t="e">
        <f t="shared" si="26"/>
        <v>#N/A</v>
      </c>
      <c r="AC186" t="s">
        <v>193</v>
      </c>
      <c r="AD186">
        <v>8307</v>
      </c>
    </row>
    <row r="187" spans="21:30" x14ac:dyDescent="0.3">
      <c r="U187" t="e">
        <f t="shared" si="24"/>
        <v>#N/A</v>
      </c>
      <c r="X187" t="e">
        <f t="shared" si="25"/>
        <v>#N/A</v>
      </c>
      <c r="Y187" t="e">
        <f t="shared" si="26"/>
        <v>#N/A</v>
      </c>
      <c r="AC187" t="s">
        <v>194</v>
      </c>
      <c r="AD187">
        <v>8308</v>
      </c>
    </row>
    <row r="188" spans="21:30" x14ac:dyDescent="0.3">
      <c r="U188" t="e">
        <f t="shared" si="24"/>
        <v>#N/A</v>
      </c>
      <c r="X188" t="e">
        <f t="shared" si="25"/>
        <v>#N/A</v>
      </c>
      <c r="Y188" t="e">
        <f t="shared" si="26"/>
        <v>#N/A</v>
      </c>
      <c r="AC188" t="s">
        <v>195</v>
      </c>
      <c r="AD188">
        <v>8309</v>
      </c>
    </row>
    <row r="189" spans="21:30" x14ac:dyDescent="0.3">
      <c r="U189" t="e">
        <f t="shared" si="24"/>
        <v>#N/A</v>
      </c>
      <c r="X189" t="e">
        <f t="shared" si="25"/>
        <v>#N/A</v>
      </c>
      <c r="Y189" t="e">
        <f t="shared" si="26"/>
        <v>#N/A</v>
      </c>
      <c r="AC189" t="s">
        <v>196</v>
      </c>
      <c r="AD189">
        <v>8310</v>
      </c>
    </row>
    <row r="190" spans="21:30" x14ac:dyDescent="0.3">
      <c r="U190" t="e">
        <f t="shared" si="24"/>
        <v>#N/A</v>
      </c>
      <c r="X190" t="e">
        <f t="shared" si="25"/>
        <v>#N/A</v>
      </c>
      <c r="Y190" t="e">
        <f t="shared" si="26"/>
        <v>#N/A</v>
      </c>
      <c r="AC190" t="s">
        <v>197</v>
      </c>
      <c r="AD190">
        <v>8311</v>
      </c>
    </row>
    <row r="191" spans="21:30" x14ac:dyDescent="0.3">
      <c r="U191" t="e">
        <f t="shared" si="24"/>
        <v>#N/A</v>
      </c>
      <c r="X191" t="e">
        <f t="shared" si="25"/>
        <v>#N/A</v>
      </c>
      <c r="Y191" t="e">
        <f t="shared" si="26"/>
        <v>#N/A</v>
      </c>
      <c r="AC191" t="s">
        <v>198</v>
      </c>
      <c r="AD191">
        <v>8312</v>
      </c>
    </row>
    <row r="192" spans="21:30" x14ac:dyDescent="0.3">
      <c r="U192" t="e">
        <f t="shared" si="24"/>
        <v>#N/A</v>
      </c>
      <c r="X192" t="e">
        <f t="shared" si="25"/>
        <v>#N/A</v>
      </c>
      <c r="Y192" t="e">
        <f t="shared" si="26"/>
        <v>#N/A</v>
      </c>
      <c r="AC192" t="s">
        <v>199</v>
      </c>
      <c r="AD192">
        <v>8313</v>
      </c>
    </row>
    <row r="193" spans="21:30" x14ac:dyDescent="0.3">
      <c r="U193" t="e">
        <f t="shared" si="24"/>
        <v>#N/A</v>
      </c>
      <c r="X193" t="e">
        <f t="shared" si="25"/>
        <v>#N/A</v>
      </c>
      <c r="Y193" t="e">
        <f t="shared" si="26"/>
        <v>#N/A</v>
      </c>
      <c r="AC193" t="s">
        <v>200</v>
      </c>
      <c r="AD193">
        <v>8314</v>
      </c>
    </row>
    <row r="194" spans="21:30" x14ac:dyDescent="0.3">
      <c r="U194" t="e">
        <f t="shared" si="24"/>
        <v>#N/A</v>
      </c>
      <c r="X194" t="e">
        <f t="shared" si="25"/>
        <v>#N/A</v>
      </c>
      <c r="Y194" t="e">
        <f t="shared" si="26"/>
        <v>#N/A</v>
      </c>
      <c r="AC194" t="s">
        <v>201</v>
      </c>
      <c r="AD194">
        <v>16101</v>
      </c>
    </row>
    <row r="195" spans="21:30" x14ac:dyDescent="0.3">
      <c r="U195" t="e">
        <f t="shared" si="24"/>
        <v>#N/A</v>
      </c>
      <c r="X195" t="e">
        <f t="shared" si="25"/>
        <v>#N/A</v>
      </c>
      <c r="Y195" t="e">
        <f t="shared" si="26"/>
        <v>#N/A</v>
      </c>
      <c r="AC195" t="s">
        <v>202</v>
      </c>
      <c r="AD195">
        <v>16102</v>
      </c>
    </row>
    <row r="196" spans="21:30" x14ac:dyDescent="0.3">
      <c r="U196" t="e">
        <f t="shared" si="24"/>
        <v>#N/A</v>
      </c>
      <c r="X196" t="e">
        <f t="shared" si="25"/>
        <v>#N/A</v>
      </c>
      <c r="Y196" t="e">
        <f t="shared" si="26"/>
        <v>#N/A</v>
      </c>
      <c r="AC196" t="s">
        <v>203</v>
      </c>
      <c r="AD196">
        <v>16202</v>
      </c>
    </row>
    <row r="197" spans="21:30" x14ac:dyDescent="0.3">
      <c r="U197" t="e">
        <f t="shared" ref="U197:U260" si="27">+VLOOKUP(W197,$R$4:$S$6,2,0)*100000+X197</f>
        <v>#N/A</v>
      </c>
      <c r="X197" t="e">
        <f t="shared" ref="X197:X260" si="28">+VLOOKUP(V197,$AC$3:$AD$364,2,0)</f>
        <v>#N/A</v>
      </c>
      <c r="Y197" t="e">
        <f t="shared" ref="Y197:Y260" si="29">+U197</f>
        <v>#N/A</v>
      </c>
      <c r="AC197" t="s">
        <v>204</v>
      </c>
      <c r="AD197">
        <v>16203</v>
      </c>
    </row>
    <row r="198" spans="21:30" x14ac:dyDescent="0.3">
      <c r="U198" t="e">
        <f t="shared" si="27"/>
        <v>#N/A</v>
      </c>
      <c r="X198" t="e">
        <f t="shared" si="28"/>
        <v>#N/A</v>
      </c>
      <c r="Y198" t="e">
        <f t="shared" si="29"/>
        <v>#N/A</v>
      </c>
      <c r="AC198" t="s">
        <v>205</v>
      </c>
      <c r="AD198">
        <v>16302</v>
      </c>
    </row>
    <row r="199" spans="21:30" x14ac:dyDescent="0.3">
      <c r="U199" t="e">
        <f t="shared" si="27"/>
        <v>#N/A</v>
      </c>
      <c r="X199" t="e">
        <f t="shared" si="28"/>
        <v>#N/A</v>
      </c>
      <c r="Y199" t="e">
        <f t="shared" si="29"/>
        <v>#N/A</v>
      </c>
      <c r="AC199" t="s">
        <v>206</v>
      </c>
      <c r="AD199">
        <v>16103</v>
      </c>
    </row>
    <row r="200" spans="21:30" x14ac:dyDescent="0.3">
      <c r="U200" t="e">
        <f t="shared" si="27"/>
        <v>#N/A</v>
      </c>
      <c r="X200" t="e">
        <f t="shared" si="28"/>
        <v>#N/A</v>
      </c>
      <c r="Y200" t="e">
        <f t="shared" si="29"/>
        <v>#N/A</v>
      </c>
      <c r="AC200" t="s">
        <v>207</v>
      </c>
      <c r="AD200">
        <v>16104</v>
      </c>
    </row>
    <row r="201" spans="21:30" x14ac:dyDescent="0.3">
      <c r="U201" t="e">
        <f t="shared" si="27"/>
        <v>#N/A</v>
      </c>
      <c r="X201" t="e">
        <f t="shared" si="28"/>
        <v>#N/A</v>
      </c>
      <c r="Y201" t="e">
        <f t="shared" si="29"/>
        <v>#N/A</v>
      </c>
      <c r="AC201" t="s">
        <v>208</v>
      </c>
      <c r="AD201">
        <v>16204</v>
      </c>
    </row>
    <row r="202" spans="21:30" x14ac:dyDescent="0.3">
      <c r="U202" t="e">
        <f t="shared" si="27"/>
        <v>#N/A</v>
      </c>
      <c r="X202" t="e">
        <f t="shared" si="28"/>
        <v>#N/A</v>
      </c>
      <c r="Y202" t="e">
        <f t="shared" si="29"/>
        <v>#N/A</v>
      </c>
      <c r="AC202" t="s">
        <v>209</v>
      </c>
      <c r="AD202">
        <v>16303</v>
      </c>
    </row>
    <row r="203" spans="21:30" x14ac:dyDescent="0.3">
      <c r="U203" t="e">
        <f t="shared" si="27"/>
        <v>#N/A</v>
      </c>
      <c r="X203" t="e">
        <f t="shared" si="28"/>
        <v>#N/A</v>
      </c>
      <c r="Y203" t="e">
        <f t="shared" si="29"/>
        <v>#N/A</v>
      </c>
      <c r="AC203" t="s">
        <v>210</v>
      </c>
      <c r="AD203">
        <v>16105</v>
      </c>
    </row>
    <row r="204" spans="21:30" x14ac:dyDescent="0.3">
      <c r="U204" t="e">
        <f t="shared" si="27"/>
        <v>#N/A</v>
      </c>
      <c r="X204" t="e">
        <f t="shared" si="28"/>
        <v>#N/A</v>
      </c>
      <c r="Y204" t="e">
        <f t="shared" si="29"/>
        <v>#N/A</v>
      </c>
      <c r="AC204" t="s">
        <v>211</v>
      </c>
      <c r="AD204">
        <v>16106</v>
      </c>
    </row>
    <row r="205" spans="21:30" x14ac:dyDescent="0.3">
      <c r="U205" t="e">
        <f t="shared" si="27"/>
        <v>#N/A</v>
      </c>
      <c r="X205" t="e">
        <f t="shared" si="28"/>
        <v>#N/A</v>
      </c>
      <c r="Y205" t="e">
        <f t="shared" si="29"/>
        <v>#N/A</v>
      </c>
      <c r="AC205" t="s">
        <v>212</v>
      </c>
      <c r="AD205">
        <v>16205</v>
      </c>
    </row>
    <row r="206" spans="21:30" x14ac:dyDescent="0.3">
      <c r="U206" t="e">
        <f t="shared" si="27"/>
        <v>#N/A</v>
      </c>
      <c r="X206" t="e">
        <f t="shared" si="28"/>
        <v>#N/A</v>
      </c>
      <c r="Y206" t="e">
        <f t="shared" si="29"/>
        <v>#N/A</v>
      </c>
      <c r="AC206" t="s">
        <v>213</v>
      </c>
      <c r="AD206">
        <v>16107</v>
      </c>
    </row>
    <row r="207" spans="21:30" x14ac:dyDescent="0.3">
      <c r="U207" t="e">
        <f t="shared" si="27"/>
        <v>#N/A</v>
      </c>
      <c r="X207" t="e">
        <f t="shared" si="28"/>
        <v>#N/A</v>
      </c>
      <c r="Y207" t="e">
        <f t="shared" si="29"/>
        <v>#N/A</v>
      </c>
      <c r="AC207" t="s">
        <v>214</v>
      </c>
      <c r="AD207">
        <v>16201</v>
      </c>
    </row>
    <row r="208" spans="21:30" x14ac:dyDescent="0.3">
      <c r="U208" t="e">
        <f t="shared" si="27"/>
        <v>#N/A</v>
      </c>
      <c r="X208" t="e">
        <f t="shared" si="28"/>
        <v>#N/A</v>
      </c>
      <c r="Y208" t="e">
        <f t="shared" si="29"/>
        <v>#N/A</v>
      </c>
      <c r="AC208" t="s">
        <v>215</v>
      </c>
      <c r="AD208">
        <v>16206</v>
      </c>
    </row>
    <row r="209" spans="21:30" x14ac:dyDescent="0.3">
      <c r="U209" t="e">
        <f t="shared" si="27"/>
        <v>#N/A</v>
      </c>
      <c r="X209" t="e">
        <f t="shared" si="28"/>
        <v>#N/A</v>
      </c>
      <c r="Y209" t="e">
        <f t="shared" si="29"/>
        <v>#N/A</v>
      </c>
      <c r="AC209" t="s">
        <v>216</v>
      </c>
      <c r="AD209">
        <v>16301</v>
      </c>
    </row>
    <row r="210" spans="21:30" x14ac:dyDescent="0.3">
      <c r="U210" t="e">
        <f t="shared" si="27"/>
        <v>#N/A</v>
      </c>
      <c r="X210" t="e">
        <f t="shared" si="28"/>
        <v>#N/A</v>
      </c>
      <c r="Y210" t="e">
        <f t="shared" si="29"/>
        <v>#N/A</v>
      </c>
      <c r="AC210" t="s">
        <v>217</v>
      </c>
      <c r="AD210">
        <v>16304</v>
      </c>
    </row>
    <row r="211" spans="21:30" x14ac:dyDescent="0.3">
      <c r="U211" t="e">
        <f t="shared" si="27"/>
        <v>#N/A</v>
      </c>
      <c r="X211" t="e">
        <f t="shared" si="28"/>
        <v>#N/A</v>
      </c>
      <c r="Y211" t="e">
        <f t="shared" si="29"/>
        <v>#N/A</v>
      </c>
      <c r="AC211" t="s">
        <v>218</v>
      </c>
      <c r="AD211">
        <v>16108</v>
      </c>
    </row>
    <row r="212" spans="21:30" x14ac:dyDescent="0.3">
      <c r="U212" t="e">
        <f t="shared" si="27"/>
        <v>#N/A</v>
      </c>
      <c r="X212" t="e">
        <f t="shared" si="28"/>
        <v>#N/A</v>
      </c>
      <c r="Y212" t="e">
        <f t="shared" si="29"/>
        <v>#N/A</v>
      </c>
      <c r="AC212" t="s">
        <v>219</v>
      </c>
      <c r="AD212">
        <v>16305</v>
      </c>
    </row>
    <row r="213" spans="21:30" x14ac:dyDescent="0.3">
      <c r="U213" t="e">
        <f t="shared" si="27"/>
        <v>#N/A</v>
      </c>
      <c r="X213" t="e">
        <f t="shared" si="28"/>
        <v>#N/A</v>
      </c>
      <c r="Y213" t="e">
        <f t="shared" si="29"/>
        <v>#N/A</v>
      </c>
      <c r="AC213" t="s">
        <v>220</v>
      </c>
      <c r="AD213">
        <v>16207</v>
      </c>
    </row>
    <row r="214" spans="21:30" x14ac:dyDescent="0.3">
      <c r="U214" t="e">
        <f t="shared" si="27"/>
        <v>#N/A</v>
      </c>
      <c r="X214" t="e">
        <f t="shared" si="28"/>
        <v>#N/A</v>
      </c>
      <c r="Y214" t="e">
        <f t="shared" si="29"/>
        <v>#N/A</v>
      </c>
      <c r="AC214" t="s">
        <v>221</v>
      </c>
      <c r="AD214">
        <v>16109</v>
      </c>
    </row>
    <row r="215" spans="21:30" x14ac:dyDescent="0.3">
      <c r="U215" t="e">
        <f t="shared" si="27"/>
        <v>#N/A</v>
      </c>
      <c r="X215" t="e">
        <f t="shared" si="28"/>
        <v>#N/A</v>
      </c>
      <c r="Y215" t="e">
        <f t="shared" si="29"/>
        <v>#N/A</v>
      </c>
      <c r="AC215" t="s">
        <v>222</v>
      </c>
      <c r="AD215">
        <v>9101</v>
      </c>
    </row>
    <row r="216" spans="21:30" x14ac:dyDescent="0.3">
      <c r="U216" t="e">
        <f t="shared" si="27"/>
        <v>#N/A</v>
      </c>
      <c r="X216" t="e">
        <f t="shared" si="28"/>
        <v>#N/A</v>
      </c>
      <c r="Y216" t="e">
        <f t="shared" si="29"/>
        <v>#N/A</v>
      </c>
      <c r="AC216" t="s">
        <v>223</v>
      </c>
      <c r="AD216">
        <v>9102</v>
      </c>
    </row>
    <row r="217" spans="21:30" x14ac:dyDescent="0.3">
      <c r="U217" t="e">
        <f t="shared" si="27"/>
        <v>#N/A</v>
      </c>
      <c r="X217" t="e">
        <f t="shared" si="28"/>
        <v>#N/A</v>
      </c>
      <c r="Y217" t="e">
        <f t="shared" si="29"/>
        <v>#N/A</v>
      </c>
      <c r="AC217" t="s">
        <v>224</v>
      </c>
      <c r="AD217">
        <v>9103</v>
      </c>
    </row>
    <row r="218" spans="21:30" x14ac:dyDescent="0.3">
      <c r="U218" t="e">
        <f t="shared" si="27"/>
        <v>#N/A</v>
      </c>
      <c r="X218" t="e">
        <f t="shared" si="28"/>
        <v>#N/A</v>
      </c>
      <c r="Y218" t="e">
        <f t="shared" si="29"/>
        <v>#N/A</v>
      </c>
      <c r="AC218" t="s">
        <v>225</v>
      </c>
      <c r="AD218">
        <v>9104</v>
      </c>
    </row>
    <row r="219" spans="21:30" x14ac:dyDescent="0.3">
      <c r="U219" t="e">
        <f t="shared" si="27"/>
        <v>#N/A</v>
      </c>
      <c r="X219" t="e">
        <f t="shared" si="28"/>
        <v>#N/A</v>
      </c>
      <c r="Y219" t="e">
        <f t="shared" si="29"/>
        <v>#N/A</v>
      </c>
      <c r="AC219" t="s">
        <v>226</v>
      </c>
      <c r="AD219">
        <v>9105</v>
      </c>
    </row>
    <row r="220" spans="21:30" x14ac:dyDescent="0.3">
      <c r="U220" t="e">
        <f t="shared" si="27"/>
        <v>#N/A</v>
      </c>
      <c r="X220" t="e">
        <f t="shared" si="28"/>
        <v>#N/A</v>
      </c>
      <c r="Y220" t="e">
        <f t="shared" si="29"/>
        <v>#N/A</v>
      </c>
      <c r="AC220" t="s">
        <v>227</v>
      </c>
      <c r="AD220">
        <v>9106</v>
      </c>
    </row>
    <row r="221" spans="21:30" x14ac:dyDescent="0.3">
      <c r="U221" t="e">
        <f t="shared" si="27"/>
        <v>#N/A</v>
      </c>
      <c r="X221" t="e">
        <f t="shared" si="28"/>
        <v>#N/A</v>
      </c>
      <c r="Y221" t="e">
        <f t="shared" si="29"/>
        <v>#N/A</v>
      </c>
      <c r="AC221" t="s">
        <v>228</v>
      </c>
      <c r="AD221">
        <v>9107</v>
      </c>
    </row>
    <row r="222" spans="21:30" x14ac:dyDescent="0.3">
      <c r="U222" t="e">
        <f t="shared" si="27"/>
        <v>#N/A</v>
      </c>
      <c r="X222" t="e">
        <f t="shared" si="28"/>
        <v>#N/A</v>
      </c>
      <c r="Y222" t="e">
        <f t="shared" si="29"/>
        <v>#N/A</v>
      </c>
      <c r="AC222" t="s">
        <v>229</v>
      </c>
      <c r="AD222">
        <v>9108</v>
      </c>
    </row>
    <row r="223" spans="21:30" x14ac:dyDescent="0.3">
      <c r="U223" t="e">
        <f t="shared" si="27"/>
        <v>#N/A</v>
      </c>
      <c r="X223" t="e">
        <f t="shared" si="28"/>
        <v>#N/A</v>
      </c>
      <c r="Y223" t="e">
        <f t="shared" si="29"/>
        <v>#N/A</v>
      </c>
      <c r="AC223" t="s">
        <v>230</v>
      </c>
      <c r="AD223">
        <v>9109</v>
      </c>
    </row>
    <row r="224" spans="21:30" x14ac:dyDescent="0.3">
      <c r="U224" t="e">
        <f t="shared" si="27"/>
        <v>#N/A</v>
      </c>
      <c r="X224" t="e">
        <f t="shared" si="28"/>
        <v>#N/A</v>
      </c>
      <c r="Y224" t="e">
        <f t="shared" si="29"/>
        <v>#N/A</v>
      </c>
      <c r="AC224" t="s">
        <v>231</v>
      </c>
      <c r="AD224">
        <v>9110</v>
      </c>
    </row>
    <row r="225" spans="21:30" x14ac:dyDescent="0.3">
      <c r="U225" t="e">
        <f t="shared" si="27"/>
        <v>#N/A</v>
      </c>
      <c r="X225" t="e">
        <f t="shared" si="28"/>
        <v>#N/A</v>
      </c>
      <c r="Y225" t="e">
        <f t="shared" si="29"/>
        <v>#N/A</v>
      </c>
      <c r="AC225" t="s">
        <v>232</v>
      </c>
      <c r="AD225">
        <v>9111</v>
      </c>
    </row>
    <row r="226" spans="21:30" x14ac:dyDescent="0.3">
      <c r="U226" t="e">
        <f t="shared" si="27"/>
        <v>#N/A</v>
      </c>
      <c r="X226" t="e">
        <f t="shared" si="28"/>
        <v>#N/A</v>
      </c>
      <c r="Y226" t="e">
        <f t="shared" si="29"/>
        <v>#N/A</v>
      </c>
      <c r="AC226" t="s">
        <v>233</v>
      </c>
      <c r="AD226">
        <v>9112</v>
      </c>
    </row>
    <row r="227" spans="21:30" x14ac:dyDescent="0.3">
      <c r="U227" t="e">
        <f t="shared" si="27"/>
        <v>#N/A</v>
      </c>
      <c r="X227" t="e">
        <f t="shared" si="28"/>
        <v>#N/A</v>
      </c>
      <c r="Y227" t="e">
        <f t="shared" si="29"/>
        <v>#N/A</v>
      </c>
      <c r="AC227" t="s">
        <v>234</v>
      </c>
      <c r="AD227">
        <v>9113</v>
      </c>
    </row>
    <row r="228" spans="21:30" x14ac:dyDescent="0.3">
      <c r="U228" t="e">
        <f t="shared" si="27"/>
        <v>#N/A</v>
      </c>
      <c r="X228" t="e">
        <f t="shared" si="28"/>
        <v>#N/A</v>
      </c>
      <c r="Y228" t="e">
        <f t="shared" si="29"/>
        <v>#N/A</v>
      </c>
      <c r="AC228" t="s">
        <v>235</v>
      </c>
      <c r="AD228">
        <v>9114</v>
      </c>
    </row>
    <row r="229" spans="21:30" x14ac:dyDescent="0.3">
      <c r="U229" t="e">
        <f t="shared" si="27"/>
        <v>#N/A</v>
      </c>
      <c r="X229" t="e">
        <f t="shared" si="28"/>
        <v>#N/A</v>
      </c>
      <c r="Y229" t="e">
        <f t="shared" si="29"/>
        <v>#N/A</v>
      </c>
      <c r="AC229" t="s">
        <v>236</v>
      </c>
      <c r="AD229">
        <v>9115</v>
      </c>
    </row>
    <row r="230" spans="21:30" x14ac:dyDescent="0.3">
      <c r="U230" t="e">
        <f t="shared" si="27"/>
        <v>#N/A</v>
      </c>
      <c r="X230" t="e">
        <f t="shared" si="28"/>
        <v>#N/A</v>
      </c>
      <c r="Y230" t="e">
        <f t="shared" si="29"/>
        <v>#N/A</v>
      </c>
      <c r="AC230" t="s">
        <v>237</v>
      </c>
      <c r="AD230">
        <v>9116</v>
      </c>
    </row>
    <row r="231" spans="21:30" x14ac:dyDescent="0.3">
      <c r="U231" t="e">
        <f t="shared" si="27"/>
        <v>#N/A</v>
      </c>
      <c r="X231" t="e">
        <f t="shared" si="28"/>
        <v>#N/A</v>
      </c>
      <c r="Y231" t="e">
        <f t="shared" si="29"/>
        <v>#N/A</v>
      </c>
      <c r="AC231" t="s">
        <v>238</v>
      </c>
      <c r="AD231">
        <v>9117</v>
      </c>
    </row>
    <row r="232" spans="21:30" x14ac:dyDescent="0.3">
      <c r="U232" t="e">
        <f t="shared" si="27"/>
        <v>#N/A</v>
      </c>
      <c r="X232" t="e">
        <f t="shared" si="28"/>
        <v>#N/A</v>
      </c>
      <c r="Y232" t="e">
        <f t="shared" si="29"/>
        <v>#N/A</v>
      </c>
      <c r="AC232" t="s">
        <v>239</v>
      </c>
      <c r="AD232">
        <v>9118</v>
      </c>
    </row>
    <row r="233" spans="21:30" x14ac:dyDescent="0.3">
      <c r="U233" t="e">
        <f t="shared" si="27"/>
        <v>#N/A</v>
      </c>
      <c r="X233" t="e">
        <f t="shared" si="28"/>
        <v>#N/A</v>
      </c>
      <c r="Y233" t="e">
        <f t="shared" si="29"/>
        <v>#N/A</v>
      </c>
      <c r="AC233" t="s">
        <v>240</v>
      </c>
      <c r="AD233">
        <v>9119</v>
      </c>
    </row>
    <row r="234" spans="21:30" x14ac:dyDescent="0.3">
      <c r="U234" t="e">
        <f t="shared" si="27"/>
        <v>#N/A</v>
      </c>
      <c r="X234" t="e">
        <f t="shared" si="28"/>
        <v>#N/A</v>
      </c>
      <c r="Y234" t="e">
        <f t="shared" si="29"/>
        <v>#N/A</v>
      </c>
      <c r="AC234" t="s">
        <v>241</v>
      </c>
      <c r="AD234">
        <v>9120</v>
      </c>
    </row>
    <row r="235" spans="21:30" x14ac:dyDescent="0.3">
      <c r="U235" t="e">
        <f t="shared" si="27"/>
        <v>#N/A</v>
      </c>
      <c r="X235" t="e">
        <f t="shared" si="28"/>
        <v>#N/A</v>
      </c>
      <c r="Y235" t="e">
        <f t="shared" si="29"/>
        <v>#N/A</v>
      </c>
      <c r="AC235" t="s">
        <v>242</v>
      </c>
      <c r="AD235">
        <v>9121</v>
      </c>
    </row>
    <row r="236" spans="21:30" x14ac:dyDescent="0.3">
      <c r="U236" t="e">
        <f t="shared" si="27"/>
        <v>#N/A</v>
      </c>
      <c r="X236" t="e">
        <f t="shared" si="28"/>
        <v>#N/A</v>
      </c>
      <c r="Y236" t="e">
        <f t="shared" si="29"/>
        <v>#N/A</v>
      </c>
      <c r="AC236" t="s">
        <v>243</v>
      </c>
      <c r="AD236">
        <v>9201</v>
      </c>
    </row>
    <row r="237" spans="21:30" x14ac:dyDescent="0.3">
      <c r="U237" t="e">
        <f t="shared" si="27"/>
        <v>#N/A</v>
      </c>
      <c r="X237" t="e">
        <f t="shared" si="28"/>
        <v>#N/A</v>
      </c>
      <c r="Y237" t="e">
        <f t="shared" si="29"/>
        <v>#N/A</v>
      </c>
      <c r="AC237" t="s">
        <v>244</v>
      </c>
      <c r="AD237">
        <v>9202</v>
      </c>
    </row>
    <row r="238" spans="21:30" x14ac:dyDescent="0.3">
      <c r="U238" t="e">
        <f t="shared" si="27"/>
        <v>#N/A</v>
      </c>
      <c r="X238" t="e">
        <f t="shared" si="28"/>
        <v>#N/A</v>
      </c>
      <c r="Y238" t="e">
        <f t="shared" si="29"/>
        <v>#N/A</v>
      </c>
      <c r="AC238" t="s">
        <v>245</v>
      </c>
      <c r="AD238">
        <v>9203</v>
      </c>
    </row>
    <row r="239" spans="21:30" x14ac:dyDescent="0.3">
      <c r="U239" t="e">
        <f t="shared" si="27"/>
        <v>#N/A</v>
      </c>
      <c r="X239" t="e">
        <f t="shared" si="28"/>
        <v>#N/A</v>
      </c>
      <c r="Y239" t="e">
        <f t="shared" si="29"/>
        <v>#N/A</v>
      </c>
      <c r="AC239" t="s">
        <v>246</v>
      </c>
      <c r="AD239">
        <v>9204</v>
      </c>
    </row>
    <row r="240" spans="21:30" x14ac:dyDescent="0.3">
      <c r="U240" t="e">
        <f t="shared" si="27"/>
        <v>#N/A</v>
      </c>
      <c r="X240" t="e">
        <f t="shared" si="28"/>
        <v>#N/A</v>
      </c>
      <c r="Y240" t="e">
        <f t="shared" si="29"/>
        <v>#N/A</v>
      </c>
      <c r="AC240" t="s">
        <v>247</v>
      </c>
      <c r="AD240">
        <v>9205</v>
      </c>
    </row>
    <row r="241" spans="21:30" x14ac:dyDescent="0.3">
      <c r="U241" t="e">
        <f t="shared" si="27"/>
        <v>#N/A</v>
      </c>
      <c r="X241" t="e">
        <f t="shared" si="28"/>
        <v>#N/A</v>
      </c>
      <c r="Y241" t="e">
        <f t="shared" si="29"/>
        <v>#N/A</v>
      </c>
      <c r="AC241" t="s">
        <v>248</v>
      </c>
      <c r="AD241">
        <v>9206</v>
      </c>
    </row>
    <row r="242" spans="21:30" x14ac:dyDescent="0.3">
      <c r="U242" t="e">
        <f t="shared" si="27"/>
        <v>#N/A</v>
      </c>
      <c r="X242" t="e">
        <f t="shared" si="28"/>
        <v>#N/A</v>
      </c>
      <c r="Y242" t="e">
        <f t="shared" si="29"/>
        <v>#N/A</v>
      </c>
      <c r="AC242" t="s">
        <v>249</v>
      </c>
      <c r="AD242">
        <v>9207</v>
      </c>
    </row>
    <row r="243" spans="21:30" x14ac:dyDescent="0.3">
      <c r="U243" t="e">
        <f t="shared" si="27"/>
        <v>#N/A</v>
      </c>
      <c r="X243" t="e">
        <f t="shared" si="28"/>
        <v>#N/A</v>
      </c>
      <c r="Y243" t="e">
        <f t="shared" si="29"/>
        <v>#N/A</v>
      </c>
      <c r="AC243" t="s">
        <v>250</v>
      </c>
      <c r="AD243">
        <v>9208</v>
      </c>
    </row>
    <row r="244" spans="21:30" x14ac:dyDescent="0.3">
      <c r="U244" t="e">
        <f t="shared" si="27"/>
        <v>#N/A</v>
      </c>
      <c r="X244" t="e">
        <f t="shared" si="28"/>
        <v>#N/A</v>
      </c>
      <c r="Y244" t="e">
        <f t="shared" si="29"/>
        <v>#N/A</v>
      </c>
      <c r="AC244" t="s">
        <v>251</v>
      </c>
      <c r="AD244">
        <v>9209</v>
      </c>
    </row>
    <row r="245" spans="21:30" x14ac:dyDescent="0.3">
      <c r="U245" t="e">
        <f t="shared" si="27"/>
        <v>#N/A</v>
      </c>
      <c r="X245" t="e">
        <f t="shared" si="28"/>
        <v>#N/A</v>
      </c>
      <c r="Y245" t="e">
        <f t="shared" si="29"/>
        <v>#N/A</v>
      </c>
      <c r="AC245" t="s">
        <v>252</v>
      </c>
      <c r="AD245">
        <v>9210</v>
      </c>
    </row>
    <row r="246" spans="21:30" x14ac:dyDescent="0.3">
      <c r="U246" t="e">
        <f t="shared" si="27"/>
        <v>#N/A</v>
      </c>
      <c r="X246" t="e">
        <f t="shared" si="28"/>
        <v>#N/A</v>
      </c>
      <c r="Y246" t="e">
        <f t="shared" si="29"/>
        <v>#N/A</v>
      </c>
      <c r="AC246" t="s">
        <v>253</v>
      </c>
      <c r="AD246">
        <v>9211</v>
      </c>
    </row>
    <row r="247" spans="21:30" x14ac:dyDescent="0.3">
      <c r="U247" t="e">
        <f t="shared" si="27"/>
        <v>#N/A</v>
      </c>
      <c r="X247" t="e">
        <f t="shared" si="28"/>
        <v>#N/A</v>
      </c>
      <c r="Y247" t="e">
        <f t="shared" si="29"/>
        <v>#N/A</v>
      </c>
      <c r="AC247" t="s">
        <v>254</v>
      </c>
      <c r="AD247">
        <v>10101</v>
      </c>
    </row>
    <row r="248" spans="21:30" x14ac:dyDescent="0.3">
      <c r="U248" t="e">
        <f t="shared" si="27"/>
        <v>#N/A</v>
      </c>
      <c r="X248" t="e">
        <f t="shared" si="28"/>
        <v>#N/A</v>
      </c>
      <c r="Y248" t="e">
        <f t="shared" si="29"/>
        <v>#N/A</v>
      </c>
      <c r="AC248" t="s">
        <v>255</v>
      </c>
      <c r="AD248">
        <v>10102</v>
      </c>
    </row>
    <row r="249" spans="21:30" x14ac:dyDescent="0.3">
      <c r="U249" t="e">
        <f t="shared" si="27"/>
        <v>#N/A</v>
      </c>
      <c r="X249" t="e">
        <f t="shared" si="28"/>
        <v>#N/A</v>
      </c>
      <c r="Y249" t="e">
        <f t="shared" si="29"/>
        <v>#N/A</v>
      </c>
      <c r="AC249" t="s">
        <v>256</v>
      </c>
      <c r="AD249">
        <v>10103</v>
      </c>
    </row>
    <row r="250" spans="21:30" x14ac:dyDescent="0.3">
      <c r="U250" t="e">
        <f t="shared" si="27"/>
        <v>#N/A</v>
      </c>
      <c r="X250" t="e">
        <f t="shared" si="28"/>
        <v>#N/A</v>
      </c>
      <c r="Y250" t="e">
        <f t="shared" si="29"/>
        <v>#N/A</v>
      </c>
      <c r="AC250" t="s">
        <v>257</v>
      </c>
      <c r="AD250">
        <v>10104</v>
      </c>
    </row>
    <row r="251" spans="21:30" x14ac:dyDescent="0.3">
      <c r="U251" t="e">
        <f t="shared" si="27"/>
        <v>#N/A</v>
      </c>
      <c r="X251" t="e">
        <f t="shared" si="28"/>
        <v>#N/A</v>
      </c>
      <c r="Y251" t="e">
        <f t="shared" si="29"/>
        <v>#N/A</v>
      </c>
      <c r="AC251" t="s">
        <v>258</v>
      </c>
      <c r="AD251">
        <v>10105</v>
      </c>
    </row>
    <row r="252" spans="21:30" x14ac:dyDescent="0.3">
      <c r="U252" t="e">
        <f t="shared" si="27"/>
        <v>#N/A</v>
      </c>
      <c r="X252" t="e">
        <f t="shared" si="28"/>
        <v>#N/A</v>
      </c>
      <c r="Y252" t="e">
        <f t="shared" si="29"/>
        <v>#N/A</v>
      </c>
      <c r="AC252" t="s">
        <v>259</v>
      </c>
      <c r="AD252">
        <v>10106</v>
      </c>
    </row>
    <row r="253" spans="21:30" x14ac:dyDescent="0.3">
      <c r="U253" t="e">
        <f t="shared" si="27"/>
        <v>#N/A</v>
      </c>
      <c r="X253" t="e">
        <f t="shared" si="28"/>
        <v>#N/A</v>
      </c>
      <c r="Y253" t="e">
        <f t="shared" si="29"/>
        <v>#N/A</v>
      </c>
      <c r="AC253" t="s">
        <v>260</v>
      </c>
      <c r="AD253">
        <v>10107</v>
      </c>
    </row>
    <row r="254" spans="21:30" x14ac:dyDescent="0.3">
      <c r="U254" t="e">
        <f t="shared" si="27"/>
        <v>#N/A</v>
      </c>
      <c r="X254" t="e">
        <f t="shared" si="28"/>
        <v>#N/A</v>
      </c>
      <c r="Y254" t="e">
        <f t="shared" si="29"/>
        <v>#N/A</v>
      </c>
      <c r="AC254" t="s">
        <v>261</v>
      </c>
      <c r="AD254">
        <v>10108</v>
      </c>
    </row>
    <row r="255" spans="21:30" x14ac:dyDescent="0.3">
      <c r="U255" t="e">
        <f t="shared" si="27"/>
        <v>#N/A</v>
      </c>
      <c r="X255" t="e">
        <f t="shared" si="28"/>
        <v>#N/A</v>
      </c>
      <c r="Y255" t="e">
        <f t="shared" si="29"/>
        <v>#N/A</v>
      </c>
      <c r="AC255" t="s">
        <v>262</v>
      </c>
      <c r="AD255">
        <v>10109</v>
      </c>
    </row>
    <row r="256" spans="21:30" x14ac:dyDescent="0.3">
      <c r="U256" t="e">
        <f t="shared" si="27"/>
        <v>#N/A</v>
      </c>
      <c r="X256" t="e">
        <f t="shared" si="28"/>
        <v>#N/A</v>
      </c>
      <c r="Y256" t="e">
        <f t="shared" si="29"/>
        <v>#N/A</v>
      </c>
      <c r="AC256" t="s">
        <v>263</v>
      </c>
      <c r="AD256">
        <v>10201</v>
      </c>
    </row>
    <row r="257" spans="21:30" x14ac:dyDescent="0.3">
      <c r="U257" t="e">
        <f t="shared" si="27"/>
        <v>#N/A</v>
      </c>
      <c r="X257" t="e">
        <f t="shared" si="28"/>
        <v>#N/A</v>
      </c>
      <c r="Y257" t="e">
        <f t="shared" si="29"/>
        <v>#N/A</v>
      </c>
      <c r="AC257" t="s">
        <v>264</v>
      </c>
      <c r="AD257">
        <v>10202</v>
      </c>
    </row>
    <row r="258" spans="21:30" x14ac:dyDescent="0.3">
      <c r="U258" t="e">
        <f t="shared" si="27"/>
        <v>#N/A</v>
      </c>
      <c r="X258" t="e">
        <f t="shared" si="28"/>
        <v>#N/A</v>
      </c>
      <c r="Y258" t="e">
        <f t="shared" si="29"/>
        <v>#N/A</v>
      </c>
      <c r="AC258" t="s">
        <v>265</v>
      </c>
      <c r="AD258">
        <v>10203</v>
      </c>
    </row>
    <row r="259" spans="21:30" x14ac:dyDescent="0.3">
      <c r="U259" t="e">
        <f t="shared" si="27"/>
        <v>#N/A</v>
      </c>
      <c r="X259" t="e">
        <f t="shared" si="28"/>
        <v>#N/A</v>
      </c>
      <c r="Y259" t="e">
        <f t="shared" si="29"/>
        <v>#N/A</v>
      </c>
      <c r="AC259" t="s">
        <v>266</v>
      </c>
      <c r="AD259">
        <v>10204</v>
      </c>
    </row>
    <row r="260" spans="21:30" x14ac:dyDescent="0.3">
      <c r="U260" t="e">
        <f t="shared" si="27"/>
        <v>#N/A</v>
      </c>
      <c r="X260" t="e">
        <f t="shared" si="28"/>
        <v>#N/A</v>
      </c>
      <c r="Y260" t="e">
        <f t="shared" si="29"/>
        <v>#N/A</v>
      </c>
      <c r="AC260" t="s">
        <v>267</v>
      </c>
      <c r="AD260">
        <v>10205</v>
      </c>
    </row>
    <row r="261" spans="21:30" x14ac:dyDescent="0.3">
      <c r="U261" t="e">
        <f t="shared" ref="U261:U324" si="30">+VLOOKUP(W261,$R$4:$S$6,2,0)*100000+X261</f>
        <v>#N/A</v>
      </c>
      <c r="X261" t="e">
        <f t="shared" ref="X261:X324" si="31">+VLOOKUP(V261,$AC$3:$AD$364,2,0)</f>
        <v>#N/A</v>
      </c>
      <c r="Y261" t="e">
        <f t="shared" ref="Y261:Y324" si="32">+U261</f>
        <v>#N/A</v>
      </c>
      <c r="AC261" t="s">
        <v>268</v>
      </c>
      <c r="AD261">
        <v>10206</v>
      </c>
    </row>
    <row r="262" spans="21:30" x14ac:dyDescent="0.3">
      <c r="U262" t="e">
        <f t="shared" si="30"/>
        <v>#N/A</v>
      </c>
      <c r="X262" t="e">
        <f t="shared" si="31"/>
        <v>#N/A</v>
      </c>
      <c r="Y262" t="e">
        <f t="shared" si="32"/>
        <v>#N/A</v>
      </c>
      <c r="AC262" t="s">
        <v>269</v>
      </c>
      <c r="AD262">
        <v>10207</v>
      </c>
    </row>
    <row r="263" spans="21:30" x14ac:dyDescent="0.3">
      <c r="U263" t="e">
        <f t="shared" si="30"/>
        <v>#N/A</v>
      </c>
      <c r="X263" t="e">
        <f t="shared" si="31"/>
        <v>#N/A</v>
      </c>
      <c r="Y263" t="e">
        <f t="shared" si="32"/>
        <v>#N/A</v>
      </c>
      <c r="AC263" t="s">
        <v>270</v>
      </c>
      <c r="AD263">
        <v>10208</v>
      </c>
    </row>
    <row r="264" spans="21:30" x14ac:dyDescent="0.3">
      <c r="U264" t="e">
        <f t="shared" si="30"/>
        <v>#N/A</v>
      </c>
      <c r="X264" t="e">
        <f t="shared" si="31"/>
        <v>#N/A</v>
      </c>
      <c r="Y264" t="e">
        <f t="shared" si="32"/>
        <v>#N/A</v>
      </c>
      <c r="AC264" t="s">
        <v>271</v>
      </c>
      <c r="AD264">
        <v>10209</v>
      </c>
    </row>
    <row r="265" spans="21:30" x14ac:dyDescent="0.3">
      <c r="U265" t="e">
        <f t="shared" si="30"/>
        <v>#N/A</v>
      </c>
      <c r="X265" t="e">
        <f t="shared" si="31"/>
        <v>#N/A</v>
      </c>
      <c r="Y265" t="e">
        <f t="shared" si="32"/>
        <v>#N/A</v>
      </c>
      <c r="AC265" t="s">
        <v>272</v>
      </c>
      <c r="AD265">
        <v>10210</v>
      </c>
    </row>
    <row r="266" spans="21:30" x14ac:dyDescent="0.3">
      <c r="U266" t="e">
        <f t="shared" si="30"/>
        <v>#N/A</v>
      </c>
      <c r="X266" t="e">
        <f t="shared" si="31"/>
        <v>#N/A</v>
      </c>
      <c r="Y266" t="e">
        <f t="shared" si="32"/>
        <v>#N/A</v>
      </c>
      <c r="AC266" t="s">
        <v>273</v>
      </c>
      <c r="AD266">
        <v>10301</v>
      </c>
    </row>
    <row r="267" spans="21:30" x14ac:dyDescent="0.3">
      <c r="U267" t="e">
        <f t="shared" si="30"/>
        <v>#N/A</v>
      </c>
      <c r="X267" t="e">
        <f t="shared" si="31"/>
        <v>#N/A</v>
      </c>
      <c r="Y267" t="e">
        <f t="shared" si="32"/>
        <v>#N/A</v>
      </c>
      <c r="AC267" t="s">
        <v>274</v>
      </c>
      <c r="AD267">
        <v>10302</v>
      </c>
    </row>
    <row r="268" spans="21:30" x14ac:dyDescent="0.3">
      <c r="U268" t="e">
        <f t="shared" si="30"/>
        <v>#N/A</v>
      </c>
      <c r="X268" t="e">
        <f t="shared" si="31"/>
        <v>#N/A</v>
      </c>
      <c r="Y268" t="e">
        <f t="shared" si="32"/>
        <v>#N/A</v>
      </c>
      <c r="AC268" t="s">
        <v>275</v>
      </c>
      <c r="AD268">
        <v>10303</v>
      </c>
    </row>
    <row r="269" spans="21:30" x14ac:dyDescent="0.3">
      <c r="U269" t="e">
        <f t="shared" si="30"/>
        <v>#N/A</v>
      </c>
      <c r="X269" t="e">
        <f t="shared" si="31"/>
        <v>#N/A</v>
      </c>
      <c r="Y269" t="e">
        <f t="shared" si="32"/>
        <v>#N/A</v>
      </c>
      <c r="AC269" t="s">
        <v>276</v>
      </c>
      <c r="AD269">
        <v>10304</v>
      </c>
    </row>
    <row r="270" spans="21:30" x14ac:dyDescent="0.3">
      <c r="U270" t="e">
        <f t="shared" si="30"/>
        <v>#N/A</v>
      </c>
      <c r="X270" t="e">
        <f t="shared" si="31"/>
        <v>#N/A</v>
      </c>
      <c r="Y270" t="e">
        <f t="shared" si="32"/>
        <v>#N/A</v>
      </c>
      <c r="AC270" t="s">
        <v>277</v>
      </c>
      <c r="AD270">
        <v>10305</v>
      </c>
    </row>
    <row r="271" spans="21:30" x14ac:dyDescent="0.3">
      <c r="U271" t="e">
        <f t="shared" si="30"/>
        <v>#N/A</v>
      </c>
      <c r="X271" t="e">
        <f t="shared" si="31"/>
        <v>#N/A</v>
      </c>
      <c r="Y271" t="e">
        <f t="shared" si="32"/>
        <v>#N/A</v>
      </c>
      <c r="AC271" t="s">
        <v>278</v>
      </c>
      <c r="AD271">
        <v>10306</v>
      </c>
    </row>
    <row r="272" spans="21:30" x14ac:dyDescent="0.3">
      <c r="U272" t="e">
        <f t="shared" si="30"/>
        <v>#N/A</v>
      </c>
      <c r="X272" t="e">
        <f t="shared" si="31"/>
        <v>#N/A</v>
      </c>
      <c r="Y272" t="e">
        <f t="shared" si="32"/>
        <v>#N/A</v>
      </c>
      <c r="AC272" t="s">
        <v>279</v>
      </c>
      <c r="AD272">
        <v>10307</v>
      </c>
    </row>
    <row r="273" spans="21:30" x14ac:dyDescent="0.3">
      <c r="U273" t="e">
        <f t="shared" si="30"/>
        <v>#N/A</v>
      </c>
      <c r="X273" t="e">
        <f t="shared" si="31"/>
        <v>#N/A</v>
      </c>
      <c r="Y273" t="e">
        <f t="shared" si="32"/>
        <v>#N/A</v>
      </c>
      <c r="AC273" t="s">
        <v>280</v>
      </c>
      <c r="AD273">
        <v>10401</v>
      </c>
    </row>
    <row r="274" spans="21:30" x14ac:dyDescent="0.3">
      <c r="U274" t="e">
        <f t="shared" si="30"/>
        <v>#N/A</v>
      </c>
      <c r="X274" t="e">
        <f t="shared" si="31"/>
        <v>#N/A</v>
      </c>
      <c r="Y274" t="e">
        <f t="shared" si="32"/>
        <v>#N/A</v>
      </c>
      <c r="AC274" t="s">
        <v>281</v>
      </c>
      <c r="AD274">
        <v>10402</v>
      </c>
    </row>
    <row r="275" spans="21:30" x14ac:dyDescent="0.3">
      <c r="U275" t="e">
        <f t="shared" si="30"/>
        <v>#N/A</v>
      </c>
      <c r="X275" t="e">
        <f t="shared" si="31"/>
        <v>#N/A</v>
      </c>
      <c r="Y275" t="e">
        <f t="shared" si="32"/>
        <v>#N/A</v>
      </c>
      <c r="AC275" t="s">
        <v>282</v>
      </c>
      <c r="AD275">
        <v>10403</v>
      </c>
    </row>
    <row r="276" spans="21:30" x14ac:dyDescent="0.3">
      <c r="U276" t="e">
        <f t="shared" si="30"/>
        <v>#N/A</v>
      </c>
      <c r="X276" t="e">
        <f t="shared" si="31"/>
        <v>#N/A</v>
      </c>
      <c r="Y276" t="e">
        <f t="shared" si="32"/>
        <v>#N/A</v>
      </c>
      <c r="AC276" t="s">
        <v>283</v>
      </c>
      <c r="AD276">
        <v>10404</v>
      </c>
    </row>
    <row r="277" spans="21:30" x14ac:dyDescent="0.3">
      <c r="U277" t="e">
        <f t="shared" si="30"/>
        <v>#N/A</v>
      </c>
      <c r="X277" t="e">
        <f t="shared" si="31"/>
        <v>#N/A</v>
      </c>
      <c r="Y277" t="e">
        <f t="shared" si="32"/>
        <v>#N/A</v>
      </c>
      <c r="AC277" t="s">
        <v>284</v>
      </c>
      <c r="AD277">
        <v>11101</v>
      </c>
    </row>
    <row r="278" spans="21:30" x14ac:dyDescent="0.3">
      <c r="U278" t="e">
        <f t="shared" si="30"/>
        <v>#N/A</v>
      </c>
      <c r="X278" t="e">
        <f t="shared" si="31"/>
        <v>#N/A</v>
      </c>
      <c r="Y278" t="e">
        <f t="shared" si="32"/>
        <v>#N/A</v>
      </c>
      <c r="AC278" t="s">
        <v>285</v>
      </c>
      <c r="AD278">
        <v>11102</v>
      </c>
    </row>
    <row r="279" spans="21:30" x14ac:dyDescent="0.3">
      <c r="U279" t="e">
        <f t="shared" si="30"/>
        <v>#N/A</v>
      </c>
      <c r="X279" t="e">
        <f t="shared" si="31"/>
        <v>#N/A</v>
      </c>
      <c r="Y279" t="e">
        <f t="shared" si="32"/>
        <v>#N/A</v>
      </c>
      <c r="AC279" t="s">
        <v>286</v>
      </c>
      <c r="AD279">
        <v>11201</v>
      </c>
    </row>
    <row r="280" spans="21:30" x14ac:dyDescent="0.3">
      <c r="U280" t="e">
        <f t="shared" si="30"/>
        <v>#N/A</v>
      </c>
      <c r="X280" t="e">
        <f t="shared" si="31"/>
        <v>#N/A</v>
      </c>
      <c r="Y280" t="e">
        <f t="shared" si="32"/>
        <v>#N/A</v>
      </c>
      <c r="AC280" t="s">
        <v>287</v>
      </c>
      <c r="AD280">
        <v>11202</v>
      </c>
    </row>
    <row r="281" spans="21:30" x14ac:dyDescent="0.3">
      <c r="U281" t="e">
        <f t="shared" si="30"/>
        <v>#N/A</v>
      </c>
      <c r="X281" t="e">
        <f t="shared" si="31"/>
        <v>#N/A</v>
      </c>
      <c r="Y281" t="e">
        <f t="shared" si="32"/>
        <v>#N/A</v>
      </c>
      <c r="AC281" t="s">
        <v>288</v>
      </c>
      <c r="AD281">
        <v>11203</v>
      </c>
    </row>
    <row r="282" spans="21:30" x14ac:dyDescent="0.3">
      <c r="U282" t="e">
        <f t="shared" si="30"/>
        <v>#N/A</v>
      </c>
      <c r="X282" t="e">
        <f t="shared" si="31"/>
        <v>#N/A</v>
      </c>
      <c r="Y282" t="e">
        <f t="shared" si="32"/>
        <v>#N/A</v>
      </c>
      <c r="AC282" t="s">
        <v>289</v>
      </c>
      <c r="AD282">
        <v>11301</v>
      </c>
    </row>
    <row r="283" spans="21:30" x14ac:dyDescent="0.3">
      <c r="U283" t="e">
        <f t="shared" si="30"/>
        <v>#N/A</v>
      </c>
      <c r="X283" t="e">
        <f t="shared" si="31"/>
        <v>#N/A</v>
      </c>
      <c r="Y283" t="e">
        <f t="shared" si="32"/>
        <v>#N/A</v>
      </c>
      <c r="AC283" t="s">
        <v>23</v>
      </c>
      <c r="AD283">
        <v>11302</v>
      </c>
    </row>
    <row r="284" spans="21:30" x14ac:dyDescent="0.3">
      <c r="U284" t="e">
        <f t="shared" si="30"/>
        <v>#N/A</v>
      </c>
      <c r="X284" t="e">
        <f t="shared" si="31"/>
        <v>#N/A</v>
      </c>
      <c r="Y284" t="e">
        <f t="shared" si="32"/>
        <v>#N/A</v>
      </c>
      <c r="AC284" t="s">
        <v>290</v>
      </c>
      <c r="AD284">
        <v>11303</v>
      </c>
    </row>
    <row r="285" spans="21:30" x14ac:dyDescent="0.3">
      <c r="U285" t="e">
        <f t="shared" si="30"/>
        <v>#N/A</v>
      </c>
      <c r="X285" t="e">
        <f t="shared" si="31"/>
        <v>#N/A</v>
      </c>
      <c r="Y285" t="e">
        <f t="shared" si="32"/>
        <v>#N/A</v>
      </c>
      <c r="AC285" t="s">
        <v>291</v>
      </c>
      <c r="AD285">
        <v>11401</v>
      </c>
    </row>
    <row r="286" spans="21:30" x14ac:dyDescent="0.3">
      <c r="U286" t="e">
        <f t="shared" si="30"/>
        <v>#N/A</v>
      </c>
      <c r="X286" t="e">
        <f t="shared" si="31"/>
        <v>#N/A</v>
      </c>
      <c r="Y286" t="e">
        <f t="shared" si="32"/>
        <v>#N/A</v>
      </c>
      <c r="AC286" t="s">
        <v>292</v>
      </c>
      <c r="AD286">
        <v>11402</v>
      </c>
    </row>
    <row r="287" spans="21:30" x14ac:dyDescent="0.3">
      <c r="U287" t="e">
        <f t="shared" si="30"/>
        <v>#N/A</v>
      </c>
      <c r="X287" t="e">
        <f t="shared" si="31"/>
        <v>#N/A</v>
      </c>
      <c r="Y287" t="e">
        <f t="shared" si="32"/>
        <v>#N/A</v>
      </c>
      <c r="AC287" t="s">
        <v>293</v>
      </c>
      <c r="AD287">
        <v>12101</v>
      </c>
    </row>
    <row r="288" spans="21:30" x14ac:dyDescent="0.3">
      <c r="U288" t="e">
        <f t="shared" si="30"/>
        <v>#N/A</v>
      </c>
      <c r="X288" t="e">
        <f t="shared" si="31"/>
        <v>#N/A</v>
      </c>
      <c r="Y288" t="e">
        <f t="shared" si="32"/>
        <v>#N/A</v>
      </c>
      <c r="AC288" t="s">
        <v>294</v>
      </c>
      <c r="AD288">
        <v>12102</v>
      </c>
    </row>
    <row r="289" spans="21:30" x14ac:dyDescent="0.3">
      <c r="U289" t="e">
        <f t="shared" si="30"/>
        <v>#N/A</v>
      </c>
      <c r="X289" t="e">
        <f t="shared" si="31"/>
        <v>#N/A</v>
      </c>
      <c r="Y289" t="e">
        <f t="shared" si="32"/>
        <v>#N/A</v>
      </c>
      <c r="AC289" t="s">
        <v>295</v>
      </c>
      <c r="AD289">
        <v>12103</v>
      </c>
    </row>
    <row r="290" spans="21:30" x14ac:dyDescent="0.3">
      <c r="U290" t="e">
        <f t="shared" si="30"/>
        <v>#N/A</v>
      </c>
      <c r="X290" t="e">
        <f t="shared" si="31"/>
        <v>#N/A</v>
      </c>
      <c r="Y290" t="e">
        <f t="shared" si="32"/>
        <v>#N/A</v>
      </c>
      <c r="AC290" t="s">
        <v>296</v>
      </c>
      <c r="AD290">
        <v>12104</v>
      </c>
    </row>
    <row r="291" spans="21:30" x14ac:dyDescent="0.3">
      <c r="U291" t="e">
        <f t="shared" si="30"/>
        <v>#N/A</v>
      </c>
      <c r="X291" t="e">
        <f t="shared" si="31"/>
        <v>#N/A</v>
      </c>
      <c r="Y291" t="e">
        <f t="shared" si="32"/>
        <v>#N/A</v>
      </c>
      <c r="AC291" t="s">
        <v>297</v>
      </c>
      <c r="AD291">
        <v>12201</v>
      </c>
    </row>
    <row r="292" spans="21:30" x14ac:dyDescent="0.3">
      <c r="U292" t="e">
        <f t="shared" si="30"/>
        <v>#N/A</v>
      </c>
      <c r="X292" t="e">
        <f t="shared" si="31"/>
        <v>#N/A</v>
      </c>
      <c r="Y292" t="e">
        <f t="shared" si="32"/>
        <v>#N/A</v>
      </c>
      <c r="AC292" t="s">
        <v>298</v>
      </c>
      <c r="AD292">
        <v>12301</v>
      </c>
    </row>
    <row r="293" spans="21:30" x14ac:dyDescent="0.3">
      <c r="U293" t="e">
        <f t="shared" si="30"/>
        <v>#N/A</v>
      </c>
      <c r="X293" t="e">
        <f t="shared" si="31"/>
        <v>#N/A</v>
      </c>
      <c r="Y293" t="e">
        <f t="shared" si="32"/>
        <v>#N/A</v>
      </c>
      <c r="AC293" t="s">
        <v>299</v>
      </c>
      <c r="AD293">
        <v>12302</v>
      </c>
    </row>
    <row r="294" spans="21:30" x14ac:dyDescent="0.3">
      <c r="U294" t="e">
        <f t="shared" si="30"/>
        <v>#N/A</v>
      </c>
      <c r="X294" t="e">
        <f t="shared" si="31"/>
        <v>#N/A</v>
      </c>
      <c r="Y294" t="e">
        <f t="shared" si="32"/>
        <v>#N/A</v>
      </c>
      <c r="AC294" t="s">
        <v>300</v>
      </c>
      <c r="AD294">
        <v>12303</v>
      </c>
    </row>
    <row r="295" spans="21:30" x14ac:dyDescent="0.3">
      <c r="U295" t="e">
        <f t="shared" si="30"/>
        <v>#N/A</v>
      </c>
      <c r="X295" t="e">
        <f t="shared" si="31"/>
        <v>#N/A</v>
      </c>
      <c r="Y295" t="e">
        <f t="shared" si="32"/>
        <v>#N/A</v>
      </c>
      <c r="AC295" t="s">
        <v>301</v>
      </c>
      <c r="AD295">
        <v>12401</v>
      </c>
    </row>
    <row r="296" spans="21:30" x14ac:dyDescent="0.3">
      <c r="U296" t="e">
        <f t="shared" si="30"/>
        <v>#N/A</v>
      </c>
      <c r="X296" t="e">
        <f t="shared" si="31"/>
        <v>#N/A</v>
      </c>
      <c r="Y296" t="e">
        <f t="shared" si="32"/>
        <v>#N/A</v>
      </c>
      <c r="AC296" t="s">
        <v>302</v>
      </c>
      <c r="AD296">
        <v>12402</v>
      </c>
    </row>
    <row r="297" spans="21:30" x14ac:dyDescent="0.3">
      <c r="U297" t="e">
        <f t="shared" si="30"/>
        <v>#N/A</v>
      </c>
      <c r="X297" t="e">
        <f t="shared" si="31"/>
        <v>#N/A</v>
      </c>
      <c r="Y297" t="e">
        <f t="shared" si="32"/>
        <v>#N/A</v>
      </c>
      <c r="AC297" t="s">
        <v>303</v>
      </c>
      <c r="AD297">
        <v>13101</v>
      </c>
    </row>
    <row r="298" spans="21:30" x14ac:dyDescent="0.3">
      <c r="U298" t="e">
        <f t="shared" si="30"/>
        <v>#N/A</v>
      </c>
      <c r="X298" t="e">
        <f t="shared" si="31"/>
        <v>#N/A</v>
      </c>
      <c r="Y298" t="e">
        <f t="shared" si="32"/>
        <v>#N/A</v>
      </c>
      <c r="AC298" t="s">
        <v>304</v>
      </c>
      <c r="AD298">
        <v>13102</v>
      </c>
    </row>
    <row r="299" spans="21:30" x14ac:dyDescent="0.3">
      <c r="U299" t="e">
        <f t="shared" si="30"/>
        <v>#N/A</v>
      </c>
      <c r="X299" t="e">
        <f t="shared" si="31"/>
        <v>#N/A</v>
      </c>
      <c r="Y299" t="e">
        <f t="shared" si="32"/>
        <v>#N/A</v>
      </c>
      <c r="AC299" t="s">
        <v>305</v>
      </c>
      <c r="AD299">
        <v>13103</v>
      </c>
    </row>
    <row r="300" spans="21:30" x14ac:dyDescent="0.3">
      <c r="U300" t="e">
        <f t="shared" si="30"/>
        <v>#N/A</v>
      </c>
      <c r="X300" t="e">
        <f t="shared" si="31"/>
        <v>#N/A</v>
      </c>
      <c r="Y300" t="e">
        <f t="shared" si="32"/>
        <v>#N/A</v>
      </c>
      <c r="AC300" t="s">
        <v>306</v>
      </c>
      <c r="AD300">
        <v>13104</v>
      </c>
    </row>
    <row r="301" spans="21:30" x14ac:dyDescent="0.3">
      <c r="U301" t="e">
        <f t="shared" si="30"/>
        <v>#N/A</v>
      </c>
      <c r="X301" t="e">
        <f t="shared" si="31"/>
        <v>#N/A</v>
      </c>
      <c r="Y301" t="e">
        <f t="shared" si="32"/>
        <v>#N/A</v>
      </c>
      <c r="AC301" t="s">
        <v>307</v>
      </c>
      <c r="AD301">
        <v>13105</v>
      </c>
    </row>
    <row r="302" spans="21:30" x14ac:dyDescent="0.3">
      <c r="U302" t="e">
        <f t="shared" si="30"/>
        <v>#N/A</v>
      </c>
      <c r="X302" t="e">
        <f t="shared" si="31"/>
        <v>#N/A</v>
      </c>
      <c r="Y302" t="e">
        <f t="shared" si="32"/>
        <v>#N/A</v>
      </c>
      <c r="AC302" t="s">
        <v>308</v>
      </c>
      <c r="AD302">
        <v>13106</v>
      </c>
    </row>
    <row r="303" spans="21:30" x14ac:dyDescent="0.3">
      <c r="U303" t="e">
        <f t="shared" si="30"/>
        <v>#N/A</v>
      </c>
      <c r="X303" t="e">
        <f t="shared" si="31"/>
        <v>#N/A</v>
      </c>
      <c r="Y303" t="e">
        <f t="shared" si="32"/>
        <v>#N/A</v>
      </c>
      <c r="AC303" t="s">
        <v>309</v>
      </c>
      <c r="AD303">
        <v>13107</v>
      </c>
    </row>
    <row r="304" spans="21:30" x14ac:dyDescent="0.3">
      <c r="U304" t="e">
        <f t="shared" si="30"/>
        <v>#N/A</v>
      </c>
      <c r="X304" t="e">
        <f t="shared" si="31"/>
        <v>#N/A</v>
      </c>
      <c r="Y304" t="e">
        <f t="shared" si="32"/>
        <v>#N/A</v>
      </c>
      <c r="AC304" t="s">
        <v>310</v>
      </c>
      <c r="AD304">
        <v>13108</v>
      </c>
    </row>
    <row r="305" spans="21:30" x14ac:dyDescent="0.3">
      <c r="U305" t="e">
        <f t="shared" si="30"/>
        <v>#N/A</v>
      </c>
      <c r="X305" t="e">
        <f t="shared" si="31"/>
        <v>#N/A</v>
      </c>
      <c r="Y305" t="e">
        <f t="shared" si="32"/>
        <v>#N/A</v>
      </c>
      <c r="AC305" t="s">
        <v>311</v>
      </c>
      <c r="AD305">
        <v>13109</v>
      </c>
    </row>
    <row r="306" spans="21:30" x14ac:dyDescent="0.3">
      <c r="U306" t="e">
        <f t="shared" si="30"/>
        <v>#N/A</v>
      </c>
      <c r="X306" t="e">
        <f t="shared" si="31"/>
        <v>#N/A</v>
      </c>
      <c r="Y306" t="e">
        <f t="shared" si="32"/>
        <v>#N/A</v>
      </c>
      <c r="AC306" t="s">
        <v>312</v>
      </c>
      <c r="AD306">
        <v>13110</v>
      </c>
    </row>
    <row r="307" spans="21:30" x14ac:dyDescent="0.3">
      <c r="U307" t="e">
        <f t="shared" si="30"/>
        <v>#N/A</v>
      </c>
      <c r="X307" t="e">
        <f t="shared" si="31"/>
        <v>#N/A</v>
      </c>
      <c r="Y307" t="e">
        <f t="shared" si="32"/>
        <v>#N/A</v>
      </c>
      <c r="AC307" t="s">
        <v>313</v>
      </c>
      <c r="AD307">
        <v>13111</v>
      </c>
    </row>
    <row r="308" spans="21:30" x14ac:dyDescent="0.3">
      <c r="U308" t="e">
        <f t="shared" si="30"/>
        <v>#N/A</v>
      </c>
      <c r="X308" t="e">
        <f t="shared" si="31"/>
        <v>#N/A</v>
      </c>
      <c r="Y308" t="e">
        <f t="shared" si="32"/>
        <v>#N/A</v>
      </c>
      <c r="AC308" t="s">
        <v>314</v>
      </c>
      <c r="AD308">
        <v>13112</v>
      </c>
    </row>
    <row r="309" spans="21:30" x14ac:dyDescent="0.3">
      <c r="U309" t="e">
        <f t="shared" si="30"/>
        <v>#N/A</v>
      </c>
      <c r="X309" t="e">
        <f t="shared" si="31"/>
        <v>#N/A</v>
      </c>
      <c r="Y309" t="e">
        <f t="shared" si="32"/>
        <v>#N/A</v>
      </c>
      <c r="AC309" t="s">
        <v>315</v>
      </c>
      <c r="AD309">
        <v>13113</v>
      </c>
    </row>
    <row r="310" spans="21:30" x14ac:dyDescent="0.3">
      <c r="U310" t="e">
        <f t="shared" si="30"/>
        <v>#N/A</v>
      </c>
      <c r="X310" t="e">
        <f t="shared" si="31"/>
        <v>#N/A</v>
      </c>
      <c r="Y310" t="e">
        <f t="shared" si="32"/>
        <v>#N/A</v>
      </c>
      <c r="AC310" t="s">
        <v>316</v>
      </c>
      <c r="AD310">
        <v>13114</v>
      </c>
    </row>
    <row r="311" spans="21:30" x14ac:dyDescent="0.3">
      <c r="U311" t="e">
        <f t="shared" si="30"/>
        <v>#N/A</v>
      </c>
      <c r="X311" t="e">
        <f t="shared" si="31"/>
        <v>#N/A</v>
      </c>
      <c r="Y311" t="e">
        <f t="shared" si="32"/>
        <v>#N/A</v>
      </c>
      <c r="AC311" t="s">
        <v>317</v>
      </c>
      <c r="AD311">
        <v>13115</v>
      </c>
    </row>
    <row r="312" spans="21:30" x14ac:dyDescent="0.3">
      <c r="U312" t="e">
        <f t="shared" si="30"/>
        <v>#N/A</v>
      </c>
      <c r="X312" t="e">
        <f t="shared" si="31"/>
        <v>#N/A</v>
      </c>
      <c r="Y312" t="e">
        <f t="shared" si="32"/>
        <v>#N/A</v>
      </c>
      <c r="AC312" t="s">
        <v>318</v>
      </c>
      <c r="AD312">
        <v>13116</v>
      </c>
    </row>
    <row r="313" spans="21:30" x14ac:dyDescent="0.3">
      <c r="U313" t="e">
        <f t="shared" si="30"/>
        <v>#N/A</v>
      </c>
      <c r="X313" t="e">
        <f t="shared" si="31"/>
        <v>#N/A</v>
      </c>
      <c r="Y313" t="e">
        <f t="shared" si="32"/>
        <v>#N/A</v>
      </c>
      <c r="AC313" t="s">
        <v>319</v>
      </c>
      <c r="AD313">
        <v>13117</v>
      </c>
    </row>
    <row r="314" spans="21:30" x14ac:dyDescent="0.3">
      <c r="U314" t="e">
        <f t="shared" si="30"/>
        <v>#N/A</v>
      </c>
      <c r="X314" t="e">
        <f t="shared" si="31"/>
        <v>#N/A</v>
      </c>
      <c r="Y314" t="e">
        <f t="shared" si="32"/>
        <v>#N/A</v>
      </c>
      <c r="AC314" t="s">
        <v>320</v>
      </c>
      <c r="AD314">
        <v>13118</v>
      </c>
    </row>
    <row r="315" spans="21:30" x14ac:dyDescent="0.3">
      <c r="U315" t="e">
        <f t="shared" si="30"/>
        <v>#N/A</v>
      </c>
      <c r="X315" t="e">
        <f t="shared" si="31"/>
        <v>#N/A</v>
      </c>
      <c r="Y315" t="e">
        <f t="shared" si="32"/>
        <v>#N/A</v>
      </c>
      <c r="AC315" t="s">
        <v>321</v>
      </c>
      <c r="AD315">
        <v>13119</v>
      </c>
    </row>
    <row r="316" spans="21:30" x14ac:dyDescent="0.3">
      <c r="U316" t="e">
        <f t="shared" si="30"/>
        <v>#N/A</v>
      </c>
      <c r="X316" t="e">
        <f t="shared" si="31"/>
        <v>#N/A</v>
      </c>
      <c r="Y316" t="e">
        <f t="shared" si="32"/>
        <v>#N/A</v>
      </c>
      <c r="AC316" t="s">
        <v>322</v>
      </c>
      <c r="AD316">
        <v>13120</v>
      </c>
    </row>
    <row r="317" spans="21:30" x14ac:dyDescent="0.3">
      <c r="U317" t="e">
        <f t="shared" si="30"/>
        <v>#N/A</v>
      </c>
      <c r="X317" t="e">
        <f t="shared" si="31"/>
        <v>#N/A</v>
      </c>
      <c r="Y317" t="e">
        <f t="shared" si="32"/>
        <v>#N/A</v>
      </c>
      <c r="AC317" t="s">
        <v>323</v>
      </c>
      <c r="AD317">
        <v>13121</v>
      </c>
    </row>
    <row r="318" spans="21:30" x14ac:dyDescent="0.3">
      <c r="U318" t="e">
        <f t="shared" si="30"/>
        <v>#N/A</v>
      </c>
      <c r="X318" t="e">
        <f t="shared" si="31"/>
        <v>#N/A</v>
      </c>
      <c r="Y318" t="e">
        <f t="shared" si="32"/>
        <v>#N/A</v>
      </c>
      <c r="AC318" t="s">
        <v>324</v>
      </c>
      <c r="AD318">
        <v>13122</v>
      </c>
    </row>
    <row r="319" spans="21:30" x14ac:dyDescent="0.3">
      <c r="U319" t="e">
        <f t="shared" si="30"/>
        <v>#N/A</v>
      </c>
      <c r="X319" t="e">
        <f t="shared" si="31"/>
        <v>#N/A</v>
      </c>
      <c r="Y319" t="e">
        <f t="shared" si="32"/>
        <v>#N/A</v>
      </c>
      <c r="AC319" t="s">
        <v>325</v>
      </c>
      <c r="AD319">
        <v>13123</v>
      </c>
    </row>
    <row r="320" spans="21:30" x14ac:dyDescent="0.3">
      <c r="U320" t="e">
        <f t="shared" si="30"/>
        <v>#N/A</v>
      </c>
      <c r="X320" t="e">
        <f t="shared" si="31"/>
        <v>#N/A</v>
      </c>
      <c r="Y320" t="e">
        <f t="shared" si="32"/>
        <v>#N/A</v>
      </c>
      <c r="AC320" t="s">
        <v>326</v>
      </c>
      <c r="AD320">
        <v>13124</v>
      </c>
    </row>
    <row r="321" spans="21:30" x14ac:dyDescent="0.3">
      <c r="U321" t="e">
        <f t="shared" si="30"/>
        <v>#N/A</v>
      </c>
      <c r="X321" t="e">
        <f t="shared" si="31"/>
        <v>#N/A</v>
      </c>
      <c r="Y321" t="e">
        <f t="shared" si="32"/>
        <v>#N/A</v>
      </c>
      <c r="AC321" t="s">
        <v>327</v>
      </c>
      <c r="AD321">
        <v>13125</v>
      </c>
    </row>
    <row r="322" spans="21:30" x14ac:dyDescent="0.3">
      <c r="U322" t="e">
        <f t="shared" si="30"/>
        <v>#N/A</v>
      </c>
      <c r="X322" t="e">
        <f t="shared" si="31"/>
        <v>#N/A</v>
      </c>
      <c r="Y322" t="e">
        <f t="shared" si="32"/>
        <v>#N/A</v>
      </c>
      <c r="AC322" t="s">
        <v>328</v>
      </c>
      <c r="AD322">
        <v>13126</v>
      </c>
    </row>
    <row r="323" spans="21:30" x14ac:dyDescent="0.3">
      <c r="U323" t="e">
        <f t="shared" si="30"/>
        <v>#N/A</v>
      </c>
      <c r="X323" t="e">
        <f t="shared" si="31"/>
        <v>#N/A</v>
      </c>
      <c r="Y323" t="e">
        <f t="shared" si="32"/>
        <v>#N/A</v>
      </c>
      <c r="AC323" t="s">
        <v>19</v>
      </c>
      <c r="AD323">
        <v>13127</v>
      </c>
    </row>
    <row r="324" spans="21:30" x14ac:dyDescent="0.3">
      <c r="U324" t="e">
        <f t="shared" si="30"/>
        <v>#N/A</v>
      </c>
      <c r="X324" t="e">
        <f t="shared" si="31"/>
        <v>#N/A</v>
      </c>
      <c r="Y324" t="e">
        <f t="shared" si="32"/>
        <v>#N/A</v>
      </c>
      <c r="AC324" t="s">
        <v>329</v>
      </c>
      <c r="AD324">
        <v>13128</v>
      </c>
    </row>
    <row r="325" spans="21:30" x14ac:dyDescent="0.3">
      <c r="U325" t="e">
        <f t="shared" ref="U325:U366" si="33">+VLOOKUP(W325,$R$4:$S$6,2,0)*100000+X325</f>
        <v>#N/A</v>
      </c>
      <c r="X325" t="e">
        <f t="shared" ref="X325:X366" si="34">+VLOOKUP(V325,$AC$3:$AD$364,2,0)</f>
        <v>#N/A</v>
      </c>
      <c r="Y325" t="e">
        <f t="shared" ref="Y325:Y366" si="35">+U325</f>
        <v>#N/A</v>
      </c>
      <c r="AC325" t="s">
        <v>330</v>
      </c>
      <c r="AD325">
        <v>13129</v>
      </c>
    </row>
    <row r="326" spans="21:30" x14ac:dyDescent="0.3">
      <c r="U326" t="e">
        <f t="shared" si="33"/>
        <v>#N/A</v>
      </c>
      <c r="X326" t="e">
        <f t="shared" si="34"/>
        <v>#N/A</v>
      </c>
      <c r="Y326" t="e">
        <f t="shared" si="35"/>
        <v>#N/A</v>
      </c>
      <c r="AC326" t="s">
        <v>331</v>
      </c>
      <c r="AD326">
        <v>13130</v>
      </c>
    </row>
    <row r="327" spans="21:30" x14ac:dyDescent="0.3">
      <c r="U327" t="e">
        <f t="shared" si="33"/>
        <v>#N/A</v>
      </c>
      <c r="X327" t="e">
        <f t="shared" si="34"/>
        <v>#N/A</v>
      </c>
      <c r="Y327" t="e">
        <f t="shared" si="35"/>
        <v>#N/A</v>
      </c>
      <c r="AC327" t="s">
        <v>332</v>
      </c>
      <c r="AD327">
        <v>13131</v>
      </c>
    </row>
    <row r="328" spans="21:30" x14ac:dyDescent="0.3">
      <c r="U328" t="e">
        <f t="shared" si="33"/>
        <v>#N/A</v>
      </c>
      <c r="X328" t="e">
        <f t="shared" si="34"/>
        <v>#N/A</v>
      </c>
      <c r="Y328" t="e">
        <f t="shared" si="35"/>
        <v>#N/A</v>
      </c>
      <c r="AC328" t="s">
        <v>333</v>
      </c>
      <c r="AD328">
        <v>13132</v>
      </c>
    </row>
    <row r="329" spans="21:30" x14ac:dyDescent="0.3">
      <c r="U329" t="e">
        <f t="shared" si="33"/>
        <v>#N/A</v>
      </c>
      <c r="X329" t="e">
        <f t="shared" si="34"/>
        <v>#N/A</v>
      </c>
      <c r="Y329" t="e">
        <f t="shared" si="35"/>
        <v>#N/A</v>
      </c>
      <c r="AC329" t="s">
        <v>334</v>
      </c>
      <c r="AD329">
        <v>13201</v>
      </c>
    </row>
    <row r="330" spans="21:30" x14ac:dyDescent="0.3">
      <c r="U330" t="e">
        <f t="shared" si="33"/>
        <v>#N/A</v>
      </c>
      <c r="X330" t="e">
        <f t="shared" si="34"/>
        <v>#N/A</v>
      </c>
      <c r="Y330" t="e">
        <f t="shared" si="35"/>
        <v>#N/A</v>
      </c>
      <c r="AC330" t="s">
        <v>335</v>
      </c>
      <c r="AD330">
        <v>13202</v>
      </c>
    </row>
    <row r="331" spans="21:30" x14ac:dyDescent="0.3">
      <c r="U331" t="e">
        <f t="shared" si="33"/>
        <v>#N/A</v>
      </c>
      <c r="X331" t="e">
        <f t="shared" si="34"/>
        <v>#N/A</v>
      </c>
      <c r="Y331" t="e">
        <f t="shared" si="35"/>
        <v>#N/A</v>
      </c>
      <c r="AC331" t="s">
        <v>336</v>
      </c>
      <c r="AD331">
        <v>13203</v>
      </c>
    </row>
    <row r="332" spans="21:30" x14ac:dyDescent="0.3">
      <c r="U332" t="e">
        <f t="shared" si="33"/>
        <v>#N/A</v>
      </c>
      <c r="X332" t="e">
        <f t="shared" si="34"/>
        <v>#N/A</v>
      </c>
      <c r="Y332" t="e">
        <f t="shared" si="35"/>
        <v>#N/A</v>
      </c>
      <c r="AC332" t="s">
        <v>337</v>
      </c>
      <c r="AD332">
        <v>13301</v>
      </c>
    </row>
    <row r="333" spans="21:30" x14ac:dyDescent="0.3">
      <c r="U333" t="e">
        <f t="shared" si="33"/>
        <v>#N/A</v>
      </c>
      <c r="X333" t="e">
        <f t="shared" si="34"/>
        <v>#N/A</v>
      </c>
      <c r="Y333" t="e">
        <f t="shared" si="35"/>
        <v>#N/A</v>
      </c>
      <c r="AC333" t="s">
        <v>338</v>
      </c>
      <c r="AD333">
        <v>13302</v>
      </c>
    </row>
    <row r="334" spans="21:30" x14ac:dyDescent="0.3">
      <c r="U334" t="e">
        <f t="shared" si="33"/>
        <v>#N/A</v>
      </c>
      <c r="X334" t="e">
        <f t="shared" si="34"/>
        <v>#N/A</v>
      </c>
      <c r="Y334" t="e">
        <f t="shared" si="35"/>
        <v>#N/A</v>
      </c>
      <c r="AC334" t="s">
        <v>339</v>
      </c>
      <c r="AD334">
        <v>13303</v>
      </c>
    </row>
    <row r="335" spans="21:30" x14ac:dyDescent="0.3">
      <c r="U335" t="e">
        <f t="shared" si="33"/>
        <v>#N/A</v>
      </c>
      <c r="X335" t="e">
        <f t="shared" si="34"/>
        <v>#N/A</v>
      </c>
      <c r="Y335" t="e">
        <f t="shared" si="35"/>
        <v>#N/A</v>
      </c>
      <c r="AC335" t="s">
        <v>340</v>
      </c>
      <c r="AD335">
        <v>13401</v>
      </c>
    </row>
    <row r="336" spans="21:30" x14ac:dyDescent="0.3">
      <c r="U336" t="e">
        <f t="shared" si="33"/>
        <v>#N/A</v>
      </c>
      <c r="X336" t="e">
        <f t="shared" si="34"/>
        <v>#N/A</v>
      </c>
      <c r="Y336" t="e">
        <f t="shared" si="35"/>
        <v>#N/A</v>
      </c>
      <c r="AC336" t="s">
        <v>341</v>
      </c>
      <c r="AD336">
        <v>13402</v>
      </c>
    </row>
    <row r="337" spans="21:30" x14ac:dyDescent="0.3">
      <c r="U337" t="e">
        <f t="shared" si="33"/>
        <v>#N/A</v>
      </c>
      <c r="X337" t="e">
        <f t="shared" si="34"/>
        <v>#N/A</v>
      </c>
      <c r="Y337" t="e">
        <f t="shared" si="35"/>
        <v>#N/A</v>
      </c>
      <c r="AC337" t="s">
        <v>342</v>
      </c>
      <c r="AD337">
        <v>13403</v>
      </c>
    </row>
    <row r="338" spans="21:30" x14ac:dyDescent="0.3">
      <c r="U338" t="e">
        <f t="shared" si="33"/>
        <v>#N/A</v>
      </c>
      <c r="X338" t="e">
        <f t="shared" si="34"/>
        <v>#N/A</v>
      </c>
      <c r="Y338" t="e">
        <f t="shared" si="35"/>
        <v>#N/A</v>
      </c>
      <c r="AC338" t="s">
        <v>343</v>
      </c>
      <c r="AD338">
        <v>13404</v>
      </c>
    </row>
    <row r="339" spans="21:30" x14ac:dyDescent="0.3">
      <c r="U339" t="e">
        <f t="shared" si="33"/>
        <v>#N/A</v>
      </c>
      <c r="X339" t="e">
        <f t="shared" si="34"/>
        <v>#N/A</v>
      </c>
      <c r="Y339" t="e">
        <f t="shared" si="35"/>
        <v>#N/A</v>
      </c>
      <c r="AC339" t="s">
        <v>344</v>
      </c>
      <c r="AD339">
        <v>13501</v>
      </c>
    </row>
    <row r="340" spans="21:30" x14ac:dyDescent="0.3">
      <c r="U340" t="e">
        <f t="shared" si="33"/>
        <v>#N/A</v>
      </c>
      <c r="X340" t="e">
        <f t="shared" si="34"/>
        <v>#N/A</v>
      </c>
      <c r="Y340" t="e">
        <f t="shared" si="35"/>
        <v>#N/A</v>
      </c>
      <c r="AC340" t="s">
        <v>345</v>
      </c>
      <c r="AD340">
        <v>13502</v>
      </c>
    </row>
    <row r="341" spans="21:30" x14ac:dyDescent="0.3">
      <c r="U341" t="e">
        <f t="shared" si="33"/>
        <v>#N/A</v>
      </c>
      <c r="X341" t="e">
        <f t="shared" si="34"/>
        <v>#N/A</v>
      </c>
      <c r="Y341" t="e">
        <f t="shared" si="35"/>
        <v>#N/A</v>
      </c>
      <c r="AC341" t="s">
        <v>346</v>
      </c>
      <c r="AD341">
        <v>13503</v>
      </c>
    </row>
    <row r="342" spans="21:30" x14ac:dyDescent="0.3">
      <c r="U342" t="e">
        <f t="shared" si="33"/>
        <v>#N/A</v>
      </c>
      <c r="X342" t="e">
        <f t="shared" si="34"/>
        <v>#N/A</v>
      </c>
      <c r="Y342" t="e">
        <f t="shared" si="35"/>
        <v>#N/A</v>
      </c>
      <c r="AC342" t="s">
        <v>347</v>
      </c>
      <c r="AD342">
        <v>13504</v>
      </c>
    </row>
    <row r="343" spans="21:30" x14ac:dyDescent="0.3">
      <c r="U343" t="e">
        <f t="shared" si="33"/>
        <v>#N/A</v>
      </c>
      <c r="X343" t="e">
        <f t="shared" si="34"/>
        <v>#N/A</v>
      </c>
      <c r="Y343" t="e">
        <f t="shared" si="35"/>
        <v>#N/A</v>
      </c>
      <c r="AC343" t="s">
        <v>348</v>
      </c>
      <c r="AD343">
        <v>13505</v>
      </c>
    </row>
    <row r="344" spans="21:30" x14ac:dyDescent="0.3">
      <c r="U344" t="e">
        <f t="shared" si="33"/>
        <v>#N/A</v>
      </c>
      <c r="X344" t="e">
        <f t="shared" si="34"/>
        <v>#N/A</v>
      </c>
      <c r="Y344" t="e">
        <f t="shared" si="35"/>
        <v>#N/A</v>
      </c>
      <c r="AC344" t="s">
        <v>349</v>
      </c>
      <c r="AD344">
        <v>13601</v>
      </c>
    </row>
    <row r="345" spans="21:30" x14ac:dyDescent="0.3">
      <c r="U345" t="e">
        <f t="shared" si="33"/>
        <v>#N/A</v>
      </c>
      <c r="X345" t="e">
        <f t="shared" si="34"/>
        <v>#N/A</v>
      </c>
      <c r="Y345" t="e">
        <f t="shared" si="35"/>
        <v>#N/A</v>
      </c>
      <c r="AC345" t="s">
        <v>350</v>
      </c>
      <c r="AD345">
        <v>13602</v>
      </c>
    </row>
    <row r="346" spans="21:30" x14ac:dyDescent="0.3">
      <c r="U346" t="e">
        <f t="shared" si="33"/>
        <v>#N/A</v>
      </c>
      <c r="X346" t="e">
        <f t="shared" si="34"/>
        <v>#N/A</v>
      </c>
      <c r="Y346" t="e">
        <f t="shared" si="35"/>
        <v>#N/A</v>
      </c>
      <c r="AC346" t="s">
        <v>351</v>
      </c>
      <c r="AD346">
        <v>13603</v>
      </c>
    </row>
    <row r="347" spans="21:30" x14ac:dyDescent="0.3">
      <c r="U347" t="e">
        <f t="shared" si="33"/>
        <v>#N/A</v>
      </c>
      <c r="X347" t="e">
        <f t="shared" si="34"/>
        <v>#N/A</v>
      </c>
      <c r="Y347" t="e">
        <f t="shared" si="35"/>
        <v>#N/A</v>
      </c>
      <c r="AC347" t="s">
        <v>352</v>
      </c>
      <c r="AD347">
        <v>13604</v>
      </c>
    </row>
    <row r="348" spans="21:30" x14ac:dyDescent="0.3">
      <c r="U348" t="e">
        <f t="shared" si="33"/>
        <v>#N/A</v>
      </c>
      <c r="X348" t="e">
        <f t="shared" si="34"/>
        <v>#N/A</v>
      </c>
      <c r="Y348" t="e">
        <f t="shared" si="35"/>
        <v>#N/A</v>
      </c>
      <c r="AC348" t="s">
        <v>353</v>
      </c>
      <c r="AD348">
        <v>13605</v>
      </c>
    </row>
    <row r="349" spans="21:30" x14ac:dyDescent="0.3">
      <c r="U349" t="e">
        <f t="shared" si="33"/>
        <v>#N/A</v>
      </c>
      <c r="X349" t="e">
        <f t="shared" si="34"/>
        <v>#N/A</v>
      </c>
      <c r="Y349" t="e">
        <f t="shared" si="35"/>
        <v>#N/A</v>
      </c>
      <c r="AC349" t="s">
        <v>354</v>
      </c>
      <c r="AD349">
        <v>14101</v>
      </c>
    </row>
    <row r="350" spans="21:30" x14ac:dyDescent="0.3">
      <c r="U350" t="e">
        <f t="shared" si="33"/>
        <v>#N/A</v>
      </c>
      <c r="X350" t="e">
        <f t="shared" si="34"/>
        <v>#N/A</v>
      </c>
      <c r="Y350" t="e">
        <f t="shared" si="35"/>
        <v>#N/A</v>
      </c>
      <c r="AC350" t="s">
        <v>355</v>
      </c>
      <c r="AD350">
        <v>14102</v>
      </c>
    </row>
    <row r="351" spans="21:30" x14ac:dyDescent="0.3">
      <c r="U351" t="e">
        <f t="shared" si="33"/>
        <v>#N/A</v>
      </c>
      <c r="X351" t="e">
        <f t="shared" si="34"/>
        <v>#N/A</v>
      </c>
      <c r="Y351" t="e">
        <f t="shared" si="35"/>
        <v>#N/A</v>
      </c>
      <c r="AC351" t="s">
        <v>356</v>
      </c>
      <c r="AD351">
        <v>14103</v>
      </c>
    </row>
    <row r="352" spans="21:30" x14ac:dyDescent="0.3">
      <c r="U352" t="e">
        <f t="shared" si="33"/>
        <v>#N/A</v>
      </c>
      <c r="X352" t="e">
        <f t="shared" si="34"/>
        <v>#N/A</v>
      </c>
      <c r="Y352" t="e">
        <f t="shared" si="35"/>
        <v>#N/A</v>
      </c>
      <c r="AC352" t="s">
        <v>31</v>
      </c>
      <c r="AD352">
        <v>14104</v>
      </c>
    </row>
    <row r="353" spans="21:30" x14ac:dyDescent="0.3">
      <c r="U353" t="e">
        <f t="shared" si="33"/>
        <v>#N/A</v>
      </c>
      <c r="X353" t="e">
        <f t="shared" si="34"/>
        <v>#N/A</v>
      </c>
      <c r="Y353" t="e">
        <f t="shared" si="35"/>
        <v>#N/A</v>
      </c>
      <c r="AC353" t="s">
        <v>357</v>
      </c>
      <c r="AD353">
        <v>14105</v>
      </c>
    </row>
    <row r="354" spans="21:30" x14ac:dyDescent="0.3">
      <c r="U354" t="e">
        <f t="shared" si="33"/>
        <v>#N/A</v>
      </c>
      <c r="X354" t="e">
        <f t="shared" si="34"/>
        <v>#N/A</v>
      </c>
      <c r="Y354" t="e">
        <f t="shared" si="35"/>
        <v>#N/A</v>
      </c>
      <c r="AC354" t="s">
        <v>358</v>
      </c>
      <c r="AD354">
        <v>14106</v>
      </c>
    </row>
    <row r="355" spans="21:30" x14ac:dyDescent="0.3">
      <c r="U355" t="e">
        <f t="shared" si="33"/>
        <v>#N/A</v>
      </c>
      <c r="X355" t="e">
        <f t="shared" si="34"/>
        <v>#N/A</v>
      </c>
      <c r="Y355" t="e">
        <f t="shared" si="35"/>
        <v>#N/A</v>
      </c>
      <c r="AC355" t="s">
        <v>359</v>
      </c>
      <c r="AD355">
        <v>14107</v>
      </c>
    </row>
    <row r="356" spans="21:30" x14ac:dyDescent="0.3">
      <c r="U356" t="e">
        <f t="shared" si="33"/>
        <v>#N/A</v>
      </c>
      <c r="X356" t="e">
        <f t="shared" si="34"/>
        <v>#N/A</v>
      </c>
      <c r="Y356" t="e">
        <f t="shared" si="35"/>
        <v>#N/A</v>
      </c>
      <c r="AC356" t="s">
        <v>360</v>
      </c>
      <c r="AD356">
        <v>14108</v>
      </c>
    </row>
    <row r="357" spans="21:30" x14ac:dyDescent="0.3">
      <c r="U357" t="e">
        <f t="shared" si="33"/>
        <v>#N/A</v>
      </c>
      <c r="X357" t="e">
        <f t="shared" si="34"/>
        <v>#N/A</v>
      </c>
      <c r="Y357" t="e">
        <f t="shared" si="35"/>
        <v>#N/A</v>
      </c>
      <c r="AC357" t="s">
        <v>361</v>
      </c>
      <c r="AD357">
        <v>14201</v>
      </c>
    </row>
    <row r="358" spans="21:30" x14ac:dyDescent="0.3">
      <c r="U358" t="e">
        <f t="shared" si="33"/>
        <v>#N/A</v>
      </c>
      <c r="X358" t="e">
        <f t="shared" si="34"/>
        <v>#N/A</v>
      </c>
      <c r="Y358" t="e">
        <f t="shared" si="35"/>
        <v>#N/A</v>
      </c>
      <c r="AC358" t="s">
        <v>362</v>
      </c>
      <c r="AD358">
        <v>14202</v>
      </c>
    </row>
    <row r="359" spans="21:30" x14ac:dyDescent="0.3">
      <c r="U359" t="e">
        <f t="shared" si="33"/>
        <v>#N/A</v>
      </c>
      <c r="X359" t="e">
        <f t="shared" si="34"/>
        <v>#N/A</v>
      </c>
      <c r="Y359" t="e">
        <f t="shared" si="35"/>
        <v>#N/A</v>
      </c>
      <c r="AC359" t="s">
        <v>363</v>
      </c>
      <c r="AD359">
        <v>14203</v>
      </c>
    </row>
    <row r="360" spans="21:30" x14ac:dyDescent="0.3">
      <c r="U360" t="e">
        <f t="shared" si="33"/>
        <v>#N/A</v>
      </c>
      <c r="X360" t="e">
        <f t="shared" si="34"/>
        <v>#N/A</v>
      </c>
      <c r="Y360" t="e">
        <f t="shared" si="35"/>
        <v>#N/A</v>
      </c>
      <c r="AC360" t="s">
        <v>364</v>
      </c>
      <c r="AD360">
        <v>14204</v>
      </c>
    </row>
    <row r="361" spans="21:30" x14ac:dyDescent="0.3">
      <c r="U361" t="e">
        <f t="shared" si="33"/>
        <v>#N/A</v>
      </c>
      <c r="X361" t="e">
        <f t="shared" si="34"/>
        <v>#N/A</v>
      </c>
      <c r="Y361" t="e">
        <f t="shared" si="35"/>
        <v>#N/A</v>
      </c>
      <c r="AC361" t="s">
        <v>365</v>
      </c>
      <c r="AD361">
        <v>15101</v>
      </c>
    </row>
    <row r="362" spans="21:30" x14ac:dyDescent="0.3">
      <c r="U362" t="e">
        <f t="shared" si="33"/>
        <v>#N/A</v>
      </c>
      <c r="X362" t="e">
        <f t="shared" si="34"/>
        <v>#N/A</v>
      </c>
      <c r="Y362" t="e">
        <f t="shared" si="35"/>
        <v>#N/A</v>
      </c>
      <c r="AC362" t="s">
        <v>366</v>
      </c>
      <c r="AD362">
        <v>15102</v>
      </c>
    </row>
    <row r="363" spans="21:30" x14ac:dyDescent="0.3">
      <c r="U363" t="e">
        <f t="shared" si="33"/>
        <v>#N/A</v>
      </c>
      <c r="X363" t="e">
        <f t="shared" si="34"/>
        <v>#N/A</v>
      </c>
      <c r="Y363" t="e">
        <f t="shared" si="35"/>
        <v>#N/A</v>
      </c>
      <c r="AC363" t="s">
        <v>367</v>
      </c>
      <c r="AD363">
        <v>15201</v>
      </c>
    </row>
    <row r="364" spans="21:30" x14ac:dyDescent="0.3">
      <c r="U364" t="e">
        <f t="shared" si="33"/>
        <v>#N/A</v>
      </c>
      <c r="X364" t="e">
        <f t="shared" si="34"/>
        <v>#N/A</v>
      </c>
      <c r="Y364" t="e">
        <f t="shared" si="35"/>
        <v>#N/A</v>
      </c>
      <c r="AC364" t="s">
        <v>368</v>
      </c>
      <c r="AD364">
        <v>15202</v>
      </c>
    </row>
    <row r="365" spans="21:30" x14ac:dyDescent="0.3">
      <c r="U365" t="e">
        <f t="shared" si="33"/>
        <v>#N/A</v>
      </c>
      <c r="X365" t="e">
        <f t="shared" si="34"/>
        <v>#N/A</v>
      </c>
      <c r="Y365" t="e">
        <f t="shared" si="35"/>
        <v>#N/A</v>
      </c>
    </row>
    <row r="366" spans="21:30" x14ac:dyDescent="0.3">
      <c r="U366" t="e">
        <f t="shared" si="33"/>
        <v>#N/A</v>
      </c>
      <c r="X366" t="e">
        <f t="shared" si="34"/>
        <v>#N/A</v>
      </c>
      <c r="Y366" t="e">
        <f t="shared" si="35"/>
        <v>#N/A</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1A89A-B284-4524-A564-1E9E745816B0}">
  <sheetPr>
    <tabColor rgb="FFFFC000"/>
  </sheetPr>
  <dimension ref="A3:G175"/>
  <sheetViews>
    <sheetView workbookViewId="0">
      <selection activeCell="A16" sqref="A16"/>
    </sheetView>
  </sheetViews>
  <sheetFormatPr baseColWidth="10" defaultRowHeight="14.4" x14ac:dyDescent="0.3"/>
  <cols>
    <col min="1" max="2" width="37.21875" bestFit="1" customWidth="1"/>
    <col min="3" max="3" width="8.33203125" bestFit="1" customWidth="1"/>
    <col min="4" max="4" width="44" bestFit="1" customWidth="1"/>
    <col min="5" max="5" width="24.33203125" bestFit="1" customWidth="1"/>
    <col min="6" max="6" width="14.33203125" bestFit="1" customWidth="1"/>
    <col min="7" max="7" width="12.77734375" bestFit="1" customWidth="1"/>
  </cols>
  <sheetData>
    <row r="3" spans="1:7" x14ac:dyDescent="0.3">
      <c r="A3" s="4" t="s">
        <v>3</v>
      </c>
      <c r="B3" s="4" t="s">
        <v>4</v>
      </c>
      <c r="C3" s="4" t="s">
        <v>5</v>
      </c>
      <c r="D3" s="4" t="s">
        <v>24</v>
      </c>
      <c r="E3" s="4" t="s">
        <v>6</v>
      </c>
      <c r="F3" s="4" t="s">
        <v>25</v>
      </c>
      <c r="G3" s="4" t="s">
        <v>386</v>
      </c>
    </row>
    <row r="4" spans="1:7" x14ac:dyDescent="0.3">
      <c r="A4" t="s">
        <v>408</v>
      </c>
      <c r="B4" t="s">
        <v>407</v>
      </c>
      <c r="C4" t="s">
        <v>20</v>
      </c>
      <c r="D4" t="s">
        <v>16</v>
      </c>
      <c r="E4" t="s">
        <v>15</v>
      </c>
      <c r="F4" t="s">
        <v>659</v>
      </c>
      <c r="G4">
        <v>100200300</v>
      </c>
    </row>
    <row r="5" spans="1:7" x14ac:dyDescent="0.3">
      <c r="A5" t="s">
        <v>408</v>
      </c>
      <c r="B5" t="s">
        <v>407</v>
      </c>
      <c r="C5" t="s">
        <v>16</v>
      </c>
      <c r="D5" t="s">
        <v>411</v>
      </c>
      <c r="E5" t="s">
        <v>371</v>
      </c>
      <c r="F5" t="s">
        <v>659</v>
      </c>
      <c r="G5" t="s">
        <v>389</v>
      </c>
    </row>
    <row r="6" spans="1:7" x14ac:dyDescent="0.3">
      <c r="A6" t="s">
        <v>408</v>
      </c>
      <c r="B6" t="s">
        <v>407</v>
      </c>
      <c r="C6" t="s">
        <v>16</v>
      </c>
      <c r="D6" t="s">
        <v>411</v>
      </c>
      <c r="E6" t="s">
        <v>384</v>
      </c>
      <c r="F6" t="s">
        <v>659</v>
      </c>
      <c r="G6" t="s">
        <v>389</v>
      </c>
    </row>
    <row r="7" spans="1:7" x14ac:dyDescent="0.3">
      <c r="A7" t="s">
        <v>408</v>
      </c>
      <c r="B7" t="s">
        <v>407</v>
      </c>
      <c r="C7" t="s">
        <v>16</v>
      </c>
      <c r="D7" t="s">
        <v>411</v>
      </c>
      <c r="E7" t="s">
        <v>372</v>
      </c>
      <c r="F7" t="s">
        <v>659</v>
      </c>
      <c r="G7" t="s">
        <v>389</v>
      </c>
    </row>
    <row r="8" spans="1:7" x14ac:dyDescent="0.3">
      <c r="A8" t="s">
        <v>408</v>
      </c>
      <c r="B8" t="s">
        <v>407</v>
      </c>
      <c r="C8" t="s">
        <v>16</v>
      </c>
      <c r="D8" t="s">
        <v>411</v>
      </c>
      <c r="E8" t="s">
        <v>380</v>
      </c>
      <c r="F8" t="s">
        <v>659</v>
      </c>
      <c r="G8" t="s">
        <v>389</v>
      </c>
    </row>
    <row r="9" spans="1:7" x14ac:dyDescent="0.3">
      <c r="A9" t="s">
        <v>408</v>
      </c>
      <c r="B9" t="s">
        <v>407</v>
      </c>
      <c r="C9" t="s">
        <v>16</v>
      </c>
      <c r="D9" t="s">
        <v>411</v>
      </c>
      <c r="E9" t="s">
        <v>373</v>
      </c>
      <c r="F9" t="s">
        <v>659</v>
      </c>
      <c r="G9" t="s">
        <v>389</v>
      </c>
    </row>
    <row r="10" spans="1:7" x14ac:dyDescent="0.3">
      <c r="A10" t="s">
        <v>408</v>
      </c>
      <c r="B10" t="s">
        <v>407</v>
      </c>
      <c r="C10" t="s">
        <v>16</v>
      </c>
      <c r="D10" t="s">
        <v>411</v>
      </c>
      <c r="E10" t="s">
        <v>378</v>
      </c>
      <c r="F10" t="s">
        <v>659</v>
      </c>
      <c r="G10" t="s">
        <v>389</v>
      </c>
    </row>
    <row r="11" spans="1:7" x14ac:dyDescent="0.3">
      <c r="A11" t="s">
        <v>408</v>
      </c>
      <c r="B11" t="s">
        <v>407</v>
      </c>
      <c r="C11" t="s">
        <v>16</v>
      </c>
      <c r="D11" t="s">
        <v>411</v>
      </c>
      <c r="E11" t="s">
        <v>379</v>
      </c>
      <c r="F11" t="s">
        <v>659</v>
      </c>
      <c r="G11" t="s">
        <v>389</v>
      </c>
    </row>
    <row r="12" spans="1:7" x14ac:dyDescent="0.3">
      <c r="A12" t="s">
        <v>408</v>
      </c>
      <c r="B12" t="s">
        <v>407</v>
      </c>
      <c r="C12" t="s">
        <v>16</v>
      </c>
      <c r="D12" t="s">
        <v>411</v>
      </c>
      <c r="E12" t="s">
        <v>383</v>
      </c>
      <c r="F12" t="s">
        <v>659</v>
      </c>
      <c r="G12" t="s">
        <v>389</v>
      </c>
    </row>
    <row r="13" spans="1:7" x14ac:dyDescent="0.3">
      <c r="A13" t="s">
        <v>408</v>
      </c>
      <c r="B13" t="s">
        <v>407</v>
      </c>
      <c r="C13" t="s">
        <v>16</v>
      </c>
      <c r="D13" t="s">
        <v>411</v>
      </c>
      <c r="E13" t="s">
        <v>381</v>
      </c>
      <c r="F13" t="s">
        <v>659</v>
      </c>
      <c r="G13" t="s">
        <v>389</v>
      </c>
    </row>
    <row r="14" spans="1:7" x14ac:dyDescent="0.3">
      <c r="A14" t="s">
        <v>408</v>
      </c>
      <c r="B14" t="s">
        <v>407</v>
      </c>
      <c r="C14" t="s">
        <v>16</v>
      </c>
      <c r="D14" t="s">
        <v>411</v>
      </c>
      <c r="E14" t="s">
        <v>376</v>
      </c>
      <c r="F14" t="s">
        <v>659</v>
      </c>
      <c r="G14" t="s">
        <v>389</v>
      </c>
    </row>
    <row r="15" spans="1:7" x14ac:dyDescent="0.3">
      <c r="A15" t="s">
        <v>408</v>
      </c>
      <c r="B15" t="s">
        <v>407</v>
      </c>
      <c r="C15" t="s">
        <v>16</v>
      </c>
      <c r="D15" t="s">
        <v>411</v>
      </c>
      <c r="E15" t="s">
        <v>385</v>
      </c>
      <c r="F15" t="s">
        <v>659</v>
      </c>
      <c r="G15" t="s">
        <v>389</v>
      </c>
    </row>
    <row r="16" spans="1:7" x14ac:dyDescent="0.3">
      <c r="A16" t="s">
        <v>408</v>
      </c>
      <c r="B16" t="s">
        <v>407</v>
      </c>
      <c r="C16" t="s">
        <v>16</v>
      </c>
      <c r="D16" t="s">
        <v>411</v>
      </c>
      <c r="E16" t="s">
        <v>375</v>
      </c>
      <c r="F16" t="s">
        <v>659</v>
      </c>
      <c r="G16" t="s">
        <v>389</v>
      </c>
    </row>
    <row r="17" spans="1:7" x14ac:dyDescent="0.3">
      <c r="A17" t="s">
        <v>408</v>
      </c>
      <c r="B17" t="s">
        <v>407</v>
      </c>
      <c r="C17" t="s">
        <v>16</v>
      </c>
      <c r="D17" t="s">
        <v>411</v>
      </c>
      <c r="E17" t="s">
        <v>370</v>
      </c>
      <c r="F17" t="s">
        <v>659</v>
      </c>
      <c r="G17" t="s">
        <v>389</v>
      </c>
    </row>
    <row r="18" spans="1:7" x14ac:dyDescent="0.3">
      <c r="A18" t="s">
        <v>408</v>
      </c>
      <c r="B18" t="s">
        <v>407</v>
      </c>
      <c r="C18" t="s">
        <v>16</v>
      </c>
      <c r="D18" t="s">
        <v>411</v>
      </c>
      <c r="E18" t="s">
        <v>374</v>
      </c>
      <c r="F18" t="s">
        <v>659</v>
      </c>
      <c r="G18" t="s">
        <v>389</v>
      </c>
    </row>
    <row r="19" spans="1:7" x14ac:dyDescent="0.3">
      <c r="A19" t="s">
        <v>408</v>
      </c>
      <c r="B19" t="s">
        <v>407</v>
      </c>
      <c r="C19" t="s">
        <v>16</v>
      </c>
      <c r="D19" t="s">
        <v>411</v>
      </c>
      <c r="E19" t="s">
        <v>377</v>
      </c>
      <c r="F19" t="s">
        <v>659</v>
      </c>
      <c r="G19" t="s">
        <v>389</v>
      </c>
    </row>
    <row r="20" spans="1:7" x14ac:dyDescent="0.3">
      <c r="A20" t="s">
        <v>408</v>
      </c>
      <c r="B20" t="s">
        <v>407</v>
      </c>
      <c r="C20" t="s">
        <v>16</v>
      </c>
      <c r="D20" t="s">
        <v>411</v>
      </c>
      <c r="E20" t="s">
        <v>382</v>
      </c>
      <c r="F20" t="s">
        <v>659</v>
      </c>
      <c r="G20" t="s">
        <v>389</v>
      </c>
    </row>
    <row r="21" spans="1:7" x14ac:dyDescent="0.3">
      <c r="A21" t="s">
        <v>434</v>
      </c>
      <c r="B21" t="s">
        <v>435</v>
      </c>
      <c r="C21" t="s">
        <v>20</v>
      </c>
      <c r="D21" t="s">
        <v>16</v>
      </c>
      <c r="E21" t="s">
        <v>15</v>
      </c>
      <c r="F21" t="s">
        <v>654</v>
      </c>
      <c r="G21">
        <v>100200300</v>
      </c>
    </row>
    <row r="22" spans="1:7" x14ac:dyDescent="0.3">
      <c r="A22" t="s">
        <v>434</v>
      </c>
      <c r="B22" t="s">
        <v>435</v>
      </c>
      <c r="C22" t="s">
        <v>16</v>
      </c>
      <c r="D22" t="s">
        <v>18</v>
      </c>
      <c r="E22" t="s">
        <v>371</v>
      </c>
      <c r="F22" t="s">
        <v>654</v>
      </c>
      <c r="G22" t="s">
        <v>389</v>
      </c>
    </row>
    <row r="23" spans="1:7" x14ac:dyDescent="0.3">
      <c r="A23" t="s">
        <v>434</v>
      </c>
      <c r="B23" t="s">
        <v>435</v>
      </c>
      <c r="C23" t="s">
        <v>16</v>
      </c>
      <c r="D23" t="s">
        <v>18</v>
      </c>
      <c r="E23" t="s">
        <v>384</v>
      </c>
      <c r="F23" t="s">
        <v>654</v>
      </c>
      <c r="G23" t="s">
        <v>389</v>
      </c>
    </row>
    <row r="24" spans="1:7" x14ac:dyDescent="0.3">
      <c r="A24" t="s">
        <v>434</v>
      </c>
      <c r="B24" t="s">
        <v>435</v>
      </c>
      <c r="C24" t="s">
        <v>16</v>
      </c>
      <c r="D24" t="s">
        <v>18</v>
      </c>
      <c r="E24" t="s">
        <v>372</v>
      </c>
      <c r="F24" t="s">
        <v>654</v>
      </c>
      <c r="G24" t="s">
        <v>389</v>
      </c>
    </row>
    <row r="25" spans="1:7" x14ac:dyDescent="0.3">
      <c r="A25" t="s">
        <v>434</v>
      </c>
      <c r="B25" t="s">
        <v>435</v>
      </c>
      <c r="C25" t="s">
        <v>16</v>
      </c>
      <c r="D25" t="s">
        <v>18</v>
      </c>
      <c r="E25" t="s">
        <v>380</v>
      </c>
      <c r="F25" t="s">
        <v>654</v>
      </c>
      <c r="G25" t="s">
        <v>389</v>
      </c>
    </row>
    <row r="26" spans="1:7" x14ac:dyDescent="0.3">
      <c r="A26" t="s">
        <v>434</v>
      </c>
      <c r="B26" t="s">
        <v>435</v>
      </c>
      <c r="C26" t="s">
        <v>16</v>
      </c>
      <c r="D26" t="s">
        <v>18</v>
      </c>
      <c r="E26" t="s">
        <v>373</v>
      </c>
      <c r="F26" t="s">
        <v>654</v>
      </c>
      <c r="G26" t="s">
        <v>389</v>
      </c>
    </row>
    <row r="27" spans="1:7" x14ac:dyDescent="0.3">
      <c r="A27" t="s">
        <v>434</v>
      </c>
      <c r="B27" t="s">
        <v>435</v>
      </c>
      <c r="C27" t="s">
        <v>16</v>
      </c>
      <c r="D27" t="s">
        <v>18</v>
      </c>
      <c r="E27" t="s">
        <v>378</v>
      </c>
      <c r="F27" t="s">
        <v>654</v>
      </c>
      <c r="G27" t="s">
        <v>389</v>
      </c>
    </row>
    <row r="28" spans="1:7" x14ac:dyDescent="0.3">
      <c r="A28" t="s">
        <v>434</v>
      </c>
      <c r="B28" t="s">
        <v>435</v>
      </c>
      <c r="C28" t="s">
        <v>16</v>
      </c>
      <c r="D28" t="s">
        <v>18</v>
      </c>
      <c r="E28" t="s">
        <v>379</v>
      </c>
      <c r="F28" t="s">
        <v>654</v>
      </c>
      <c r="G28" t="s">
        <v>389</v>
      </c>
    </row>
    <row r="29" spans="1:7" x14ac:dyDescent="0.3">
      <c r="A29" t="s">
        <v>434</v>
      </c>
      <c r="B29" t="s">
        <v>435</v>
      </c>
      <c r="C29" t="s">
        <v>16</v>
      </c>
      <c r="D29" t="s">
        <v>18</v>
      </c>
      <c r="E29" t="s">
        <v>383</v>
      </c>
      <c r="F29" t="s">
        <v>654</v>
      </c>
      <c r="G29" t="s">
        <v>389</v>
      </c>
    </row>
    <row r="30" spans="1:7" x14ac:dyDescent="0.3">
      <c r="A30" t="s">
        <v>434</v>
      </c>
      <c r="B30" t="s">
        <v>435</v>
      </c>
      <c r="C30" t="s">
        <v>16</v>
      </c>
      <c r="D30" t="s">
        <v>18</v>
      </c>
      <c r="E30" t="s">
        <v>381</v>
      </c>
      <c r="F30" t="s">
        <v>654</v>
      </c>
      <c r="G30" t="s">
        <v>389</v>
      </c>
    </row>
    <row r="31" spans="1:7" x14ac:dyDescent="0.3">
      <c r="A31" t="s">
        <v>434</v>
      </c>
      <c r="B31" t="s">
        <v>435</v>
      </c>
      <c r="C31" t="s">
        <v>16</v>
      </c>
      <c r="D31" t="s">
        <v>18</v>
      </c>
      <c r="E31" t="s">
        <v>376</v>
      </c>
      <c r="F31" t="s">
        <v>654</v>
      </c>
      <c r="G31" t="s">
        <v>389</v>
      </c>
    </row>
    <row r="32" spans="1:7" x14ac:dyDescent="0.3">
      <c r="A32" t="s">
        <v>434</v>
      </c>
      <c r="B32" t="s">
        <v>435</v>
      </c>
      <c r="C32" t="s">
        <v>16</v>
      </c>
      <c r="D32" t="s">
        <v>18</v>
      </c>
      <c r="E32" t="s">
        <v>385</v>
      </c>
      <c r="F32" t="s">
        <v>654</v>
      </c>
      <c r="G32" t="s">
        <v>389</v>
      </c>
    </row>
    <row r="33" spans="1:7" x14ac:dyDescent="0.3">
      <c r="A33" t="s">
        <v>434</v>
      </c>
      <c r="B33" t="s">
        <v>435</v>
      </c>
      <c r="C33" t="s">
        <v>16</v>
      </c>
      <c r="D33" t="s">
        <v>18</v>
      </c>
      <c r="E33" t="s">
        <v>375</v>
      </c>
      <c r="F33" t="s">
        <v>654</v>
      </c>
      <c r="G33" t="s">
        <v>389</v>
      </c>
    </row>
    <row r="34" spans="1:7" x14ac:dyDescent="0.3">
      <c r="A34" t="s">
        <v>434</v>
      </c>
      <c r="B34" t="s">
        <v>435</v>
      </c>
      <c r="C34" t="s">
        <v>16</v>
      </c>
      <c r="D34" t="s">
        <v>18</v>
      </c>
      <c r="E34" t="s">
        <v>370</v>
      </c>
      <c r="F34" t="s">
        <v>654</v>
      </c>
      <c r="G34" t="s">
        <v>389</v>
      </c>
    </row>
    <row r="35" spans="1:7" x14ac:dyDescent="0.3">
      <c r="A35" t="s">
        <v>434</v>
      </c>
      <c r="B35" t="s">
        <v>435</v>
      </c>
      <c r="C35" t="s">
        <v>16</v>
      </c>
      <c r="D35" t="s">
        <v>18</v>
      </c>
      <c r="E35" t="s">
        <v>374</v>
      </c>
      <c r="F35" t="s">
        <v>654</v>
      </c>
      <c r="G35" t="s">
        <v>389</v>
      </c>
    </row>
    <row r="36" spans="1:7" x14ac:dyDescent="0.3">
      <c r="A36" t="s">
        <v>434</v>
      </c>
      <c r="B36" t="s">
        <v>435</v>
      </c>
      <c r="C36" t="s">
        <v>16</v>
      </c>
      <c r="D36" t="s">
        <v>18</v>
      </c>
      <c r="E36" t="s">
        <v>377</v>
      </c>
      <c r="F36" t="s">
        <v>654</v>
      </c>
      <c r="G36" t="s">
        <v>389</v>
      </c>
    </row>
    <row r="37" spans="1:7" x14ac:dyDescent="0.3">
      <c r="A37" t="s">
        <v>434</v>
      </c>
      <c r="B37" t="s">
        <v>435</v>
      </c>
      <c r="C37" t="s">
        <v>16</v>
      </c>
      <c r="D37" t="s">
        <v>18</v>
      </c>
      <c r="E37" t="s">
        <v>382</v>
      </c>
      <c r="F37" t="s">
        <v>654</v>
      </c>
      <c r="G37" t="s">
        <v>389</v>
      </c>
    </row>
    <row r="38" spans="1:7" x14ac:dyDescent="0.3">
      <c r="A38" t="s">
        <v>434</v>
      </c>
      <c r="B38" t="s">
        <v>527</v>
      </c>
      <c r="C38" t="s">
        <v>20</v>
      </c>
      <c r="D38" t="s">
        <v>16</v>
      </c>
      <c r="E38" t="s">
        <v>15</v>
      </c>
      <c r="F38" t="s">
        <v>656</v>
      </c>
      <c r="G38" t="s">
        <v>389</v>
      </c>
    </row>
    <row r="39" spans="1:7" x14ac:dyDescent="0.3">
      <c r="A39" t="s">
        <v>434</v>
      </c>
      <c r="B39" t="s">
        <v>527</v>
      </c>
      <c r="C39" t="s">
        <v>16</v>
      </c>
      <c r="D39" t="s">
        <v>411</v>
      </c>
      <c r="E39" t="s">
        <v>371</v>
      </c>
      <c r="F39" t="s">
        <v>656</v>
      </c>
      <c r="G39" t="s">
        <v>389</v>
      </c>
    </row>
    <row r="40" spans="1:7" x14ac:dyDescent="0.3">
      <c r="A40" t="s">
        <v>434</v>
      </c>
      <c r="B40" t="s">
        <v>527</v>
      </c>
      <c r="C40" t="s">
        <v>16</v>
      </c>
      <c r="D40" t="s">
        <v>411</v>
      </c>
      <c r="E40" t="s">
        <v>384</v>
      </c>
      <c r="F40" t="s">
        <v>656</v>
      </c>
      <c r="G40" t="s">
        <v>389</v>
      </c>
    </row>
    <row r="41" spans="1:7" x14ac:dyDescent="0.3">
      <c r="A41" t="s">
        <v>434</v>
      </c>
      <c r="B41" t="s">
        <v>527</v>
      </c>
      <c r="C41" t="s">
        <v>16</v>
      </c>
      <c r="D41" t="s">
        <v>411</v>
      </c>
      <c r="E41" t="s">
        <v>372</v>
      </c>
      <c r="F41" t="s">
        <v>656</v>
      </c>
      <c r="G41" t="s">
        <v>389</v>
      </c>
    </row>
    <row r="42" spans="1:7" x14ac:dyDescent="0.3">
      <c r="A42" t="s">
        <v>434</v>
      </c>
      <c r="B42" t="s">
        <v>527</v>
      </c>
      <c r="C42" t="s">
        <v>16</v>
      </c>
      <c r="D42" t="s">
        <v>411</v>
      </c>
      <c r="E42" t="s">
        <v>380</v>
      </c>
      <c r="F42" t="s">
        <v>656</v>
      </c>
      <c r="G42" t="s">
        <v>389</v>
      </c>
    </row>
    <row r="43" spans="1:7" x14ac:dyDescent="0.3">
      <c r="A43" t="s">
        <v>434</v>
      </c>
      <c r="B43" t="s">
        <v>527</v>
      </c>
      <c r="C43" t="s">
        <v>16</v>
      </c>
      <c r="D43" t="s">
        <v>411</v>
      </c>
      <c r="E43" t="s">
        <v>373</v>
      </c>
      <c r="F43" t="s">
        <v>656</v>
      </c>
      <c r="G43" t="s">
        <v>389</v>
      </c>
    </row>
    <row r="44" spans="1:7" x14ac:dyDescent="0.3">
      <c r="A44" t="s">
        <v>434</v>
      </c>
      <c r="B44" t="s">
        <v>527</v>
      </c>
      <c r="C44" t="s">
        <v>16</v>
      </c>
      <c r="D44" t="s">
        <v>411</v>
      </c>
      <c r="E44" t="s">
        <v>378</v>
      </c>
      <c r="F44" t="s">
        <v>656</v>
      </c>
      <c r="G44" t="s">
        <v>389</v>
      </c>
    </row>
    <row r="45" spans="1:7" x14ac:dyDescent="0.3">
      <c r="A45" t="s">
        <v>434</v>
      </c>
      <c r="B45" t="s">
        <v>527</v>
      </c>
      <c r="C45" t="s">
        <v>16</v>
      </c>
      <c r="D45" t="s">
        <v>411</v>
      </c>
      <c r="E45" t="s">
        <v>379</v>
      </c>
      <c r="F45" t="s">
        <v>656</v>
      </c>
      <c r="G45" t="s">
        <v>389</v>
      </c>
    </row>
    <row r="46" spans="1:7" x14ac:dyDescent="0.3">
      <c r="A46" t="s">
        <v>434</v>
      </c>
      <c r="B46" t="s">
        <v>527</v>
      </c>
      <c r="C46" t="s">
        <v>16</v>
      </c>
      <c r="D46" t="s">
        <v>411</v>
      </c>
      <c r="E46" t="s">
        <v>383</v>
      </c>
      <c r="F46" t="s">
        <v>656</v>
      </c>
      <c r="G46" t="s">
        <v>389</v>
      </c>
    </row>
    <row r="47" spans="1:7" x14ac:dyDescent="0.3">
      <c r="A47" t="s">
        <v>434</v>
      </c>
      <c r="B47" t="s">
        <v>527</v>
      </c>
      <c r="C47" t="s">
        <v>16</v>
      </c>
      <c r="D47" t="s">
        <v>411</v>
      </c>
      <c r="E47" t="s">
        <v>381</v>
      </c>
      <c r="F47" t="s">
        <v>656</v>
      </c>
      <c r="G47" t="s">
        <v>389</v>
      </c>
    </row>
    <row r="48" spans="1:7" x14ac:dyDescent="0.3">
      <c r="A48" t="s">
        <v>434</v>
      </c>
      <c r="B48" t="s">
        <v>527</v>
      </c>
      <c r="C48" t="s">
        <v>16</v>
      </c>
      <c r="D48" t="s">
        <v>411</v>
      </c>
      <c r="E48" t="s">
        <v>376</v>
      </c>
      <c r="F48" t="s">
        <v>656</v>
      </c>
      <c r="G48" t="s">
        <v>389</v>
      </c>
    </row>
    <row r="49" spans="1:7" x14ac:dyDescent="0.3">
      <c r="A49" t="s">
        <v>434</v>
      </c>
      <c r="B49" t="s">
        <v>527</v>
      </c>
      <c r="C49" t="s">
        <v>16</v>
      </c>
      <c r="D49" t="s">
        <v>411</v>
      </c>
      <c r="E49" t="s">
        <v>385</v>
      </c>
      <c r="F49" t="s">
        <v>656</v>
      </c>
      <c r="G49" t="s">
        <v>389</v>
      </c>
    </row>
    <row r="50" spans="1:7" x14ac:dyDescent="0.3">
      <c r="A50" t="s">
        <v>434</v>
      </c>
      <c r="B50" t="s">
        <v>527</v>
      </c>
      <c r="C50" t="s">
        <v>16</v>
      </c>
      <c r="D50" t="s">
        <v>411</v>
      </c>
      <c r="E50" t="s">
        <v>375</v>
      </c>
      <c r="F50" t="s">
        <v>656</v>
      </c>
      <c r="G50" t="s">
        <v>389</v>
      </c>
    </row>
    <row r="51" spans="1:7" x14ac:dyDescent="0.3">
      <c r="A51" t="s">
        <v>434</v>
      </c>
      <c r="B51" t="s">
        <v>527</v>
      </c>
      <c r="C51" t="s">
        <v>16</v>
      </c>
      <c r="D51" t="s">
        <v>411</v>
      </c>
      <c r="E51" t="s">
        <v>370</v>
      </c>
      <c r="F51" t="s">
        <v>656</v>
      </c>
      <c r="G51" t="s">
        <v>389</v>
      </c>
    </row>
    <row r="52" spans="1:7" x14ac:dyDescent="0.3">
      <c r="A52" t="s">
        <v>434</v>
      </c>
      <c r="B52" t="s">
        <v>527</v>
      </c>
      <c r="C52" t="s">
        <v>16</v>
      </c>
      <c r="D52" t="s">
        <v>411</v>
      </c>
      <c r="E52" t="s">
        <v>374</v>
      </c>
      <c r="F52" t="s">
        <v>656</v>
      </c>
      <c r="G52" t="s">
        <v>389</v>
      </c>
    </row>
    <row r="53" spans="1:7" x14ac:dyDescent="0.3">
      <c r="A53" t="s">
        <v>434</v>
      </c>
      <c r="B53" t="s">
        <v>527</v>
      </c>
      <c r="C53" t="s">
        <v>16</v>
      </c>
      <c r="D53" t="s">
        <v>411</v>
      </c>
      <c r="E53" t="s">
        <v>377</v>
      </c>
      <c r="F53" t="s">
        <v>656</v>
      </c>
      <c r="G53" t="s">
        <v>389</v>
      </c>
    </row>
    <row r="54" spans="1:7" x14ac:dyDescent="0.3">
      <c r="A54" t="s">
        <v>434</v>
      </c>
      <c r="B54" t="s">
        <v>527</v>
      </c>
      <c r="C54" t="s">
        <v>16</v>
      </c>
      <c r="D54" t="s">
        <v>411</v>
      </c>
      <c r="E54" t="s">
        <v>382</v>
      </c>
      <c r="F54" t="s">
        <v>656</v>
      </c>
      <c r="G54" t="s">
        <v>389</v>
      </c>
    </row>
    <row r="55" spans="1:7" x14ac:dyDescent="0.3">
      <c r="A55" t="s">
        <v>475</v>
      </c>
      <c r="B55" t="s">
        <v>474</v>
      </c>
      <c r="C55" t="s">
        <v>20</v>
      </c>
      <c r="D55" t="s">
        <v>18</v>
      </c>
      <c r="E55" t="s">
        <v>15</v>
      </c>
      <c r="F55" t="s">
        <v>655</v>
      </c>
      <c r="G55" t="s">
        <v>389</v>
      </c>
    </row>
    <row r="56" spans="1:7" x14ac:dyDescent="0.3">
      <c r="A56" t="s">
        <v>475</v>
      </c>
      <c r="B56" t="s">
        <v>474</v>
      </c>
      <c r="C56" t="s">
        <v>16</v>
      </c>
      <c r="D56" t="s">
        <v>18</v>
      </c>
      <c r="E56" t="s">
        <v>371</v>
      </c>
      <c r="F56" t="s">
        <v>655</v>
      </c>
      <c r="G56" t="s">
        <v>389</v>
      </c>
    </row>
    <row r="57" spans="1:7" x14ac:dyDescent="0.3">
      <c r="A57" t="s">
        <v>475</v>
      </c>
      <c r="B57" t="s">
        <v>474</v>
      </c>
      <c r="C57" t="s">
        <v>16</v>
      </c>
      <c r="D57" t="s">
        <v>18</v>
      </c>
      <c r="E57" t="s">
        <v>384</v>
      </c>
      <c r="F57" t="s">
        <v>655</v>
      </c>
      <c r="G57" t="s">
        <v>389</v>
      </c>
    </row>
    <row r="58" spans="1:7" x14ac:dyDescent="0.3">
      <c r="A58" t="s">
        <v>475</v>
      </c>
      <c r="B58" t="s">
        <v>474</v>
      </c>
      <c r="C58" t="s">
        <v>16</v>
      </c>
      <c r="D58" t="s">
        <v>18</v>
      </c>
      <c r="E58" t="s">
        <v>372</v>
      </c>
      <c r="F58" t="s">
        <v>655</v>
      </c>
      <c r="G58" t="s">
        <v>389</v>
      </c>
    </row>
    <row r="59" spans="1:7" x14ac:dyDescent="0.3">
      <c r="A59" t="s">
        <v>475</v>
      </c>
      <c r="B59" t="s">
        <v>474</v>
      </c>
      <c r="C59" t="s">
        <v>16</v>
      </c>
      <c r="D59" t="s">
        <v>18</v>
      </c>
      <c r="E59" t="s">
        <v>380</v>
      </c>
      <c r="F59" t="s">
        <v>655</v>
      </c>
      <c r="G59" t="s">
        <v>389</v>
      </c>
    </row>
    <row r="60" spans="1:7" x14ac:dyDescent="0.3">
      <c r="A60" t="s">
        <v>475</v>
      </c>
      <c r="B60" t="s">
        <v>474</v>
      </c>
      <c r="C60" t="s">
        <v>16</v>
      </c>
      <c r="D60" t="s">
        <v>18</v>
      </c>
      <c r="E60" t="s">
        <v>373</v>
      </c>
      <c r="F60" t="s">
        <v>655</v>
      </c>
      <c r="G60" t="s">
        <v>389</v>
      </c>
    </row>
    <row r="61" spans="1:7" x14ac:dyDescent="0.3">
      <c r="A61" t="s">
        <v>475</v>
      </c>
      <c r="B61" t="s">
        <v>474</v>
      </c>
      <c r="C61" t="s">
        <v>16</v>
      </c>
      <c r="D61" t="s">
        <v>18</v>
      </c>
      <c r="E61" t="s">
        <v>378</v>
      </c>
      <c r="F61" t="s">
        <v>655</v>
      </c>
      <c r="G61" t="s">
        <v>389</v>
      </c>
    </row>
    <row r="62" spans="1:7" x14ac:dyDescent="0.3">
      <c r="A62" t="s">
        <v>475</v>
      </c>
      <c r="B62" t="s">
        <v>474</v>
      </c>
      <c r="C62" t="s">
        <v>16</v>
      </c>
      <c r="D62" t="s">
        <v>18</v>
      </c>
      <c r="E62" t="s">
        <v>379</v>
      </c>
      <c r="F62" t="s">
        <v>655</v>
      </c>
      <c r="G62" t="s">
        <v>389</v>
      </c>
    </row>
    <row r="63" spans="1:7" x14ac:dyDescent="0.3">
      <c r="A63" t="s">
        <v>475</v>
      </c>
      <c r="B63" t="s">
        <v>474</v>
      </c>
      <c r="C63" t="s">
        <v>16</v>
      </c>
      <c r="D63" t="s">
        <v>18</v>
      </c>
      <c r="E63" t="s">
        <v>383</v>
      </c>
      <c r="F63" t="s">
        <v>655</v>
      </c>
      <c r="G63" t="s">
        <v>389</v>
      </c>
    </row>
    <row r="64" spans="1:7" x14ac:dyDescent="0.3">
      <c r="A64" t="s">
        <v>475</v>
      </c>
      <c r="B64" t="s">
        <v>474</v>
      </c>
      <c r="C64" t="s">
        <v>16</v>
      </c>
      <c r="D64" t="s">
        <v>18</v>
      </c>
      <c r="E64" t="s">
        <v>381</v>
      </c>
      <c r="F64" t="s">
        <v>655</v>
      </c>
      <c r="G64" t="s">
        <v>389</v>
      </c>
    </row>
    <row r="65" spans="1:7" x14ac:dyDescent="0.3">
      <c r="A65" t="s">
        <v>475</v>
      </c>
      <c r="B65" t="s">
        <v>474</v>
      </c>
      <c r="C65" t="s">
        <v>16</v>
      </c>
      <c r="D65" t="s">
        <v>18</v>
      </c>
      <c r="E65" t="s">
        <v>376</v>
      </c>
      <c r="F65" t="s">
        <v>655</v>
      </c>
      <c r="G65" t="s">
        <v>389</v>
      </c>
    </row>
    <row r="66" spans="1:7" x14ac:dyDescent="0.3">
      <c r="A66" t="s">
        <v>475</v>
      </c>
      <c r="B66" t="s">
        <v>474</v>
      </c>
      <c r="C66" t="s">
        <v>16</v>
      </c>
      <c r="D66" t="s">
        <v>18</v>
      </c>
      <c r="E66" t="s">
        <v>385</v>
      </c>
      <c r="F66" t="s">
        <v>655</v>
      </c>
      <c r="G66" t="s">
        <v>389</v>
      </c>
    </row>
    <row r="67" spans="1:7" x14ac:dyDescent="0.3">
      <c r="A67" t="s">
        <v>475</v>
      </c>
      <c r="B67" t="s">
        <v>474</v>
      </c>
      <c r="C67" t="s">
        <v>16</v>
      </c>
      <c r="D67" t="s">
        <v>18</v>
      </c>
      <c r="E67" t="s">
        <v>375</v>
      </c>
      <c r="F67" t="s">
        <v>655</v>
      </c>
      <c r="G67" t="s">
        <v>389</v>
      </c>
    </row>
    <row r="68" spans="1:7" x14ac:dyDescent="0.3">
      <c r="A68" t="s">
        <v>475</v>
      </c>
      <c r="B68" t="s">
        <v>474</v>
      </c>
      <c r="C68" t="s">
        <v>16</v>
      </c>
      <c r="D68" t="s">
        <v>18</v>
      </c>
      <c r="E68" t="s">
        <v>370</v>
      </c>
      <c r="F68" t="s">
        <v>655</v>
      </c>
      <c r="G68" t="s">
        <v>389</v>
      </c>
    </row>
    <row r="69" spans="1:7" x14ac:dyDescent="0.3">
      <c r="A69" t="s">
        <v>475</v>
      </c>
      <c r="B69" t="s">
        <v>474</v>
      </c>
      <c r="C69" t="s">
        <v>16</v>
      </c>
      <c r="D69" t="s">
        <v>18</v>
      </c>
      <c r="E69" t="s">
        <v>374</v>
      </c>
      <c r="F69" t="s">
        <v>655</v>
      </c>
      <c r="G69" t="s">
        <v>389</v>
      </c>
    </row>
    <row r="70" spans="1:7" x14ac:dyDescent="0.3">
      <c r="A70" t="s">
        <v>475</v>
      </c>
      <c r="B70" t="s">
        <v>474</v>
      </c>
      <c r="C70" t="s">
        <v>16</v>
      </c>
      <c r="D70" t="s">
        <v>18</v>
      </c>
      <c r="E70" t="s">
        <v>377</v>
      </c>
      <c r="F70" t="s">
        <v>655</v>
      </c>
      <c r="G70" t="s">
        <v>389</v>
      </c>
    </row>
    <row r="71" spans="1:7" x14ac:dyDescent="0.3">
      <c r="A71" t="s">
        <v>475</v>
      </c>
      <c r="B71" t="s">
        <v>474</v>
      </c>
      <c r="C71" t="s">
        <v>16</v>
      </c>
      <c r="D71" t="s">
        <v>18</v>
      </c>
      <c r="E71" t="s">
        <v>382</v>
      </c>
      <c r="F71" t="s">
        <v>655</v>
      </c>
      <c r="G71" t="s">
        <v>389</v>
      </c>
    </row>
    <row r="72" spans="1:7" x14ac:dyDescent="0.3">
      <c r="A72" t="s">
        <v>505</v>
      </c>
      <c r="B72" t="s">
        <v>407</v>
      </c>
      <c r="C72" t="s">
        <v>20</v>
      </c>
      <c r="D72" t="s">
        <v>18</v>
      </c>
      <c r="E72" t="s">
        <v>15</v>
      </c>
      <c r="F72" t="s">
        <v>431</v>
      </c>
      <c r="G72" t="s">
        <v>389</v>
      </c>
    </row>
    <row r="73" spans="1:7" x14ac:dyDescent="0.3">
      <c r="A73" t="s">
        <v>505</v>
      </c>
      <c r="B73" t="s">
        <v>407</v>
      </c>
      <c r="C73" t="s">
        <v>16</v>
      </c>
      <c r="D73" t="s">
        <v>18</v>
      </c>
      <c r="E73" t="s">
        <v>371</v>
      </c>
      <c r="F73" t="s">
        <v>431</v>
      </c>
      <c r="G73" t="s">
        <v>389</v>
      </c>
    </row>
    <row r="74" spans="1:7" x14ac:dyDescent="0.3">
      <c r="A74" t="s">
        <v>505</v>
      </c>
      <c r="B74" t="s">
        <v>407</v>
      </c>
      <c r="C74" t="s">
        <v>16</v>
      </c>
      <c r="D74" t="s">
        <v>18</v>
      </c>
      <c r="E74" t="s">
        <v>384</v>
      </c>
      <c r="F74" t="s">
        <v>431</v>
      </c>
      <c r="G74" t="s">
        <v>389</v>
      </c>
    </row>
    <row r="75" spans="1:7" x14ac:dyDescent="0.3">
      <c r="A75" t="s">
        <v>505</v>
      </c>
      <c r="B75" t="s">
        <v>407</v>
      </c>
      <c r="C75" t="s">
        <v>16</v>
      </c>
      <c r="D75" t="s">
        <v>18</v>
      </c>
      <c r="E75" t="s">
        <v>372</v>
      </c>
      <c r="F75" t="s">
        <v>431</v>
      </c>
      <c r="G75" t="s">
        <v>389</v>
      </c>
    </row>
    <row r="76" spans="1:7" x14ac:dyDescent="0.3">
      <c r="A76" t="s">
        <v>505</v>
      </c>
      <c r="B76" t="s">
        <v>407</v>
      </c>
      <c r="C76" t="s">
        <v>16</v>
      </c>
      <c r="D76" t="s">
        <v>18</v>
      </c>
      <c r="E76" t="s">
        <v>380</v>
      </c>
      <c r="F76" t="s">
        <v>431</v>
      </c>
      <c r="G76" t="s">
        <v>389</v>
      </c>
    </row>
    <row r="77" spans="1:7" x14ac:dyDescent="0.3">
      <c r="A77" t="s">
        <v>505</v>
      </c>
      <c r="B77" t="s">
        <v>407</v>
      </c>
      <c r="C77" t="s">
        <v>16</v>
      </c>
      <c r="D77" t="s">
        <v>18</v>
      </c>
      <c r="E77" t="s">
        <v>373</v>
      </c>
      <c r="F77" t="s">
        <v>431</v>
      </c>
      <c r="G77" t="s">
        <v>389</v>
      </c>
    </row>
    <row r="78" spans="1:7" x14ac:dyDescent="0.3">
      <c r="A78" t="s">
        <v>505</v>
      </c>
      <c r="B78" t="s">
        <v>407</v>
      </c>
      <c r="C78" t="s">
        <v>16</v>
      </c>
      <c r="D78" t="s">
        <v>18</v>
      </c>
      <c r="E78" t="s">
        <v>378</v>
      </c>
      <c r="F78" t="s">
        <v>431</v>
      </c>
      <c r="G78" t="s">
        <v>389</v>
      </c>
    </row>
    <row r="79" spans="1:7" x14ac:dyDescent="0.3">
      <c r="A79" t="s">
        <v>505</v>
      </c>
      <c r="B79" t="s">
        <v>407</v>
      </c>
      <c r="C79" t="s">
        <v>16</v>
      </c>
      <c r="D79" t="s">
        <v>18</v>
      </c>
      <c r="E79" t="s">
        <v>379</v>
      </c>
      <c r="F79" t="s">
        <v>431</v>
      </c>
      <c r="G79" t="s">
        <v>389</v>
      </c>
    </row>
    <row r="80" spans="1:7" x14ac:dyDescent="0.3">
      <c r="A80" t="s">
        <v>505</v>
      </c>
      <c r="B80" t="s">
        <v>407</v>
      </c>
      <c r="C80" t="s">
        <v>16</v>
      </c>
      <c r="D80" t="s">
        <v>18</v>
      </c>
      <c r="E80" t="s">
        <v>383</v>
      </c>
      <c r="F80" t="s">
        <v>431</v>
      </c>
      <c r="G80" t="s">
        <v>389</v>
      </c>
    </row>
    <row r="81" spans="1:7" x14ac:dyDescent="0.3">
      <c r="A81" t="s">
        <v>505</v>
      </c>
      <c r="B81" t="s">
        <v>407</v>
      </c>
      <c r="C81" t="s">
        <v>16</v>
      </c>
      <c r="D81" t="s">
        <v>18</v>
      </c>
      <c r="E81" t="s">
        <v>381</v>
      </c>
      <c r="F81" t="s">
        <v>431</v>
      </c>
      <c r="G81" t="s">
        <v>389</v>
      </c>
    </row>
    <row r="82" spans="1:7" x14ac:dyDescent="0.3">
      <c r="A82" t="s">
        <v>505</v>
      </c>
      <c r="B82" t="s">
        <v>407</v>
      </c>
      <c r="C82" t="s">
        <v>16</v>
      </c>
      <c r="D82" t="s">
        <v>18</v>
      </c>
      <c r="E82" t="s">
        <v>376</v>
      </c>
      <c r="F82" t="s">
        <v>431</v>
      </c>
      <c r="G82" t="s">
        <v>389</v>
      </c>
    </row>
    <row r="83" spans="1:7" x14ac:dyDescent="0.3">
      <c r="A83" t="s">
        <v>505</v>
      </c>
      <c r="B83" t="s">
        <v>407</v>
      </c>
      <c r="C83" t="s">
        <v>16</v>
      </c>
      <c r="D83" t="s">
        <v>18</v>
      </c>
      <c r="E83" t="s">
        <v>385</v>
      </c>
      <c r="F83" t="s">
        <v>431</v>
      </c>
      <c r="G83" t="s">
        <v>389</v>
      </c>
    </row>
    <row r="84" spans="1:7" x14ac:dyDescent="0.3">
      <c r="A84" t="s">
        <v>505</v>
      </c>
      <c r="B84" t="s">
        <v>407</v>
      </c>
      <c r="C84" t="s">
        <v>16</v>
      </c>
      <c r="D84" t="s">
        <v>18</v>
      </c>
      <c r="E84" t="s">
        <v>375</v>
      </c>
      <c r="F84" t="s">
        <v>431</v>
      </c>
      <c r="G84" t="s">
        <v>389</v>
      </c>
    </row>
    <row r="85" spans="1:7" x14ac:dyDescent="0.3">
      <c r="A85" t="s">
        <v>505</v>
      </c>
      <c r="B85" t="s">
        <v>407</v>
      </c>
      <c r="C85" t="s">
        <v>16</v>
      </c>
      <c r="D85" t="s">
        <v>18</v>
      </c>
      <c r="E85" t="s">
        <v>370</v>
      </c>
      <c r="F85" t="s">
        <v>431</v>
      </c>
      <c r="G85" t="s">
        <v>389</v>
      </c>
    </row>
    <row r="86" spans="1:7" x14ac:dyDescent="0.3">
      <c r="A86" t="s">
        <v>505</v>
      </c>
      <c r="B86" t="s">
        <v>407</v>
      </c>
      <c r="C86" t="s">
        <v>16</v>
      </c>
      <c r="D86" t="s">
        <v>18</v>
      </c>
      <c r="E86" t="s">
        <v>374</v>
      </c>
      <c r="F86" t="s">
        <v>431</v>
      </c>
      <c r="G86" t="s">
        <v>389</v>
      </c>
    </row>
    <row r="87" spans="1:7" x14ac:dyDescent="0.3">
      <c r="A87" t="s">
        <v>505</v>
      </c>
      <c r="B87" t="s">
        <v>407</v>
      </c>
      <c r="C87" t="s">
        <v>16</v>
      </c>
      <c r="D87" t="s">
        <v>18</v>
      </c>
      <c r="E87" t="s">
        <v>377</v>
      </c>
      <c r="F87" t="s">
        <v>431</v>
      </c>
      <c r="G87" t="s">
        <v>389</v>
      </c>
    </row>
    <row r="88" spans="1:7" x14ac:dyDescent="0.3">
      <c r="A88" t="s">
        <v>505</v>
      </c>
      <c r="B88" t="s">
        <v>407</v>
      </c>
      <c r="C88" t="s">
        <v>16</v>
      </c>
      <c r="D88" t="s">
        <v>18</v>
      </c>
      <c r="E88" t="s">
        <v>382</v>
      </c>
      <c r="F88" t="s">
        <v>431</v>
      </c>
      <c r="G88" t="s">
        <v>389</v>
      </c>
    </row>
    <row r="89" spans="1:7" x14ac:dyDescent="0.3">
      <c r="A89" t="s">
        <v>506</v>
      </c>
      <c r="B89" t="s">
        <v>407</v>
      </c>
      <c r="C89" t="s">
        <v>20</v>
      </c>
      <c r="D89" t="s">
        <v>18</v>
      </c>
      <c r="E89" t="s">
        <v>15</v>
      </c>
      <c r="F89" t="s">
        <v>431</v>
      </c>
      <c r="G89" t="s">
        <v>389</v>
      </c>
    </row>
    <row r="90" spans="1:7" x14ac:dyDescent="0.3">
      <c r="A90" t="s">
        <v>506</v>
      </c>
      <c r="B90" t="s">
        <v>407</v>
      </c>
      <c r="C90" t="s">
        <v>16</v>
      </c>
      <c r="D90" t="s">
        <v>18</v>
      </c>
      <c r="E90" t="s">
        <v>371</v>
      </c>
      <c r="F90" t="s">
        <v>431</v>
      </c>
      <c r="G90" t="s">
        <v>389</v>
      </c>
    </row>
    <row r="91" spans="1:7" x14ac:dyDescent="0.3">
      <c r="A91" t="s">
        <v>506</v>
      </c>
      <c r="B91" t="s">
        <v>407</v>
      </c>
      <c r="C91" t="s">
        <v>16</v>
      </c>
      <c r="D91" t="s">
        <v>18</v>
      </c>
      <c r="E91" t="s">
        <v>384</v>
      </c>
      <c r="F91" t="s">
        <v>431</v>
      </c>
      <c r="G91" t="s">
        <v>389</v>
      </c>
    </row>
    <row r="92" spans="1:7" x14ac:dyDescent="0.3">
      <c r="A92" t="s">
        <v>506</v>
      </c>
      <c r="B92" t="s">
        <v>407</v>
      </c>
      <c r="C92" t="s">
        <v>16</v>
      </c>
      <c r="D92" t="s">
        <v>18</v>
      </c>
      <c r="E92" t="s">
        <v>372</v>
      </c>
      <c r="F92" t="s">
        <v>431</v>
      </c>
      <c r="G92" t="s">
        <v>389</v>
      </c>
    </row>
    <row r="93" spans="1:7" x14ac:dyDescent="0.3">
      <c r="A93" t="s">
        <v>506</v>
      </c>
      <c r="B93" t="s">
        <v>407</v>
      </c>
      <c r="C93" t="s">
        <v>16</v>
      </c>
      <c r="D93" t="s">
        <v>18</v>
      </c>
      <c r="E93" t="s">
        <v>380</v>
      </c>
      <c r="F93" t="s">
        <v>431</v>
      </c>
      <c r="G93" t="s">
        <v>389</v>
      </c>
    </row>
    <row r="94" spans="1:7" x14ac:dyDescent="0.3">
      <c r="A94" t="s">
        <v>506</v>
      </c>
      <c r="B94" t="s">
        <v>407</v>
      </c>
      <c r="C94" t="s">
        <v>16</v>
      </c>
      <c r="D94" t="s">
        <v>18</v>
      </c>
      <c r="E94" t="s">
        <v>373</v>
      </c>
      <c r="F94" t="s">
        <v>431</v>
      </c>
      <c r="G94" t="s">
        <v>389</v>
      </c>
    </row>
    <row r="95" spans="1:7" x14ac:dyDescent="0.3">
      <c r="A95" t="s">
        <v>506</v>
      </c>
      <c r="B95" t="s">
        <v>407</v>
      </c>
      <c r="C95" t="s">
        <v>16</v>
      </c>
      <c r="D95" t="s">
        <v>18</v>
      </c>
      <c r="E95" t="s">
        <v>378</v>
      </c>
      <c r="F95" t="s">
        <v>431</v>
      </c>
      <c r="G95" t="s">
        <v>389</v>
      </c>
    </row>
    <row r="96" spans="1:7" x14ac:dyDescent="0.3">
      <c r="A96" t="s">
        <v>506</v>
      </c>
      <c r="B96" t="s">
        <v>407</v>
      </c>
      <c r="C96" t="s">
        <v>16</v>
      </c>
      <c r="D96" t="s">
        <v>18</v>
      </c>
      <c r="E96" t="s">
        <v>379</v>
      </c>
      <c r="F96" t="s">
        <v>431</v>
      </c>
      <c r="G96" t="s">
        <v>389</v>
      </c>
    </row>
    <row r="97" spans="1:7" x14ac:dyDescent="0.3">
      <c r="A97" t="s">
        <v>506</v>
      </c>
      <c r="B97" t="s">
        <v>407</v>
      </c>
      <c r="C97" t="s">
        <v>16</v>
      </c>
      <c r="D97" t="s">
        <v>18</v>
      </c>
      <c r="E97" t="s">
        <v>383</v>
      </c>
      <c r="F97" t="s">
        <v>431</v>
      </c>
      <c r="G97" t="s">
        <v>389</v>
      </c>
    </row>
    <row r="98" spans="1:7" x14ac:dyDescent="0.3">
      <c r="A98" t="s">
        <v>506</v>
      </c>
      <c r="B98" t="s">
        <v>407</v>
      </c>
      <c r="C98" t="s">
        <v>16</v>
      </c>
      <c r="D98" t="s">
        <v>18</v>
      </c>
      <c r="E98" t="s">
        <v>381</v>
      </c>
      <c r="F98" t="s">
        <v>431</v>
      </c>
      <c r="G98" t="s">
        <v>389</v>
      </c>
    </row>
    <row r="99" spans="1:7" x14ac:dyDescent="0.3">
      <c r="A99" t="s">
        <v>506</v>
      </c>
      <c r="B99" t="s">
        <v>407</v>
      </c>
      <c r="C99" t="s">
        <v>16</v>
      </c>
      <c r="D99" t="s">
        <v>18</v>
      </c>
      <c r="E99" t="s">
        <v>376</v>
      </c>
      <c r="F99" t="s">
        <v>431</v>
      </c>
      <c r="G99" t="s">
        <v>389</v>
      </c>
    </row>
    <row r="100" spans="1:7" x14ac:dyDescent="0.3">
      <c r="A100" t="s">
        <v>506</v>
      </c>
      <c r="B100" t="s">
        <v>407</v>
      </c>
      <c r="C100" t="s">
        <v>16</v>
      </c>
      <c r="D100" t="s">
        <v>18</v>
      </c>
      <c r="E100" t="s">
        <v>385</v>
      </c>
      <c r="F100" t="s">
        <v>431</v>
      </c>
      <c r="G100" t="s">
        <v>389</v>
      </c>
    </row>
    <row r="101" spans="1:7" x14ac:dyDescent="0.3">
      <c r="A101" t="s">
        <v>506</v>
      </c>
      <c r="B101" t="s">
        <v>407</v>
      </c>
      <c r="C101" t="s">
        <v>16</v>
      </c>
      <c r="D101" t="s">
        <v>18</v>
      </c>
      <c r="E101" t="s">
        <v>375</v>
      </c>
      <c r="F101" t="s">
        <v>431</v>
      </c>
      <c r="G101" t="s">
        <v>389</v>
      </c>
    </row>
    <row r="102" spans="1:7" x14ac:dyDescent="0.3">
      <c r="A102" t="s">
        <v>506</v>
      </c>
      <c r="B102" t="s">
        <v>407</v>
      </c>
      <c r="C102" t="s">
        <v>16</v>
      </c>
      <c r="D102" t="s">
        <v>18</v>
      </c>
      <c r="E102" t="s">
        <v>370</v>
      </c>
      <c r="F102" t="s">
        <v>431</v>
      </c>
      <c r="G102" t="s">
        <v>389</v>
      </c>
    </row>
    <row r="103" spans="1:7" x14ac:dyDescent="0.3">
      <c r="A103" t="s">
        <v>506</v>
      </c>
      <c r="B103" t="s">
        <v>407</v>
      </c>
      <c r="C103" t="s">
        <v>16</v>
      </c>
      <c r="D103" t="s">
        <v>18</v>
      </c>
      <c r="E103" t="s">
        <v>374</v>
      </c>
      <c r="F103" t="s">
        <v>431</v>
      </c>
      <c r="G103" t="s">
        <v>389</v>
      </c>
    </row>
    <row r="104" spans="1:7" x14ac:dyDescent="0.3">
      <c r="A104" t="s">
        <v>506</v>
      </c>
      <c r="B104" t="s">
        <v>407</v>
      </c>
      <c r="C104" t="s">
        <v>16</v>
      </c>
      <c r="D104" t="s">
        <v>18</v>
      </c>
      <c r="E104" t="s">
        <v>377</v>
      </c>
      <c r="F104" t="s">
        <v>431</v>
      </c>
      <c r="G104" t="s">
        <v>389</v>
      </c>
    </row>
    <row r="105" spans="1:7" x14ac:dyDescent="0.3">
      <c r="A105" t="s">
        <v>506</v>
      </c>
      <c r="B105" t="s">
        <v>407</v>
      </c>
      <c r="C105" t="s">
        <v>16</v>
      </c>
      <c r="D105" t="s">
        <v>18</v>
      </c>
      <c r="E105" t="s">
        <v>382</v>
      </c>
      <c r="F105" t="s">
        <v>431</v>
      </c>
      <c r="G105" t="s">
        <v>389</v>
      </c>
    </row>
    <row r="106" spans="1:7" x14ac:dyDescent="0.3">
      <c r="A106" t="s">
        <v>628</v>
      </c>
      <c r="B106" t="s">
        <v>629</v>
      </c>
      <c r="C106" t="s">
        <v>20</v>
      </c>
      <c r="D106" t="s">
        <v>18</v>
      </c>
      <c r="E106" t="s">
        <v>15</v>
      </c>
      <c r="F106" t="s">
        <v>631</v>
      </c>
      <c r="G106" t="s">
        <v>389</v>
      </c>
    </row>
    <row r="107" spans="1:7" x14ac:dyDescent="0.3">
      <c r="A107" t="s">
        <v>628</v>
      </c>
      <c r="B107" t="s">
        <v>629</v>
      </c>
      <c r="C107" t="s">
        <v>16</v>
      </c>
      <c r="D107" t="s">
        <v>18</v>
      </c>
      <c r="E107" t="s">
        <v>371</v>
      </c>
      <c r="F107" t="s">
        <v>631</v>
      </c>
      <c r="G107" t="s">
        <v>389</v>
      </c>
    </row>
    <row r="108" spans="1:7" x14ac:dyDescent="0.3">
      <c r="A108" t="s">
        <v>628</v>
      </c>
      <c r="B108" t="s">
        <v>629</v>
      </c>
      <c r="C108" t="s">
        <v>16</v>
      </c>
      <c r="D108" t="s">
        <v>18</v>
      </c>
      <c r="E108" t="s">
        <v>384</v>
      </c>
      <c r="F108" t="s">
        <v>631</v>
      </c>
      <c r="G108" t="s">
        <v>389</v>
      </c>
    </row>
    <row r="109" spans="1:7" x14ac:dyDescent="0.3">
      <c r="A109" t="s">
        <v>628</v>
      </c>
      <c r="B109" t="s">
        <v>629</v>
      </c>
      <c r="C109" t="s">
        <v>16</v>
      </c>
      <c r="D109" t="s">
        <v>18</v>
      </c>
      <c r="E109" t="s">
        <v>372</v>
      </c>
      <c r="F109" t="s">
        <v>631</v>
      </c>
      <c r="G109" t="s">
        <v>389</v>
      </c>
    </row>
    <row r="110" spans="1:7" x14ac:dyDescent="0.3">
      <c r="A110" t="s">
        <v>628</v>
      </c>
      <c r="B110" t="s">
        <v>629</v>
      </c>
      <c r="C110" t="s">
        <v>16</v>
      </c>
      <c r="D110" t="s">
        <v>18</v>
      </c>
      <c r="E110" t="s">
        <v>380</v>
      </c>
      <c r="F110" t="s">
        <v>631</v>
      </c>
      <c r="G110" t="s">
        <v>389</v>
      </c>
    </row>
    <row r="111" spans="1:7" x14ac:dyDescent="0.3">
      <c r="A111" t="s">
        <v>628</v>
      </c>
      <c r="B111" t="s">
        <v>629</v>
      </c>
      <c r="C111" t="s">
        <v>16</v>
      </c>
      <c r="D111" t="s">
        <v>18</v>
      </c>
      <c r="E111" t="s">
        <v>373</v>
      </c>
      <c r="F111" t="s">
        <v>631</v>
      </c>
      <c r="G111" t="s">
        <v>389</v>
      </c>
    </row>
    <row r="112" spans="1:7" x14ac:dyDescent="0.3">
      <c r="A112" t="s">
        <v>628</v>
      </c>
      <c r="B112" t="s">
        <v>629</v>
      </c>
      <c r="C112" t="s">
        <v>16</v>
      </c>
      <c r="D112" t="s">
        <v>18</v>
      </c>
      <c r="E112" t="s">
        <v>378</v>
      </c>
      <c r="F112" t="s">
        <v>631</v>
      </c>
      <c r="G112" t="s">
        <v>389</v>
      </c>
    </row>
    <row r="113" spans="1:7" x14ac:dyDescent="0.3">
      <c r="A113" t="s">
        <v>628</v>
      </c>
      <c r="B113" t="s">
        <v>629</v>
      </c>
      <c r="C113" t="s">
        <v>16</v>
      </c>
      <c r="D113" t="s">
        <v>18</v>
      </c>
      <c r="E113" t="s">
        <v>379</v>
      </c>
      <c r="F113" t="s">
        <v>631</v>
      </c>
      <c r="G113" t="s">
        <v>389</v>
      </c>
    </row>
    <row r="114" spans="1:7" x14ac:dyDescent="0.3">
      <c r="A114" t="s">
        <v>628</v>
      </c>
      <c r="B114" t="s">
        <v>629</v>
      </c>
      <c r="C114" t="s">
        <v>16</v>
      </c>
      <c r="D114" t="s">
        <v>18</v>
      </c>
      <c r="E114" t="s">
        <v>383</v>
      </c>
      <c r="F114" t="s">
        <v>631</v>
      </c>
      <c r="G114" t="s">
        <v>389</v>
      </c>
    </row>
    <row r="115" spans="1:7" x14ac:dyDescent="0.3">
      <c r="A115" t="s">
        <v>628</v>
      </c>
      <c r="B115" t="s">
        <v>629</v>
      </c>
      <c r="C115" t="s">
        <v>16</v>
      </c>
      <c r="D115" t="s">
        <v>18</v>
      </c>
      <c r="E115" t="s">
        <v>381</v>
      </c>
      <c r="F115" t="s">
        <v>631</v>
      </c>
      <c r="G115" t="s">
        <v>389</v>
      </c>
    </row>
    <row r="116" spans="1:7" x14ac:dyDescent="0.3">
      <c r="A116" t="s">
        <v>628</v>
      </c>
      <c r="B116" t="s">
        <v>629</v>
      </c>
      <c r="C116" t="s">
        <v>16</v>
      </c>
      <c r="D116" t="s">
        <v>18</v>
      </c>
      <c r="E116" t="s">
        <v>376</v>
      </c>
      <c r="F116" t="s">
        <v>631</v>
      </c>
      <c r="G116" t="s">
        <v>389</v>
      </c>
    </row>
    <row r="117" spans="1:7" x14ac:dyDescent="0.3">
      <c r="A117" t="s">
        <v>628</v>
      </c>
      <c r="B117" t="s">
        <v>629</v>
      </c>
      <c r="C117" t="s">
        <v>16</v>
      </c>
      <c r="D117" t="s">
        <v>18</v>
      </c>
      <c r="E117" t="s">
        <v>385</v>
      </c>
      <c r="F117" t="s">
        <v>631</v>
      </c>
      <c r="G117" t="s">
        <v>389</v>
      </c>
    </row>
    <row r="118" spans="1:7" x14ac:dyDescent="0.3">
      <c r="A118" t="s">
        <v>628</v>
      </c>
      <c r="B118" t="s">
        <v>629</v>
      </c>
      <c r="C118" t="s">
        <v>16</v>
      </c>
      <c r="D118" t="s">
        <v>18</v>
      </c>
      <c r="E118" t="s">
        <v>375</v>
      </c>
      <c r="F118" t="s">
        <v>631</v>
      </c>
      <c r="G118" t="s">
        <v>389</v>
      </c>
    </row>
    <row r="119" spans="1:7" x14ac:dyDescent="0.3">
      <c r="A119" t="s">
        <v>628</v>
      </c>
      <c r="B119" t="s">
        <v>629</v>
      </c>
      <c r="C119" t="s">
        <v>16</v>
      </c>
      <c r="D119" t="s">
        <v>18</v>
      </c>
      <c r="E119" t="s">
        <v>370</v>
      </c>
      <c r="F119" t="s">
        <v>631</v>
      </c>
      <c r="G119" t="s">
        <v>389</v>
      </c>
    </row>
    <row r="120" spans="1:7" x14ac:dyDescent="0.3">
      <c r="A120" t="s">
        <v>628</v>
      </c>
      <c r="B120" t="s">
        <v>629</v>
      </c>
      <c r="C120" t="s">
        <v>16</v>
      </c>
      <c r="D120" t="s">
        <v>18</v>
      </c>
      <c r="E120" t="s">
        <v>374</v>
      </c>
      <c r="F120" t="s">
        <v>631</v>
      </c>
      <c r="G120" t="s">
        <v>389</v>
      </c>
    </row>
    <row r="121" spans="1:7" x14ac:dyDescent="0.3">
      <c r="A121" t="s">
        <v>628</v>
      </c>
      <c r="B121" t="s">
        <v>629</v>
      </c>
      <c r="C121" t="s">
        <v>16</v>
      </c>
      <c r="D121" t="s">
        <v>18</v>
      </c>
      <c r="E121" t="s">
        <v>377</v>
      </c>
      <c r="F121" t="s">
        <v>631</v>
      </c>
      <c r="G121" t="s">
        <v>389</v>
      </c>
    </row>
    <row r="122" spans="1:7" x14ac:dyDescent="0.3">
      <c r="A122" t="s">
        <v>628</v>
      </c>
      <c r="B122" t="s">
        <v>629</v>
      </c>
      <c r="C122" t="s">
        <v>16</v>
      </c>
      <c r="D122" t="s">
        <v>18</v>
      </c>
      <c r="E122" t="s">
        <v>382</v>
      </c>
      <c r="F122" t="s">
        <v>631</v>
      </c>
      <c r="G122" t="s">
        <v>389</v>
      </c>
    </row>
    <row r="123" spans="1:7" x14ac:dyDescent="0.3">
      <c r="A123" t="s">
        <v>636</v>
      </c>
      <c r="B123" t="s">
        <v>637</v>
      </c>
      <c r="C123" t="s">
        <v>20</v>
      </c>
      <c r="D123" t="s">
        <v>16</v>
      </c>
      <c r="E123" t="s">
        <v>15</v>
      </c>
      <c r="F123" t="s">
        <v>658</v>
      </c>
      <c r="G123" t="s">
        <v>389</v>
      </c>
    </row>
    <row r="124" spans="1:7" x14ac:dyDescent="0.3">
      <c r="A124" t="s">
        <v>636</v>
      </c>
      <c r="B124" t="s">
        <v>637</v>
      </c>
      <c r="C124" t="s">
        <v>20</v>
      </c>
      <c r="D124" t="s">
        <v>411</v>
      </c>
      <c r="E124" t="s">
        <v>15</v>
      </c>
      <c r="F124" t="s">
        <v>15</v>
      </c>
      <c r="G124" t="s">
        <v>389</v>
      </c>
    </row>
    <row r="125" spans="1:7" x14ac:dyDescent="0.3">
      <c r="A125" t="s">
        <v>636</v>
      </c>
      <c r="B125" t="s">
        <v>637</v>
      </c>
      <c r="C125" t="s">
        <v>16</v>
      </c>
      <c r="D125" t="s">
        <v>411</v>
      </c>
      <c r="E125" t="s">
        <v>371</v>
      </c>
      <c r="F125" t="s">
        <v>658</v>
      </c>
      <c r="G125" t="s">
        <v>389</v>
      </c>
    </row>
    <row r="126" spans="1:7" x14ac:dyDescent="0.3">
      <c r="A126" t="s">
        <v>636</v>
      </c>
      <c r="B126" t="s">
        <v>637</v>
      </c>
      <c r="C126" t="s">
        <v>16</v>
      </c>
      <c r="D126" t="s">
        <v>411</v>
      </c>
      <c r="E126" t="s">
        <v>384</v>
      </c>
      <c r="F126" t="s">
        <v>658</v>
      </c>
      <c r="G126" t="s">
        <v>389</v>
      </c>
    </row>
    <row r="127" spans="1:7" x14ac:dyDescent="0.3">
      <c r="A127" t="s">
        <v>636</v>
      </c>
      <c r="B127" t="s">
        <v>637</v>
      </c>
      <c r="C127" t="s">
        <v>16</v>
      </c>
      <c r="D127" t="s">
        <v>411</v>
      </c>
      <c r="E127" t="s">
        <v>372</v>
      </c>
      <c r="F127" t="s">
        <v>658</v>
      </c>
      <c r="G127" t="s">
        <v>389</v>
      </c>
    </row>
    <row r="128" spans="1:7" x14ac:dyDescent="0.3">
      <c r="A128" t="s">
        <v>636</v>
      </c>
      <c r="B128" t="s">
        <v>637</v>
      </c>
      <c r="C128" t="s">
        <v>16</v>
      </c>
      <c r="D128" t="s">
        <v>411</v>
      </c>
      <c r="E128" t="s">
        <v>380</v>
      </c>
      <c r="F128" t="s">
        <v>658</v>
      </c>
      <c r="G128" t="s">
        <v>389</v>
      </c>
    </row>
    <row r="129" spans="1:7" x14ac:dyDescent="0.3">
      <c r="A129" t="s">
        <v>636</v>
      </c>
      <c r="B129" t="s">
        <v>637</v>
      </c>
      <c r="C129" t="s">
        <v>16</v>
      </c>
      <c r="D129" t="s">
        <v>411</v>
      </c>
      <c r="E129" t="s">
        <v>373</v>
      </c>
      <c r="F129" t="s">
        <v>658</v>
      </c>
      <c r="G129" t="s">
        <v>389</v>
      </c>
    </row>
    <row r="130" spans="1:7" x14ac:dyDescent="0.3">
      <c r="A130" t="s">
        <v>636</v>
      </c>
      <c r="B130" t="s">
        <v>637</v>
      </c>
      <c r="C130" t="s">
        <v>16</v>
      </c>
      <c r="D130" t="s">
        <v>411</v>
      </c>
      <c r="E130" t="s">
        <v>378</v>
      </c>
      <c r="F130" t="s">
        <v>658</v>
      </c>
      <c r="G130" t="s">
        <v>389</v>
      </c>
    </row>
    <row r="131" spans="1:7" x14ac:dyDescent="0.3">
      <c r="A131" t="s">
        <v>636</v>
      </c>
      <c r="B131" t="s">
        <v>637</v>
      </c>
      <c r="C131" t="s">
        <v>16</v>
      </c>
      <c r="D131" t="s">
        <v>411</v>
      </c>
      <c r="E131" t="s">
        <v>379</v>
      </c>
      <c r="F131" t="s">
        <v>658</v>
      </c>
      <c r="G131" t="s">
        <v>389</v>
      </c>
    </row>
    <row r="132" spans="1:7" x14ac:dyDescent="0.3">
      <c r="A132" t="s">
        <v>636</v>
      </c>
      <c r="B132" t="s">
        <v>637</v>
      </c>
      <c r="C132" t="s">
        <v>16</v>
      </c>
      <c r="D132" t="s">
        <v>411</v>
      </c>
      <c r="E132" t="s">
        <v>383</v>
      </c>
      <c r="F132" t="s">
        <v>658</v>
      </c>
      <c r="G132" t="s">
        <v>389</v>
      </c>
    </row>
    <row r="133" spans="1:7" x14ac:dyDescent="0.3">
      <c r="A133" t="s">
        <v>636</v>
      </c>
      <c r="B133" t="s">
        <v>637</v>
      </c>
      <c r="C133" t="s">
        <v>16</v>
      </c>
      <c r="D133" t="s">
        <v>411</v>
      </c>
      <c r="E133" t="s">
        <v>381</v>
      </c>
      <c r="F133" t="s">
        <v>658</v>
      </c>
      <c r="G133" t="s">
        <v>389</v>
      </c>
    </row>
    <row r="134" spans="1:7" x14ac:dyDescent="0.3">
      <c r="A134" t="s">
        <v>636</v>
      </c>
      <c r="B134" t="s">
        <v>637</v>
      </c>
      <c r="C134" t="s">
        <v>16</v>
      </c>
      <c r="D134" t="s">
        <v>411</v>
      </c>
      <c r="E134" t="s">
        <v>376</v>
      </c>
      <c r="F134" t="s">
        <v>658</v>
      </c>
      <c r="G134" t="s">
        <v>389</v>
      </c>
    </row>
    <row r="135" spans="1:7" x14ac:dyDescent="0.3">
      <c r="A135" t="s">
        <v>636</v>
      </c>
      <c r="B135" t="s">
        <v>637</v>
      </c>
      <c r="C135" t="s">
        <v>16</v>
      </c>
      <c r="D135" t="s">
        <v>411</v>
      </c>
      <c r="E135" t="s">
        <v>385</v>
      </c>
      <c r="F135" t="s">
        <v>658</v>
      </c>
      <c r="G135" t="s">
        <v>389</v>
      </c>
    </row>
    <row r="136" spans="1:7" x14ac:dyDescent="0.3">
      <c r="A136" t="s">
        <v>636</v>
      </c>
      <c r="B136" t="s">
        <v>637</v>
      </c>
      <c r="C136" t="s">
        <v>16</v>
      </c>
      <c r="D136" t="s">
        <v>411</v>
      </c>
      <c r="E136" t="s">
        <v>375</v>
      </c>
      <c r="F136" t="s">
        <v>658</v>
      </c>
      <c r="G136" t="s">
        <v>389</v>
      </c>
    </row>
    <row r="137" spans="1:7" x14ac:dyDescent="0.3">
      <c r="A137" t="s">
        <v>636</v>
      </c>
      <c r="B137" t="s">
        <v>637</v>
      </c>
      <c r="C137" t="s">
        <v>16</v>
      </c>
      <c r="D137" t="s">
        <v>411</v>
      </c>
      <c r="E137" t="s">
        <v>370</v>
      </c>
      <c r="F137" t="s">
        <v>658</v>
      </c>
      <c r="G137" t="s">
        <v>389</v>
      </c>
    </row>
    <row r="138" spans="1:7" x14ac:dyDescent="0.3">
      <c r="A138" t="s">
        <v>636</v>
      </c>
      <c r="B138" t="s">
        <v>637</v>
      </c>
      <c r="C138" t="s">
        <v>16</v>
      </c>
      <c r="D138" t="s">
        <v>411</v>
      </c>
      <c r="E138" t="s">
        <v>374</v>
      </c>
      <c r="F138" t="s">
        <v>658</v>
      </c>
      <c r="G138" t="s">
        <v>389</v>
      </c>
    </row>
    <row r="139" spans="1:7" x14ac:dyDescent="0.3">
      <c r="A139" t="s">
        <v>636</v>
      </c>
      <c r="B139" t="s">
        <v>637</v>
      </c>
      <c r="C139" t="s">
        <v>16</v>
      </c>
      <c r="D139" t="s">
        <v>411</v>
      </c>
      <c r="E139" t="s">
        <v>377</v>
      </c>
      <c r="F139" t="s">
        <v>658</v>
      </c>
      <c r="G139" t="s">
        <v>389</v>
      </c>
    </row>
    <row r="140" spans="1:7" x14ac:dyDescent="0.3">
      <c r="A140" t="s">
        <v>636</v>
      </c>
      <c r="B140" t="s">
        <v>637</v>
      </c>
      <c r="C140" t="s">
        <v>16</v>
      </c>
      <c r="D140" t="s">
        <v>411</v>
      </c>
      <c r="E140" t="s">
        <v>382</v>
      </c>
      <c r="F140" t="s">
        <v>658</v>
      </c>
      <c r="G140" t="s">
        <v>389</v>
      </c>
    </row>
    <row r="141" spans="1:7" x14ac:dyDescent="0.3">
      <c r="A141" t="s">
        <v>646</v>
      </c>
      <c r="B141" t="s">
        <v>647</v>
      </c>
      <c r="C141" t="s">
        <v>20</v>
      </c>
      <c r="D141" t="s">
        <v>18</v>
      </c>
      <c r="E141" t="s">
        <v>15</v>
      </c>
      <c r="F141" t="s">
        <v>18</v>
      </c>
      <c r="G141" t="s">
        <v>389</v>
      </c>
    </row>
    <row r="142" spans="1:7" x14ac:dyDescent="0.3">
      <c r="A142" t="s">
        <v>646</v>
      </c>
      <c r="B142" t="s">
        <v>647</v>
      </c>
      <c r="C142" t="s">
        <v>20</v>
      </c>
      <c r="D142" t="s">
        <v>16</v>
      </c>
      <c r="E142" t="s">
        <v>15</v>
      </c>
      <c r="F142" t="s">
        <v>16</v>
      </c>
      <c r="G142" t="s">
        <v>389</v>
      </c>
    </row>
    <row r="143" spans="1:7" x14ac:dyDescent="0.3">
      <c r="A143" t="s">
        <v>646</v>
      </c>
      <c r="B143" t="s">
        <v>647</v>
      </c>
      <c r="C143" t="s">
        <v>16</v>
      </c>
      <c r="D143" t="s">
        <v>18</v>
      </c>
      <c r="E143" t="s">
        <v>371</v>
      </c>
      <c r="F143" t="s">
        <v>18</v>
      </c>
      <c r="G143" t="s">
        <v>389</v>
      </c>
    </row>
    <row r="144" spans="1:7" x14ac:dyDescent="0.3">
      <c r="A144" t="s">
        <v>646</v>
      </c>
      <c r="B144" t="s">
        <v>647</v>
      </c>
      <c r="C144" t="s">
        <v>16</v>
      </c>
      <c r="D144" t="s">
        <v>18</v>
      </c>
      <c r="E144" t="s">
        <v>384</v>
      </c>
      <c r="F144" t="s">
        <v>18</v>
      </c>
      <c r="G144" t="s">
        <v>389</v>
      </c>
    </row>
    <row r="145" spans="1:7" x14ac:dyDescent="0.3">
      <c r="A145" t="s">
        <v>646</v>
      </c>
      <c r="B145" t="s">
        <v>647</v>
      </c>
      <c r="C145" t="s">
        <v>16</v>
      </c>
      <c r="D145" t="s">
        <v>18</v>
      </c>
      <c r="E145" t="s">
        <v>372</v>
      </c>
      <c r="F145" t="s">
        <v>18</v>
      </c>
      <c r="G145" t="s">
        <v>389</v>
      </c>
    </row>
    <row r="146" spans="1:7" x14ac:dyDescent="0.3">
      <c r="A146" t="s">
        <v>646</v>
      </c>
      <c r="B146" t="s">
        <v>647</v>
      </c>
      <c r="C146" t="s">
        <v>16</v>
      </c>
      <c r="D146" t="s">
        <v>18</v>
      </c>
      <c r="E146" t="s">
        <v>380</v>
      </c>
      <c r="F146" t="s">
        <v>18</v>
      </c>
      <c r="G146" t="s">
        <v>389</v>
      </c>
    </row>
    <row r="147" spans="1:7" x14ac:dyDescent="0.3">
      <c r="A147" t="s">
        <v>646</v>
      </c>
      <c r="B147" t="s">
        <v>647</v>
      </c>
      <c r="C147" t="s">
        <v>16</v>
      </c>
      <c r="D147" t="s">
        <v>18</v>
      </c>
      <c r="E147" t="s">
        <v>373</v>
      </c>
      <c r="F147" t="s">
        <v>18</v>
      </c>
      <c r="G147" t="s">
        <v>389</v>
      </c>
    </row>
    <row r="148" spans="1:7" x14ac:dyDescent="0.3">
      <c r="A148" t="s">
        <v>646</v>
      </c>
      <c r="B148" t="s">
        <v>647</v>
      </c>
      <c r="C148" t="s">
        <v>16</v>
      </c>
      <c r="D148" t="s">
        <v>18</v>
      </c>
      <c r="E148" t="s">
        <v>378</v>
      </c>
      <c r="F148" t="s">
        <v>18</v>
      </c>
      <c r="G148" t="s">
        <v>389</v>
      </c>
    </row>
    <row r="149" spans="1:7" x14ac:dyDescent="0.3">
      <c r="A149" t="s">
        <v>646</v>
      </c>
      <c r="B149" t="s">
        <v>647</v>
      </c>
      <c r="C149" t="s">
        <v>16</v>
      </c>
      <c r="D149" t="s">
        <v>18</v>
      </c>
      <c r="E149" t="s">
        <v>379</v>
      </c>
      <c r="F149" t="s">
        <v>18</v>
      </c>
      <c r="G149" t="s">
        <v>389</v>
      </c>
    </row>
    <row r="150" spans="1:7" x14ac:dyDescent="0.3">
      <c r="A150" t="s">
        <v>646</v>
      </c>
      <c r="B150" t="s">
        <v>647</v>
      </c>
      <c r="C150" t="s">
        <v>16</v>
      </c>
      <c r="D150" t="s">
        <v>18</v>
      </c>
      <c r="E150" t="s">
        <v>383</v>
      </c>
      <c r="F150" t="s">
        <v>18</v>
      </c>
      <c r="G150" t="s">
        <v>389</v>
      </c>
    </row>
    <row r="151" spans="1:7" x14ac:dyDescent="0.3">
      <c r="A151" t="s">
        <v>646</v>
      </c>
      <c r="B151" t="s">
        <v>647</v>
      </c>
      <c r="C151" t="s">
        <v>16</v>
      </c>
      <c r="D151" t="s">
        <v>18</v>
      </c>
      <c r="E151" t="s">
        <v>381</v>
      </c>
      <c r="F151" t="s">
        <v>18</v>
      </c>
      <c r="G151" t="s">
        <v>389</v>
      </c>
    </row>
    <row r="152" spans="1:7" x14ac:dyDescent="0.3">
      <c r="A152" t="s">
        <v>646</v>
      </c>
      <c r="B152" t="s">
        <v>647</v>
      </c>
      <c r="C152" t="s">
        <v>16</v>
      </c>
      <c r="D152" t="s">
        <v>18</v>
      </c>
      <c r="E152" t="s">
        <v>376</v>
      </c>
      <c r="F152" t="s">
        <v>18</v>
      </c>
      <c r="G152" t="s">
        <v>389</v>
      </c>
    </row>
    <row r="153" spans="1:7" x14ac:dyDescent="0.3">
      <c r="A153" t="s">
        <v>646</v>
      </c>
      <c r="B153" t="s">
        <v>647</v>
      </c>
      <c r="C153" t="s">
        <v>16</v>
      </c>
      <c r="D153" t="s">
        <v>18</v>
      </c>
      <c r="E153" t="s">
        <v>385</v>
      </c>
      <c r="F153" t="s">
        <v>18</v>
      </c>
      <c r="G153" t="s">
        <v>389</v>
      </c>
    </row>
    <row r="154" spans="1:7" x14ac:dyDescent="0.3">
      <c r="A154" t="s">
        <v>646</v>
      </c>
      <c r="B154" t="s">
        <v>647</v>
      </c>
      <c r="C154" t="s">
        <v>16</v>
      </c>
      <c r="D154" t="s">
        <v>18</v>
      </c>
      <c r="E154" t="s">
        <v>375</v>
      </c>
      <c r="F154" t="s">
        <v>18</v>
      </c>
      <c r="G154" t="s">
        <v>389</v>
      </c>
    </row>
    <row r="155" spans="1:7" x14ac:dyDescent="0.3">
      <c r="A155" t="s">
        <v>646</v>
      </c>
      <c r="B155" t="s">
        <v>647</v>
      </c>
      <c r="C155" t="s">
        <v>16</v>
      </c>
      <c r="D155" t="s">
        <v>18</v>
      </c>
      <c r="E155" t="s">
        <v>370</v>
      </c>
      <c r="F155" t="s">
        <v>18</v>
      </c>
      <c r="G155" t="s">
        <v>389</v>
      </c>
    </row>
    <row r="156" spans="1:7" x14ac:dyDescent="0.3">
      <c r="A156" t="s">
        <v>646</v>
      </c>
      <c r="B156" t="s">
        <v>647</v>
      </c>
      <c r="C156" t="s">
        <v>16</v>
      </c>
      <c r="D156" t="s">
        <v>18</v>
      </c>
      <c r="E156" t="s">
        <v>374</v>
      </c>
      <c r="F156" t="s">
        <v>18</v>
      </c>
      <c r="G156" t="s">
        <v>389</v>
      </c>
    </row>
    <row r="157" spans="1:7" x14ac:dyDescent="0.3">
      <c r="A157" t="s">
        <v>646</v>
      </c>
      <c r="B157" t="s">
        <v>647</v>
      </c>
      <c r="C157" t="s">
        <v>16</v>
      </c>
      <c r="D157" t="s">
        <v>18</v>
      </c>
      <c r="E157" t="s">
        <v>377</v>
      </c>
      <c r="F157" t="s">
        <v>18</v>
      </c>
      <c r="G157" t="s">
        <v>389</v>
      </c>
    </row>
    <row r="158" spans="1:7" x14ac:dyDescent="0.3">
      <c r="A158" t="s">
        <v>646</v>
      </c>
      <c r="B158" t="s">
        <v>647</v>
      </c>
      <c r="C158" t="s">
        <v>16</v>
      </c>
      <c r="D158" t="s">
        <v>18</v>
      </c>
      <c r="E158" t="s">
        <v>382</v>
      </c>
      <c r="F158" t="s">
        <v>18</v>
      </c>
      <c r="G158" t="s">
        <v>389</v>
      </c>
    </row>
    <row r="159" spans="1:7" x14ac:dyDescent="0.3">
      <c r="A159" t="s">
        <v>646</v>
      </c>
      <c r="B159" t="s">
        <v>647</v>
      </c>
      <c r="C159" t="s">
        <v>16</v>
      </c>
      <c r="D159" t="s">
        <v>411</v>
      </c>
      <c r="E159" t="s">
        <v>371</v>
      </c>
      <c r="F159" t="s">
        <v>16</v>
      </c>
      <c r="G159" t="s">
        <v>389</v>
      </c>
    </row>
    <row r="160" spans="1:7" x14ac:dyDescent="0.3">
      <c r="A160" t="s">
        <v>646</v>
      </c>
      <c r="B160" t="s">
        <v>647</v>
      </c>
      <c r="C160" t="s">
        <v>16</v>
      </c>
      <c r="D160" t="s">
        <v>411</v>
      </c>
      <c r="E160" t="s">
        <v>384</v>
      </c>
      <c r="F160" t="s">
        <v>16</v>
      </c>
      <c r="G160" t="s">
        <v>389</v>
      </c>
    </row>
    <row r="161" spans="1:7" x14ac:dyDescent="0.3">
      <c r="A161" t="s">
        <v>646</v>
      </c>
      <c r="B161" t="s">
        <v>647</v>
      </c>
      <c r="C161" t="s">
        <v>16</v>
      </c>
      <c r="D161" t="s">
        <v>411</v>
      </c>
      <c r="E161" t="s">
        <v>372</v>
      </c>
      <c r="F161" t="s">
        <v>16</v>
      </c>
      <c r="G161" t="s">
        <v>389</v>
      </c>
    </row>
    <row r="162" spans="1:7" x14ac:dyDescent="0.3">
      <c r="A162" t="s">
        <v>646</v>
      </c>
      <c r="B162" t="s">
        <v>647</v>
      </c>
      <c r="C162" t="s">
        <v>16</v>
      </c>
      <c r="D162" t="s">
        <v>411</v>
      </c>
      <c r="E162" t="s">
        <v>380</v>
      </c>
      <c r="F162" t="s">
        <v>16</v>
      </c>
      <c r="G162" t="s">
        <v>389</v>
      </c>
    </row>
    <row r="163" spans="1:7" x14ac:dyDescent="0.3">
      <c r="A163" t="s">
        <v>646</v>
      </c>
      <c r="B163" t="s">
        <v>647</v>
      </c>
      <c r="C163" t="s">
        <v>16</v>
      </c>
      <c r="D163" t="s">
        <v>411</v>
      </c>
      <c r="E163" t="s">
        <v>373</v>
      </c>
      <c r="F163" t="s">
        <v>16</v>
      </c>
      <c r="G163" t="s">
        <v>389</v>
      </c>
    </row>
    <row r="164" spans="1:7" x14ac:dyDescent="0.3">
      <c r="A164" t="s">
        <v>646</v>
      </c>
      <c r="B164" t="s">
        <v>647</v>
      </c>
      <c r="C164" t="s">
        <v>16</v>
      </c>
      <c r="D164" t="s">
        <v>411</v>
      </c>
      <c r="E164" t="s">
        <v>378</v>
      </c>
      <c r="F164" t="s">
        <v>16</v>
      </c>
      <c r="G164" t="s">
        <v>389</v>
      </c>
    </row>
    <row r="165" spans="1:7" x14ac:dyDescent="0.3">
      <c r="A165" t="s">
        <v>646</v>
      </c>
      <c r="B165" t="s">
        <v>647</v>
      </c>
      <c r="C165" t="s">
        <v>16</v>
      </c>
      <c r="D165" t="s">
        <v>411</v>
      </c>
      <c r="E165" t="s">
        <v>379</v>
      </c>
      <c r="F165" t="s">
        <v>16</v>
      </c>
      <c r="G165" t="s">
        <v>389</v>
      </c>
    </row>
    <row r="166" spans="1:7" x14ac:dyDescent="0.3">
      <c r="A166" t="s">
        <v>646</v>
      </c>
      <c r="B166" t="s">
        <v>647</v>
      </c>
      <c r="C166" t="s">
        <v>16</v>
      </c>
      <c r="D166" t="s">
        <v>411</v>
      </c>
      <c r="E166" t="s">
        <v>383</v>
      </c>
      <c r="F166" t="s">
        <v>16</v>
      </c>
      <c r="G166" t="s">
        <v>389</v>
      </c>
    </row>
    <row r="167" spans="1:7" x14ac:dyDescent="0.3">
      <c r="A167" t="s">
        <v>646</v>
      </c>
      <c r="B167" t="s">
        <v>647</v>
      </c>
      <c r="C167" t="s">
        <v>16</v>
      </c>
      <c r="D167" t="s">
        <v>411</v>
      </c>
      <c r="E167" t="s">
        <v>381</v>
      </c>
      <c r="F167" t="s">
        <v>16</v>
      </c>
      <c r="G167" t="s">
        <v>389</v>
      </c>
    </row>
    <row r="168" spans="1:7" x14ac:dyDescent="0.3">
      <c r="A168" t="s">
        <v>646</v>
      </c>
      <c r="B168" t="s">
        <v>647</v>
      </c>
      <c r="C168" t="s">
        <v>16</v>
      </c>
      <c r="D168" t="s">
        <v>411</v>
      </c>
      <c r="E168" t="s">
        <v>376</v>
      </c>
      <c r="F168" t="s">
        <v>16</v>
      </c>
      <c r="G168" t="s">
        <v>389</v>
      </c>
    </row>
    <row r="169" spans="1:7" x14ac:dyDescent="0.3">
      <c r="A169" t="s">
        <v>646</v>
      </c>
      <c r="B169" t="s">
        <v>647</v>
      </c>
      <c r="C169" t="s">
        <v>16</v>
      </c>
      <c r="D169" t="s">
        <v>411</v>
      </c>
      <c r="E169" t="s">
        <v>385</v>
      </c>
      <c r="F169" t="s">
        <v>16</v>
      </c>
      <c r="G169" t="s">
        <v>389</v>
      </c>
    </row>
    <row r="170" spans="1:7" x14ac:dyDescent="0.3">
      <c r="A170" t="s">
        <v>646</v>
      </c>
      <c r="B170" t="s">
        <v>647</v>
      </c>
      <c r="C170" t="s">
        <v>16</v>
      </c>
      <c r="D170" t="s">
        <v>411</v>
      </c>
      <c r="E170" t="s">
        <v>375</v>
      </c>
      <c r="F170" t="s">
        <v>16</v>
      </c>
      <c r="G170" t="s">
        <v>389</v>
      </c>
    </row>
    <row r="171" spans="1:7" x14ac:dyDescent="0.3">
      <c r="A171" t="s">
        <v>646</v>
      </c>
      <c r="B171" t="s">
        <v>647</v>
      </c>
      <c r="C171" t="s">
        <v>16</v>
      </c>
      <c r="D171" t="s">
        <v>411</v>
      </c>
      <c r="E171" t="s">
        <v>370</v>
      </c>
      <c r="F171" t="s">
        <v>16</v>
      </c>
      <c r="G171" t="s">
        <v>389</v>
      </c>
    </row>
    <row r="172" spans="1:7" x14ac:dyDescent="0.3">
      <c r="A172" t="s">
        <v>646</v>
      </c>
      <c r="B172" t="s">
        <v>647</v>
      </c>
      <c r="C172" t="s">
        <v>16</v>
      </c>
      <c r="D172" t="s">
        <v>411</v>
      </c>
      <c r="E172" t="s">
        <v>374</v>
      </c>
      <c r="F172" t="s">
        <v>16</v>
      </c>
      <c r="G172" t="s">
        <v>389</v>
      </c>
    </row>
    <row r="173" spans="1:7" x14ac:dyDescent="0.3">
      <c r="A173" t="s">
        <v>646</v>
      </c>
      <c r="B173" t="s">
        <v>647</v>
      </c>
      <c r="C173" t="s">
        <v>16</v>
      </c>
      <c r="D173" t="s">
        <v>411</v>
      </c>
      <c r="E173" t="s">
        <v>377</v>
      </c>
      <c r="F173" t="s">
        <v>16</v>
      </c>
      <c r="G173" t="s">
        <v>389</v>
      </c>
    </row>
    <row r="174" spans="1:7" x14ac:dyDescent="0.3">
      <c r="A174" t="s">
        <v>646</v>
      </c>
      <c r="B174" t="s">
        <v>647</v>
      </c>
      <c r="C174" t="s">
        <v>16</v>
      </c>
      <c r="D174" t="s">
        <v>411</v>
      </c>
      <c r="E174" t="s">
        <v>382</v>
      </c>
      <c r="F174" t="s">
        <v>16</v>
      </c>
      <c r="G174" t="s">
        <v>389</v>
      </c>
    </row>
    <row r="175" spans="1:7" x14ac:dyDescent="0.3">
      <c r="A175" t="s">
        <v>646</v>
      </c>
      <c r="B175" t="s">
        <v>647</v>
      </c>
      <c r="C175" t="s">
        <v>389</v>
      </c>
      <c r="D175" t="s">
        <v>18</v>
      </c>
      <c r="E175" t="s">
        <v>389</v>
      </c>
      <c r="F175" t="s">
        <v>18</v>
      </c>
      <c r="G175" t="s">
        <v>389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71128-897E-471D-BA93-5C8CC8936DE1}">
  <dimension ref="A3:E39"/>
  <sheetViews>
    <sheetView workbookViewId="0">
      <selection activeCell="A3" sqref="A3"/>
    </sheetView>
  </sheetViews>
  <sheetFormatPr baseColWidth="10" defaultRowHeight="14.4" x14ac:dyDescent="0.3"/>
  <cols>
    <col min="1" max="1" width="30.88671875" customWidth="1"/>
    <col min="2" max="2" width="18.109375" bestFit="1" customWidth="1"/>
    <col min="3" max="3" width="45" bestFit="1" customWidth="1"/>
    <col min="4" max="4" width="10.21875" bestFit="1" customWidth="1"/>
    <col min="5" max="6" width="18.109375" bestFit="1" customWidth="1"/>
  </cols>
  <sheetData>
    <row r="3" spans="1:5" x14ac:dyDescent="0.3">
      <c r="A3" s="4" t="s">
        <v>1</v>
      </c>
      <c r="B3" s="4" t="s">
        <v>4</v>
      </c>
      <c r="C3" s="4" t="s">
        <v>3</v>
      </c>
      <c r="D3" s="4" t="s">
        <v>5</v>
      </c>
      <c r="E3" t="s">
        <v>660</v>
      </c>
    </row>
    <row r="4" spans="1:5" x14ac:dyDescent="0.3">
      <c r="A4" t="s">
        <v>406</v>
      </c>
      <c r="B4" t="s">
        <v>647</v>
      </c>
      <c r="C4" t="s">
        <v>646</v>
      </c>
      <c r="D4" t="s">
        <v>20</v>
      </c>
      <c r="E4" s="65">
        <v>2</v>
      </c>
    </row>
    <row r="5" spans="1:5" x14ac:dyDescent="0.3">
      <c r="A5" t="s">
        <v>406</v>
      </c>
      <c r="B5" t="s">
        <v>647</v>
      </c>
      <c r="C5" t="s">
        <v>646</v>
      </c>
      <c r="D5" t="s">
        <v>16</v>
      </c>
      <c r="E5" s="65">
        <v>32</v>
      </c>
    </row>
    <row r="6" spans="1:5" x14ac:dyDescent="0.3">
      <c r="A6" t="s">
        <v>406</v>
      </c>
      <c r="B6" t="s">
        <v>647</v>
      </c>
      <c r="C6" t="s">
        <v>646</v>
      </c>
      <c r="D6" t="s">
        <v>389</v>
      </c>
      <c r="E6" s="65">
        <v>8</v>
      </c>
    </row>
    <row r="7" spans="1:5" x14ac:dyDescent="0.3">
      <c r="A7" t="s">
        <v>406</v>
      </c>
      <c r="B7" t="s">
        <v>647</v>
      </c>
      <c r="C7" t="s">
        <v>661</v>
      </c>
      <c r="E7" s="65">
        <v>42</v>
      </c>
    </row>
    <row r="8" spans="1:5" x14ac:dyDescent="0.3">
      <c r="A8" t="s">
        <v>406</v>
      </c>
      <c r="B8" t="s">
        <v>662</v>
      </c>
      <c r="E8" s="65">
        <v>42</v>
      </c>
    </row>
    <row r="9" spans="1:5" x14ac:dyDescent="0.3">
      <c r="A9" t="s">
        <v>406</v>
      </c>
      <c r="B9" t="s">
        <v>435</v>
      </c>
      <c r="C9" t="s">
        <v>434</v>
      </c>
      <c r="D9" t="s">
        <v>20</v>
      </c>
      <c r="E9" s="65">
        <v>1</v>
      </c>
    </row>
    <row r="10" spans="1:5" x14ac:dyDescent="0.3">
      <c r="A10" t="s">
        <v>406</v>
      </c>
      <c r="B10" t="s">
        <v>435</v>
      </c>
      <c r="C10" t="s">
        <v>434</v>
      </c>
      <c r="D10" t="s">
        <v>16</v>
      </c>
      <c r="E10" s="65">
        <v>16</v>
      </c>
    </row>
    <row r="11" spans="1:5" x14ac:dyDescent="0.3">
      <c r="A11" t="s">
        <v>406</v>
      </c>
      <c r="B11" t="s">
        <v>435</v>
      </c>
      <c r="C11" t="s">
        <v>663</v>
      </c>
      <c r="E11" s="65">
        <v>17</v>
      </c>
    </row>
    <row r="12" spans="1:5" x14ac:dyDescent="0.3">
      <c r="A12" t="s">
        <v>406</v>
      </c>
      <c r="B12" t="s">
        <v>664</v>
      </c>
      <c r="E12" s="65">
        <v>17</v>
      </c>
    </row>
    <row r="13" spans="1:5" x14ac:dyDescent="0.3">
      <c r="A13" t="s">
        <v>406</v>
      </c>
      <c r="B13" t="s">
        <v>629</v>
      </c>
      <c r="C13" t="s">
        <v>628</v>
      </c>
      <c r="D13" t="s">
        <v>20</v>
      </c>
      <c r="E13" s="65">
        <v>1</v>
      </c>
    </row>
    <row r="14" spans="1:5" x14ac:dyDescent="0.3">
      <c r="A14" t="s">
        <v>406</v>
      </c>
      <c r="B14" t="s">
        <v>629</v>
      </c>
      <c r="C14" t="s">
        <v>628</v>
      </c>
      <c r="D14" t="s">
        <v>16</v>
      </c>
      <c r="E14" s="65">
        <v>16</v>
      </c>
    </row>
    <row r="15" spans="1:5" x14ac:dyDescent="0.3">
      <c r="A15" t="s">
        <v>406</v>
      </c>
      <c r="B15" t="s">
        <v>629</v>
      </c>
      <c r="C15" t="s">
        <v>665</v>
      </c>
      <c r="E15" s="65">
        <v>17</v>
      </c>
    </row>
    <row r="16" spans="1:5" x14ac:dyDescent="0.3">
      <c r="A16" t="s">
        <v>406</v>
      </c>
      <c r="B16" t="s">
        <v>666</v>
      </c>
      <c r="E16" s="65">
        <v>17</v>
      </c>
    </row>
    <row r="17" spans="1:5" x14ac:dyDescent="0.3">
      <c r="A17" t="s">
        <v>406</v>
      </c>
      <c r="B17" t="s">
        <v>637</v>
      </c>
      <c r="C17" t="s">
        <v>636</v>
      </c>
      <c r="D17" t="s">
        <v>20</v>
      </c>
      <c r="E17" s="65">
        <v>2</v>
      </c>
    </row>
    <row r="18" spans="1:5" x14ac:dyDescent="0.3">
      <c r="A18" t="s">
        <v>406</v>
      </c>
      <c r="B18" t="s">
        <v>637</v>
      </c>
      <c r="C18" t="s">
        <v>636</v>
      </c>
      <c r="D18" t="s">
        <v>16</v>
      </c>
      <c r="E18" s="65">
        <v>16</v>
      </c>
    </row>
    <row r="19" spans="1:5" x14ac:dyDescent="0.3">
      <c r="A19" t="s">
        <v>406</v>
      </c>
      <c r="B19" t="s">
        <v>637</v>
      </c>
      <c r="C19" t="s">
        <v>667</v>
      </c>
      <c r="E19" s="65">
        <v>18</v>
      </c>
    </row>
    <row r="20" spans="1:5" x14ac:dyDescent="0.3">
      <c r="A20" t="s">
        <v>406</v>
      </c>
      <c r="B20" t="s">
        <v>668</v>
      </c>
      <c r="E20" s="65">
        <v>18</v>
      </c>
    </row>
    <row r="21" spans="1:5" x14ac:dyDescent="0.3">
      <c r="A21" t="s">
        <v>406</v>
      </c>
      <c r="B21" t="s">
        <v>527</v>
      </c>
      <c r="C21" t="s">
        <v>434</v>
      </c>
      <c r="D21" t="s">
        <v>20</v>
      </c>
      <c r="E21" s="65">
        <v>1</v>
      </c>
    </row>
    <row r="22" spans="1:5" x14ac:dyDescent="0.3">
      <c r="A22" t="s">
        <v>406</v>
      </c>
      <c r="B22" t="s">
        <v>527</v>
      </c>
      <c r="C22" t="s">
        <v>434</v>
      </c>
      <c r="D22" t="s">
        <v>16</v>
      </c>
      <c r="E22" s="65">
        <v>16</v>
      </c>
    </row>
    <row r="23" spans="1:5" x14ac:dyDescent="0.3">
      <c r="A23" t="s">
        <v>406</v>
      </c>
      <c r="B23" t="s">
        <v>527</v>
      </c>
      <c r="C23" t="s">
        <v>663</v>
      </c>
      <c r="E23" s="65">
        <v>17</v>
      </c>
    </row>
    <row r="24" spans="1:5" x14ac:dyDescent="0.3">
      <c r="A24" t="s">
        <v>406</v>
      </c>
      <c r="B24" t="s">
        <v>669</v>
      </c>
      <c r="E24" s="65">
        <v>17</v>
      </c>
    </row>
    <row r="25" spans="1:5" x14ac:dyDescent="0.3">
      <c r="A25" t="s">
        <v>406</v>
      </c>
      <c r="B25" t="s">
        <v>407</v>
      </c>
      <c r="C25" t="s">
        <v>506</v>
      </c>
      <c r="D25" t="s">
        <v>20</v>
      </c>
      <c r="E25" s="65">
        <v>1</v>
      </c>
    </row>
    <row r="26" spans="1:5" x14ac:dyDescent="0.3">
      <c r="A26" t="s">
        <v>406</v>
      </c>
      <c r="B26" t="s">
        <v>407</v>
      </c>
      <c r="C26" t="s">
        <v>506</v>
      </c>
      <c r="D26" t="s">
        <v>16</v>
      </c>
      <c r="E26" s="65">
        <v>16</v>
      </c>
    </row>
    <row r="27" spans="1:5" x14ac:dyDescent="0.3">
      <c r="A27" t="s">
        <v>406</v>
      </c>
      <c r="B27" t="s">
        <v>407</v>
      </c>
      <c r="C27" t="s">
        <v>670</v>
      </c>
      <c r="E27" s="65">
        <v>17</v>
      </c>
    </row>
    <row r="28" spans="1:5" x14ac:dyDescent="0.3">
      <c r="A28" t="s">
        <v>406</v>
      </c>
      <c r="B28" t="s">
        <v>407</v>
      </c>
      <c r="C28" t="s">
        <v>505</v>
      </c>
      <c r="D28" t="s">
        <v>20</v>
      </c>
      <c r="E28" s="65">
        <v>1</v>
      </c>
    </row>
    <row r="29" spans="1:5" x14ac:dyDescent="0.3">
      <c r="A29" t="s">
        <v>406</v>
      </c>
      <c r="B29" t="s">
        <v>407</v>
      </c>
      <c r="C29" t="s">
        <v>505</v>
      </c>
      <c r="D29" t="s">
        <v>16</v>
      </c>
      <c r="E29" s="65">
        <v>16</v>
      </c>
    </row>
    <row r="30" spans="1:5" x14ac:dyDescent="0.3">
      <c r="A30" t="s">
        <v>406</v>
      </c>
      <c r="B30" t="s">
        <v>407</v>
      </c>
      <c r="C30" t="s">
        <v>671</v>
      </c>
      <c r="E30" s="65">
        <v>17</v>
      </c>
    </row>
    <row r="31" spans="1:5" x14ac:dyDescent="0.3">
      <c r="A31" t="s">
        <v>406</v>
      </c>
      <c r="B31" t="s">
        <v>407</v>
      </c>
      <c r="C31" t="s">
        <v>408</v>
      </c>
      <c r="D31" t="s">
        <v>20</v>
      </c>
      <c r="E31" s="65">
        <v>1</v>
      </c>
    </row>
    <row r="32" spans="1:5" x14ac:dyDescent="0.3">
      <c r="A32" t="s">
        <v>406</v>
      </c>
      <c r="B32" t="s">
        <v>407</v>
      </c>
      <c r="C32" t="s">
        <v>408</v>
      </c>
      <c r="D32" t="s">
        <v>16</v>
      </c>
      <c r="E32" s="65">
        <v>16</v>
      </c>
    </row>
    <row r="33" spans="1:5" x14ac:dyDescent="0.3">
      <c r="A33" t="s">
        <v>406</v>
      </c>
      <c r="B33" t="s">
        <v>407</v>
      </c>
      <c r="C33" t="s">
        <v>672</v>
      </c>
      <c r="E33" s="65">
        <v>17</v>
      </c>
    </row>
    <row r="34" spans="1:5" x14ac:dyDescent="0.3">
      <c r="A34" t="s">
        <v>406</v>
      </c>
      <c r="B34" t="s">
        <v>673</v>
      </c>
      <c r="E34" s="65">
        <v>51</v>
      </c>
    </row>
    <row r="35" spans="1:5" x14ac:dyDescent="0.3">
      <c r="A35" t="s">
        <v>406</v>
      </c>
      <c r="B35" t="s">
        <v>474</v>
      </c>
      <c r="C35" t="s">
        <v>475</v>
      </c>
      <c r="D35" t="s">
        <v>20</v>
      </c>
      <c r="E35" s="65">
        <v>1</v>
      </c>
    </row>
    <row r="36" spans="1:5" x14ac:dyDescent="0.3">
      <c r="A36" t="s">
        <v>406</v>
      </c>
      <c r="B36" t="s">
        <v>474</v>
      </c>
      <c r="C36" t="s">
        <v>475</v>
      </c>
      <c r="D36" t="s">
        <v>16</v>
      </c>
      <c r="E36" s="65">
        <v>16</v>
      </c>
    </row>
    <row r="37" spans="1:5" x14ac:dyDescent="0.3">
      <c r="A37" t="s">
        <v>406</v>
      </c>
      <c r="B37" t="s">
        <v>474</v>
      </c>
      <c r="C37" t="s">
        <v>674</v>
      </c>
      <c r="E37" s="65">
        <v>17</v>
      </c>
    </row>
    <row r="38" spans="1:5" x14ac:dyDescent="0.3">
      <c r="A38" t="s">
        <v>406</v>
      </c>
      <c r="B38" t="s">
        <v>675</v>
      </c>
      <c r="E38" s="65">
        <v>17</v>
      </c>
    </row>
    <row r="39" spans="1:5" x14ac:dyDescent="0.3">
      <c r="A39" t="s">
        <v>676</v>
      </c>
      <c r="E39" s="65">
        <v>179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Agencia</vt:lpstr>
      <vt:lpstr>Estructura</vt:lpstr>
      <vt:lpstr>TD</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anin only anin</dc:creator>
  <cp:lastModifiedBy>user</cp:lastModifiedBy>
  <dcterms:created xsi:type="dcterms:W3CDTF">2021-07-05T22:32:30Z</dcterms:created>
  <dcterms:modified xsi:type="dcterms:W3CDTF">2021-07-19T22:13:33Z</dcterms:modified>
</cp:coreProperties>
</file>