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63E0E5AB-CCAC-4D2C-8020-CBC775A78302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13" l="1"/>
  <c r="Z17" i="13"/>
  <c r="M18" i="13"/>
  <c r="M17" i="13"/>
  <c r="L18" i="13"/>
  <c r="K18" i="13"/>
  <c r="L17" i="13"/>
  <c r="K17" i="13"/>
  <c r="A16" i="13" l="1"/>
  <c r="AL17" i="13"/>
  <c r="AM17" i="13"/>
  <c r="AN17" i="13"/>
  <c r="AO17" i="13"/>
  <c r="AO18" i="13" s="1"/>
  <c r="AL18" i="13"/>
  <c r="AM18" i="13"/>
  <c r="AN18" i="13"/>
  <c r="AA17" i="13"/>
  <c r="AB17" i="13"/>
  <c r="AB18" i="13" s="1"/>
  <c r="AC17" i="13"/>
  <c r="AD17" i="13"/>
  <c r="AE17" i="13"/>
  <c r="AF17" i="13"/>
  <c r="AA18" i="13"/>
  <c r="AC18" i="13"/>
  <c r="AD18" i="13"/>
  <c r="AE18" i="13"/>
  <c r="AF18" i="13"/>
  <c r="V17" i="13"/>
  <c r="V18" i="13" s="1"/>
  <c r="X17" i="13"/>
  <c r="X18" i="13"/>
  <c r="N16" i="13"/>
  <c r="O16" i="13"/>
  <c r="P16" i="13"/>
  <c r="Q16" i="13"/>
  <c r="R16" i="13"/>
  <c r="R17" i="13" s="1"/>
  <c r="R18" i="13" s="1"/>
  <c r="N17" i="13"/>
  <c r="O17" i="13"/>
  <c r="P17" i="13"/>
  <c r="P18" i="13" s="1"/>
  <c r="Q17" i="13"/>
  <c r="N18" i="13"/>
  <c r="O18" i="13"/>
  <c r="Q18" i="13"/>
  <c r="AO16" i="13"/>
  <c r="AN16" i="13"/>
  <c r="AM16" i="13"/>
  <c r="AL16" i="13"/>
  <c r="AK16" i="13"/>
  <c r="AJ16" i="13"/>
  <c r="AH16" i="13"/>
  <c r="AG16" i="13"/>
  <c r="AF16" i="13"/>
  <c r="AE16" i="13"/>
  <c r="AD16" i="13"/>
  <c r="AC16" i="13"/>
  <c r="AP16" i="13" s="1"/>
  <c r="AB16" i="13"/>
  <c r="AA16" i="13"/>
  <c r="X16" i="13"/>
  <c r="W16" i="13"/>
  <c r="V16" i="13"/>
  <c r="U16" i="13"/>
  <c r="T16" i="13"/>
  <c r="AQ16" i="13"/>
  <c r="M16" i="13"/>
  <c r="AI16" i="13"/>
  <c r="J16" i="13"/>
  <c r="AK17" i="13"/>
  <c r="Z16" i="13" l="1"/>
  <c r="M4" i="13"/>
  <c r="A14" i="13" l="1"/>
  <c r="N6" i="13" l="1"/>
  <c r="N7" i="13"/>
  <c r="N8" i="13"/>
  <c r="AI8" i="13" s="1"/>
  <c r="N9" i="13"/>
  <c r="AI9" i="13" s="1"/>
  <c r="N11" i="13"/>
  <c r="N14" i="13"/>
  <c r="AI14" i="13" s="1"/>
  <c r="N15" i="13"/>
  <c r="AI15" i="13" s="1"/>
  <c r="AI18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7" i="13"/>
  <c r="T18" i="13"/>
  <c r="T10" i="13"/>
  <c r="T11" i="13"/>
  <c r="T12" i="13"/>
  <c r="T14" i="13"/>
  <c r="T15" i="13"/>
  <c r="A11" i="13"/>
  <c r="A12" i="13"/>
  <c r="A13" i="13"/>
  <c r="A15" i="13"/>
  <c r="A17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M5" i="13" s="1"/>
  <c r="O7" i="13" l="1"/>
  <c r="AJ6" i="13"/>
  <c r="N5" i="13"/>
  <c r="J10" i="13"/>
  <c r="P7" i="13"/>
  <c r="AG6" i="13"/>
  <c r="J8" i="13"/>
  <c r="U7" i="13"/>
  <c r="Z5" i="13"/>
  <c r="S5" i="13"/>
  <c r="A18" i="13"/>
  <c r="J12" i="13" l="1"/>
  <c r="U10" i="13"/>
  <c r="N10" i="13"/>
  <c r="J9" i="13"/>
  <c r="U8" i="13"/>
  <c r="P8" i="13"/>
  <c r="AG7" i="13"/>
  <c r="O8" i="13"/>
  <c r="AJ7" i="13"/>
  <c r="W9" i="13"/>
  <c r="T9" i="13"/>
  <c r="Q4" i="13"/>
  <c r="Q5" i="13"/>
  <c r="T8" i="13"/>
  <c r="W8" i="13"/>
  <c r="AI10" i="13" l="1"/>
  <c r="O9" i="13"/>
  <c r="AJ8" i="13"/>
  <c r="J11" i="13"/>
  <c r="J14" i="13" s="1"/>
  <c r="U9" i="13"/>
  <c r="P9" i="13"/>
  <c r="AG8" i="13"/>
  <c r="J13" i="13"/>
  <c r="J17" i="13" s="1"/>
  <c r="N12" i="13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N4" i="13"/>
  <c r="AI4" i="13" s="1"/>
  <c r="AI12" i="13" l="1"/>
  <c r="U17" i="13"/>
  <c r="AI17" i="13"/>
  <c r="N13" i="13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M10" i="13" l="1"/>
  <c r="Z10" i="13"/>
  <c r="AI13" i="13"/>
  <c r="O11" i="13"/>
  <c r="AJ10" i="13"/>
  <c r="U14" i="13"/>
  <c r="J15" i="13"/>
  <c r="P11" i="13"/>
  <c r="AG10" i="13"/>
  <c r="Z8" i="13"/>
  <c r="M8" i="13"/>
  <c r="U15" i="13" l="1"/>
  <c r="J18" i="13"/>
  <c r="U18" i="13" s="1"/>
  <c r="Z11" i="13"/>
  <c r="M11" i="13"/>
  <c r="P12" i="13"/>
  <c r="AG11" i="13"/>
  <c r="O12" i="13"/>
  <c r="AJ11" i="13"/>
  <c r="Z9" i="13"/>
  <c r="M9" i="13"/>
  <c r="U5" i="13"/>
  <c r="AK5" i="13"/>
  <c r="AK4" i="13"/>
  <c r="C1" i="13"/>
  <c r="M12" i="13" l="1"/>
  <c r="Z12" i="13"/>
  <c r="P13" i="13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M13" i="13" l="1"/>
  <c r="Z13" i="13"/>
  <c r="P14" i="13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Z14" i="13" l="1"/>
  <c r="M14" i="13"/>
  <c r="P15" i="13"/>
  <c r="AG14" i="13"/>
  <c r="O15" i="13"/>
  <c r="AJ14" i="13"/>
  <c r="P1" i="9"/>
  <c r="Z15" i="13" l="1"/>
  <c r="AJ18" i="13"/>
  <c r="M15" i="13"/>
  <c r="AJ15" i="13"/>
  <c r="AG15" i="13"/>
  <c r="T5" i="13"/>
  <c r="AJ17" i="13" l="1"/>
  <c r="AG18" i="13"/>
  <c r="AG17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7" i="13" s="1"/>
  <c r="AH18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W17" i="13" s="1"/>
  <c r="T1" i="9"/>
  <c r="U4" i="13"/>
  <c r="R13" i="13" l="1"/>
  <c r="AQ12" i="13"/>
  <c r="AP8" i="13"/>
  <c r="AC9" i="13"/>
  <c r="W18" i="13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8" i="13" l="1"/>
  <c r="AQ17" i="13"/>
  <c r="AC13" i="13"/>
  <c r="AP12" i="13"/>
  <c r="AC14" i="13" l="1"/>
  <c r="AP13" i="13"/>
  <c r="AC15" i="13" l="1"/>
  <c r="AP14" i="13"/>
  <c r="AP15" i="13" l="1"/>
  <c r="AP18" i="13" l="1"/>
  <c r="AP1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<sst xmlns="http://schemas.openxmlformats.org/spreadsheetml/2006/main" count="29869" uniqueCount="13823">
  <si>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</si>
  <si>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</si>
  <si>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</si>
  <si>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</si>
  <si>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</si>
  <si>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</si>
  <si>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</si>
  <si>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</si>
  <si>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</si>
  <si>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</si>
  <si>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</si>
  <si>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</si>
  <si>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</si>
  <si>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</si>
  <si>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</si>
  <si>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</si>
  <si>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</si>
  <si>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</si>
  <si>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</si>
  <si>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</si>
  <si>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</si>
  <si>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</si>
  <si>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</si>
  <si>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</si>
  <si>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</si>
  <si>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</si>
  <si>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</si>
  <si>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</si>
  <si>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</si>
  <si>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</si>
  <si>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</si>
  <si>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</si>
  <si>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</si>
  <si>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</si>
  <si>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</si>
  <si>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</si>
  <si>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</si>
  <si>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</si>
  <si>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</si>
  <si>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</si>
  <si>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</si>
  <si>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</si>
  <si>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</si>
  <si>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</si>
  <si>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</si>
  <si>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</si>
  <si>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</si>
  <si>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</si>
  <si>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</si>
  <si>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</si>
  <si>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</si>
  <si>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</si>
  <si>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</si>
  <si>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</si>
  <si>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</si>
  <si>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</si>
  <si>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</si>
  <si>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</si>
  <si>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</si>
  <si>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</si>
  <si>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</si>
  <si>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</si>
  <si>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</si>
  <si>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</si>
  <si>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</si>
  <si>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</si>
  <si>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</si>
  <si>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</si>
  <si>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</si>
  <si>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</si>
  <si>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</si>
  <si>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</si>
  <si>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</si>
  <si>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</si>
  <si>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</si>
  <si>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</si>
  <si>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</si>
  <si>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</si>
  <si>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</si>
  <si>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</si>
  <si>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</si>
  <si>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</si>
  <si>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</si>
  <si>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</si>
  <si>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</si>
  <si>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</si>
  <si>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</si>
  <si>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</si>
  <si>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</si>
  <si>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</si>
  <si>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</si>
  <si>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</si>
  <si>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</si>
  <si>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</si>
  <si>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</si>
  <si>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</si>
  <si>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</si>
  <si>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</si>
  <si>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</si>
  <si>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</si>
  <si>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</si>
  <si>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</si>
  <si>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</si>
  <si>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</si>
  <si>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</si>
  <si>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</si>
  <si>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</si>
  <si>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</si>
  <si>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</si>
  <si>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</si>
  <si>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</si>
  <si>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</si>
  <si>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</si>
  <si>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</si>
  <si>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</si>
  <si>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</si>
  <si>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</si>
  <si>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</si>
  <si>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</si>
  <si>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</si>
  <si>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</si>
  <si>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</si>
  <si>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</si>
  <si>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</si>
  <si>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</si>
  <si>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</si>
  <si>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</si>
  <si>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</si>
  <si>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</si>
  <si>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</si>
  <si>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</si>
  <si>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</si>
  <si>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</si>
  <si>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</si>
  <si>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</si>
  <si>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</si>
  <si>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</si>
  <si>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</si>
  <si>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</si>
  <si>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</si>
  <si>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</si>
  <si>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</si>
  <si>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</si>
  <si>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</si>
  <si>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</si>
  <si>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</si>
  <si>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</si>
  <si>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</si>
  <si>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</si>
  <si>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</si>
  <si>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</si>
  <si>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</si>
  <si>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</si>
  <si>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</si>
  <si>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</si>
  <si>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</si>
  <si>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</si>
  <si>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</si>
  <si>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</si>
  <si>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</si>
  <si>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</si>
  <si>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</si>
  <si>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</si>
  <si>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</si>
  <si>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</si>
  <si>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</si>
  <si>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</si>
  <si>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</si>
  <si>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</si>
  <si>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</si>
  <si>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</si>
  <si>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</si>
  <si>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</si>
  <si>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</si>
  <si>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</si>
  <si>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</si>
  <si>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</si>
  <si>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</si>
  <si>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</si>
  <si>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</si>
  <si>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</si>
  <si>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</si>
  <si>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</si>
  <si>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</si>
  <si>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</si>
  <si>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</si>
  <si>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</si>
  <si>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</si>
  <si>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</si>
  <si>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</si>
  <si>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</si>
  <si>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</si>
  <si>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</si>
  <si>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</si>
  <si>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</si>
  <si>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</si>
  <si>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</si>
  <si>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</si>
  <si>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</si>
  <si>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</si>
  <si>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</si>
  <si>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</si>
  <si>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</si>
  <si>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</si>
  <si>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</si>
  <si>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</si>
  <si>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</si>
  <si>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</si>
  <si>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</si>
  <si>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</si>
  <si>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</si>
  <si>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</si>
  <si>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</si>
  <si>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</si>
  <si>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</si>
  <si>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</si>
  <si>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</si>
  <si>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</si>
  <si>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</si>
  <si>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</si>
  <si>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</si>
  <si>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</si>
  <si>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</si>
  <si>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</si>
  <si>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</si>
  <si>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</si>
  <si>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</si>
  <si>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</si>
  <si>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</si>
  <si>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</si>
  <si>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</si>
  <si>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</si>
  <si>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</si>
  <si>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</si>
  <si>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</si>
  <si>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</si>
  <si>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</si>
  <si>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</si>
  <si>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</si>
  <si>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</si>
  <si>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</si>
  <si>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</si>
  <si>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</si>
  <si>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</si>
  <si>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</si>
  <si>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</si>
  <si>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</si>
  <si>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</si>
  <si>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</si>
  <si>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</si>
  <si>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</si>
  <si>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</si>
  <si>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</si>
  <si>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</si>
  <si>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</si>
  <si>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</si>
  <si>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</si>
  <si>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</si>
  <si>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</si>
  <si>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</si>
  <si>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</si>
  <si>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</si>
  <si>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</si>
  <si>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</si>
  <si>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</si>
  <si>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</si>
  <si>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</si>
  <si>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</si>
  <si>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</si>
  <si>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</si>
  <si>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</si>
  <si>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</si>
  <si>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</si>
  <si>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</si>
  <si>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</si>
  <si>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</si>
  <si>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</si>
  <si>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</si>
  <si>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</si>
  <si>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</si>
  <si>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</si>
  <si>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</si>
  <si>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</si>
  <si>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</si>
  <si>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</si>
  <si>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</si>
  <si>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</si>
  <si>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</si>
  <si>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</si>
  <si>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</si>
  <si>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</si>
  <si>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</si>
  <si>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</si>
  <si>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</si>
  <si>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</si>
  <si>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</si>
  <si>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</si>
  <si>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</si>
  <si>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</si>
  <si>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</si>
  <si>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</si>
  <si>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</si>
  <si>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</si>
  <si>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</si>
  <si>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</si>
  <si>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</si>
  <si>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</si>
  <si>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</si>
  <si>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</si>
  <si>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</si>
  <si>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</si>
  <si>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</si>
  <si>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</si>
  <si>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</si>
  <si>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</si>
  <si>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</si>
  <si>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</si>
  <si>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</si>
  <si>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</si>
  <si>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</si>
  <si>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</si>
  <si>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</si>
  <si>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</si>
  <si>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</si>
  <si>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</si>
  <si>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</si>
  <si>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</si>
  <si>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</si>
  <si>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</si>
  <si>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</si>
  <si>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</si>
  <si>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</si>
  <si>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</si>
  <si>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</si>
  <si>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</si>
  <si>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</si>
  <si>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</si>
  <si>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</si>
  <si>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</si>
  <si>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</si>
  <si>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</si>
  <si>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</si>
  <si>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</si>
  <si>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</si>
  <si>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</si>
  <si>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</si>
  <si>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</si>
  <si>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</si>
  <si>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</si>
  <si>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</si>
  <si>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</si>
  <si>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</si>
  <si>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</si>
  <si>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</si>
  <si>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</si>
  <si>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</si>
  <si>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</si>
  <si>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</si>
  <si>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</si>
  <si>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</si>
  <si>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</si>
  <si>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</si>
  <si>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</si>
  <si>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</si>
  <si>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</si>
  <si>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</si>
  <si>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</si>
  <si>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</si>
  <si>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</si>
  <si>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</si>
  <si>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</si>
  <si>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</si>
  <si>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</si>
  <si>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</si>
  <si>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</si>
  <si>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</si>
  <si>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</si>
  <si>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</si>
  <si>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</si>
  <si>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</si>
  <si>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</si>
  <si>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</si>
  <si>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</si>
  <si>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</si>
  <si>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</si>
  <si>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</si>
  <si>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</si>
  <si>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</si>
  <si>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</si>
  <si>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</si>
  <si>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</si>
  <si>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</si>
  <si>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</si>
  <si>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</si>
  <si>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</si>
  <si>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</si>
  <si>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</si>
  <si>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</si>
  <si>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</si>
  <si>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</si>
  <si>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</si>
  <si>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</si>
  <si>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</si>
  <si>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</si>
  <si>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</si>
  <si>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</si>
  <si>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</si>
  <si>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</si>
  <si>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</si>
  <si>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</si>
  <si>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</si>
  <si>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</si>
  <si>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</si>
  <si>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</si>
  <si>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</si>
  <si>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</si>
  <si>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</si>
  <si>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</si>
  <si>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</si>
  <si>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</si>
  <si>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</si>
  <si>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</si>
  <si>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</si>
  <si>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</si>
  <si>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</si>
  <si>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</si>
  <si>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</si>
  <si>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</si>
  <si>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</si>
  <si>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</si>
  <si>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</si>
  <si>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</si>
  <si>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</si>
  <si>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</si>
  <si>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</si>
  <si>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</si>
  <si>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</si>
  <si>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</si>
  <si>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</si>
  <si>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</si>
  <si>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</si>
  <si>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</si>
  <si>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</si>
  <si>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</si>
  <si>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</si>
  <si>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</si>
  <si>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</si>
  <si>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</si>
  <si>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</si>
  <si>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</si>
  <si>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</si>
  <si>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</si>
  <si>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</si>
  <si>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</si>
  <si>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</si>
  <si>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</si>
  <si>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</si>
  <si>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</si>
  <si>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</si>
  <si>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</si>
  <si>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</si>
  <si>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</si>
  <si>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</si>
  <si>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</si>
  <si>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</si>
  <si>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</si>
  <si>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</si>
  <si>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</si>
  <si>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</si>
  <si>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</si>
  <si>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</si>
  <si>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</si>
  <si>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</si>
  <si>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</si>
  <si>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</si>
  <si>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</si>
  <si>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</si>
  <si>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</si>
  <si>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</si>
  <si>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</si>
  <si>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</si>
  <si>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</si>
  <si>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</si>
  <si>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</si>
  <si>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</si>
  <si>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</si>
  <si>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</si>
  <si>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</si>
  <si>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</si>
  <si>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</si>
  <si>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</si>
  <si>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</si>
  <si>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</si>
  <si>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</si>
  <si>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</si>
  <si>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</si>
  <si>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</si>
  <si>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</si>
  <si>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</si>
  <si>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</si>
  <si>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</si>
  <si>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</si>
  <si>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</si>
  <si>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</si>
  <si>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</si>
  <si>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</si>
  <si>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</si>
  <si>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</si>
  <si>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</si>
  <si>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</si>
  <si>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</si>
  <si>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</si>
  <si>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</si>
  <si>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</si>
  <si>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</si>
  <si>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</si>
  <si>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</si>
  <si>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</si>
  <si>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</si>
  <si>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</si>
  <si>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</si>
  <si>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</si>
  <si>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</si>
  <si>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</si>
  <si>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</si>
  <si>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</si>
  <si>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</si>
  <si>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</si>
  <si>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</si>
  <si>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</si>
  <si>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</si>
  <si>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</si>
  <si>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</si>
  <si>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</si>
  <si>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</si>
  <si>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</si>
  <si>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</si>
  <si>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</si>
  <si>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</si>
  <si>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</si>
  <si>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</si>
  <si>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</si>
  <si>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</si>
  <si>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</si>
  <si>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</si>
  <si>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</si>
  <si>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</si>
  <si>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</si>
  <si>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</si>
  <si>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</si>
  <si>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</si>
  <si>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</si>
  <si>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</si>
  <si>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</si>
  <si>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</si>
  <si>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</si>
  <si>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</si>
  <si>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</si>
  <si>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</si>
  <si>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</si>
  <si>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</si>
  <si>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</si>
  <si>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</si>
  <si>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</si>
  <si>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</si>
  <si>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</si>
  <si>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</si>
  <si>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</si>
  <si>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</si>
  <si>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</si>
  <si>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</si>
  <si>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</si>
  <si>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</si>
  <si>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</si>
  <si>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</si>
  <si>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</si>
  <si>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</si>
  <si>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</si>
  <si>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</si>
  <si>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</si>
  <si>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</si>
  <si>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</si>
  <si>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</si>
  <si>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</si>
  <si>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</si>
  <si>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</si>
  <si>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</si>
  <si>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</si>
  <si>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</si>
  <si>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</si>
  <si>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</si>
  <si>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</si>
  <si>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</si>
  <si>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</si>
  <si>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</si>
  <si>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</si>
  <si>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</si>
  <si>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</si>
  <si>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</si>
  <si>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</si>
  <si>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</si>
  <si>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</si>
  <si>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</si>
  <si>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</si>
  <si>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</si>
  <si>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</si>
  <si>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</si>
  <si>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</si>
  <si>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</si>
  <si>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</si>
  <si>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</si>
  <si>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</si>
  <si>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</si>
  <si>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</si>
  <si>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</si>
  <si>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</si>
  <si>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</si>
  <si>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</si>
  <si>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</si>
  <si>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</si>
  <si>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</si>
  <si>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</si>
  <si>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</si>
  <si>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</si>
  <si>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</si>
  <si>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</si>
  <si>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</si>
  <si>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</si>
  <si>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</si>
  <si>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</si>
  <si>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</si>
  <si>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</si>
  <si>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</si>
  <si>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</si>
  <si>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</si>
  <si>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</si>
  <si>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</si>
  <si>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</si>
  <si>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</si>
  <si>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</si>
  <si>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</si>
  <si>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</si>
  <si>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</si>
  <si>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</si>
  <si>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</si>
  <si>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</si>
  <si>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</si>
  <si>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</si>
  <si>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</si>
  <si>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</si>
  <si>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</si>
  <si>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</si>
  <si>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</si>
  <si>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</si>
  <si>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</si>
  <si>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</si>
  <si>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</si>
  <si>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</si>
  <si>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</si>
  <si>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</si>
  <si>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</si>
  <si>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</si>
  <si>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</si>
  <si>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</si>
  <si>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</si>
  <si>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</si>
  <si>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</si>
  <si>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</si>
  <si>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</si>
  <si>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</si>
  <si>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</si>
  <si>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</si>
  <si>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</si>
  <si>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</si>
  <si>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</si>
  <si>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</si>
  <si>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</si>
  <si>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</si>
  <si>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</si>
  <si>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</si>
  <si>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</si>
  <si>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</si>
  <si>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</si>
  <si>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</si>
  <si>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</si>
  <si>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</si>
  <si>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</si>
  <si>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</si>
  <si>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</si>
  <si>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</si>
  <si>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</si>
  <si>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</si>
  <si>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</si>
  <si>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</si>
  <si>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</si>
  <si>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</si>
  <si>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</si>
  <si>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</si>
  <si>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</si>
  <si>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</si>
  <si>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</si>
  <si>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</si>
  <si>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</si>
  <si>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</si>
  <si>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</si>
  <si>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</si>
  <si>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</si>
  <si>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</si>
  <si>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</si>
  <si>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</si>
  <si>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</si>
  <si>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</si>
  <si>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</si>
  <si>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</si>
  <si>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</si>
  <si>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</si>
  <si>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</si>
  <si>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</si>
  <si>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</si>
  <si>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</si>
  <si>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</si>
  <si>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</si>
  <si>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</si>
  <si>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</si>
  <si>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</si>
  <si>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</si>
  <si>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</si>
  <si>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</si>
  <si>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</si>
  <si>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</si>
  <si>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</si>
  <si>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</si>
  <si>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</si>
  <si>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</si>
  <si>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</si>
  <si>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</si>
  <si>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</si>
  <si>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</si>
  <si>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</si>
  <si>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</si>
  <si>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</si>
  <si>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</si>
  <si>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</si>
  <si>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</si>
  <si>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</si>
  <si>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</si>
  <si>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</si>
  <si>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</si>
  <si>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</si>
  <si>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</si>
  <si>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</si>
  <si>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</si>
  <si>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</si>
  <si>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</si>
  <si>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</si>
  <si>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</si>
  <si>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</si>
  <si>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</si>
  <si>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</si>
  <si>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</si>
  <si>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</si>
  <si>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</si>
  <si>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</si>
  <si>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</si>
  <si>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</si>
  <si>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</si>
  <si>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</si>
  <si>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</si>
  <si>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</si>
  <si>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</si>
  <si>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</si>
  <si>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</si>
  <si>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</si>
  <si>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</si>
  <si>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</si>
  <si>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</si>
  <si>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</si>
  <si>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</si>
  <si>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</si>
  <si>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</si>
  <si>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</si>
  <si>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</si>
  <si>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</si>
  <si>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</si>
  <si>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</si>
  <si>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</si>
  <si>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</si>
  <si>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</si>
  <si>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</si>
  <si>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</si>
  <si>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</si>
  <si>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</si>
  <si>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</si>
  <si>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</si>
  <si>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</si>
  <si>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</si>
  <si>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</si>
  <si>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</si>
  <si>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</si>
  <si>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</si>
  <si>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</si>
  <si>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</si>
  <si>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</si>
  <si>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</si>
  <si>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</si>
  <si>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</si>
  <si>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</si>
  <si>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</si>
  <si>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</si>
  <si>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</si>
  <si>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</si>
  <si>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</si>
  <si>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</si>
  <si>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</si>
  <si>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</si>
  <si>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</si>
  <si>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</si>
  <si>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</si>
  <si>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</si>
  <si>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</si>
  <si>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</si>
  <si>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</si>
  <si>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</si>
  <si>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</si>
  <si>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</si>
  <si>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</si>
  <si>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</si>
  <si>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</si>
  <si>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</si>
  <si>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</si>
  <si>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</si>
  <si>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</si>
  <si>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</si>
  <si>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</si>
  <si>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</si>
  <si>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</si>
  <si>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</si>
  <si>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</si>
  <si>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</si>
  <si>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</si>
  <si>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</si>
  <si>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</si>
  <si>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</si>
  <si>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</si>
  <si>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</si>
  <si>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</si>
  <si>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</si>
  <si>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</si>
  <si>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</si>
  <si>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</si>
  <si>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</si>
  <si>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</si>
  <si>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</si>
  <si>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</si>
  <si>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</si>
  <si>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</si>
  <si>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</si>
  <si>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</si>
  <si>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</si>
  <si>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</si>
  <si>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</si>
  <si>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</si>
  <si>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</si>
  <si>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</si>
  <si>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</si>
  <si>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</si>
  <si>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</si>
  <si>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</si>
  <si>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</si>
  <si>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</si>
  <si>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</si>
  <si>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</si>
  <si>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</si>
  <si>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</si>
  <si>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</si>
  <si>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</si>
  <si>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</si>
  <si>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</si>
  <si>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</si>
  <si>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</si>
  <si>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</si>
  <si>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</si>
  <si>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</si>
  <si>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</si>
  <si>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</si>
  <si>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</si>
  <si>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</si>
  <si>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</si>
  <si>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</si>
  <si>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</si>
  <si>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</si>
  <si>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</si>
  <si>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</si>
  <si>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</si>
  <si>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</si>
  <si>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</si>
  <si>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</si>
  <si>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</si>
  <si>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</si>
  <si>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</si>
  <si>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</si>
  <si>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</si>
  <si>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</si>
  <si>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</si>
  <si>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</si>
  <si>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</si>
  <si>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</si>
  <si>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</si>
  <si>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</si>
  <si>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</si>
  <si>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</si>
  <si>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</si>
  <si>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</si>
  <si>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</si>
  <si>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</si>
  <si>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</si>
  <si>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</si>
  <si>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</si>
  <si>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</si>
  <si>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</si>
  <si>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</si>
  <si>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</si>
  <si>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</si>
  <si>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</si>
  <si>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</si>
  <si>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</si>
  <si>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</si>
  <si>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</si>
  <si>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</si>
  <si>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</si>
  <si>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</si>
  <si>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</si>
  <si>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</si>
  <si>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</si>
  <si>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</si>
  <si>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</si>
  <si>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</si>
  <si>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</si>
  <si>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</si>
  <si>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</si>
  <si>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</si>
  <si>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</si>
  <si>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</si>
  <si>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</si>
  <si>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</si>
  <si>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</si>
  <si>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</si>
  <si>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</si>
  <si>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</si>
  <si>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</si>
  <si>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</si>
  <si>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</si>
  <si>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</si>
  <si>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</si>
  <si>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</si>
  <si>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</si>
  <si>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</si>
  <si>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</si>
  <si>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</si>
  <si>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</si>
  <si>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</si>
  <si>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</si>
  <si>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</si>
  <si>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</si>
  <si>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</si>
  <si>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</si>
  <si>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</si>
  <si>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</si>
  <si>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</si>
  <si>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</si>
  <si>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</si>
  <si>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</si>
  <si>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</si>
  <si>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</si>
  <si>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</si>
  <si>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</si>
  <si>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</si>
  <si>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</si>
  <si>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</si>
  <si>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</si>
  <si>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</si>
  <si>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</si>
  <si>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</si>
  <si>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</si>
  <si>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</si>
  <si>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</si>
  <si>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</si>
  <si>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</si>
  <si>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</si>
  <si>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</si>
  <si>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</si>
  <si>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</si>
  <si>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</si>
  <si>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</si>
  <si>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</si>
  <si>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</si>
  <si>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</si>
  <si>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</si>
  <si>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</si>
  <si>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</si>
  <si>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</si>
  <si>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</si>
  <si>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</si>
  <si>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</si>
  <si>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</si>
  <si>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</si>
  <si>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</si>
  <si>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</si>
  <si>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</si>
  <si>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</si>
  <si>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</si>
  <si>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</si>
  <si>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</si>
  <si>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</si>
  <si>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</si>
  <si>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</si>
  <si>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</si>
  <si>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</si>
  <si>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</si>
  <si>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</si>
  <si>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</si>
  <si>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</si>
  <si>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</si>
  <si>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</si>
  <si>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</si>
  <si>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</si>
  <si>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</si>
  <si>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</si>
  <si>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</si>
  <si>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</si>
  <si>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</si>
  <si>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</si>
  <si>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</si>
  <si>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</si>
  <si>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</si>
  <si>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</si>
  <si>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</si>
  <si>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</si>
  <si>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</si>
  <si>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</si>
  <si>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</si>
  <si>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</si>
  <si>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</si>
  <si>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</si>
  <si>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</si>
  <si>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</si>
  <si>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</si>
  <si>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</si>
  <si>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</si>
  <si>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</si>
  <si>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</si>
  <si>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</si>
  <si>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</si>
  <si>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</si>
  <si>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</si>
  <si>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</si>
  <si>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</si>
  <si>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</si>
  <si>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</si>
  <si>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</si>
  <si>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</si>
  <si>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</si>
  <si>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</si>
  <si>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</si>
  <si>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</si>
  <si>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</si>
  <si>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</si>
  <si>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</si>
  <si>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</si>
  <si>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</si>
  <si>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</si>
  <si>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</si>
  <si>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</si>
  <si>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</si>
  <si>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</si>
  <si>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</si>
  <si>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</si>
  <si>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</si>
  <si>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</si>
  <si>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</si>
  <si>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</si>
  <si>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</si>
  <si>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</si>
  <si>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</si>
  <si>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</si>
  <si>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</si>
  <si>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</si>
  <si>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</si>
  <si>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</si>
  <si>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</si>
  <si>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</si>
  <si>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</si>
  <si>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</si>
  <si>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</si>
  <si>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</si>
  <si>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</si>
  <si>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</si>
  <si>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</si>
  <si>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</si>
  <si>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</si>
  <si>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</si>
  <si>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</si>
  <si>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</si>
  <si>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</si>
  <si>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</si>
  <si>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</si>
  <si>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</si>
  <si>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</si>
  <si>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</si>
  <si>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</si>
  <si>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</si>
  <si>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</si>
  <si>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</si>
  <si>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</si>
  <si>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</si>
  <si>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</si>
  <si>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</si>
  <si>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</si>
  <si>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</si>
  <si>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</si>
  <si>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</si>
  <si>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</si>
  <si>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</si>
  <si>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</si>
  <si>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</si>
  <si>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</si>
  <si>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</si>
  <si>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</si>
  <si>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</si>
  <si>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</si>
  <si>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</si>
  <si>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</si>
  <si>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</si>
  <si>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</si>
  <si>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</si>
  <si>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</si>
  <si>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</si>
  <si>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</si>
  <si>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</si>
  <si>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</si>
  <si>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</si>
  <si>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</si>
  <si>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</si>
  <si>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</si>
  <si>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</si>
  <si>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</si>
  <si>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</si>
  <si>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</si>
  <si>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</si>
  <si>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</si>
  <si>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</si>
  <si>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</si>
  <si>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</si>
  <si>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</si>
  <si>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</si>
  <si>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</si>
  <si>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</si>
  <si>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</si>
  <si>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</si>
  <si>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</si>
  <si>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</si>
  <si>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</si>
  <si>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</si>
  <si>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</si>
  <si>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</si>
  <si>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</si>
  <si>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</si>
  <si>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</si>
  <si>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</si>
  <si>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</si>
  <si>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</si>
  <si>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</si>
  <si>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</si>
  <si>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</si>
  <si>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</si>
  <si>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</si>
  <si>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</si>
  <si>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</si>
  <si>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</si>
  <si>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</si>
  <si>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</si>
  <si>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</si>
  <si>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</si>
  <si>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</si>
  <si>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</si>
  <si>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</si>
  <si>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</si>
  <si>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</si>
  <si>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</si>
  <si>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</si>
  <si>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</si>
  <si>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</si>
  <si>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</si>
  <si>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</si>
  <si>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</si>
  <si>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</si>
  <si>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</si>
  <si>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</si>
  <si>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</si>
  <si>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</si>
  <si>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</si>
  <si>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</si>
  <si>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</si>
  <si>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</si>
  <si>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</si>
  <si>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</si>
  <si>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</si>
  <si>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</si>
  <si>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</si>
  <si>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</si>
  <si>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</si>
  <si>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</si>
  <si>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</si>
  <si>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</si>
  <si>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</si>
  <si>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</si>
  <si>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</si>
  <si>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</si>
  <si>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</si>
  <si>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</si>
  <si>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</si>
  <si>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</si>
  <si>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</si>
  <si>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</si>
  <si>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</si>
  <si>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</si>
  <si>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</si>
  <si>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</si>
  <si>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</si>
  <si>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</si>
  <si>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</si>
  <si>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</si>
  <si>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</si>
  <si>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</si>
  <si>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</si>
  <si>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</si>
  <si>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</si>
  <si>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</si>
  <si>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</si>
  <si>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</si>
  <si>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</si>
  <si>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</si>
  <si>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</si>
  <si>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</si>
  <si>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</si>
  <si>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</si>
  <si>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</si>
  <si>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</si>
  <si>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</si>
  <si>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</si>
  <si>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</si>
  <si>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</si>
  <si>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</si>
  <si>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</si>
  <si>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</si>
  <si>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</si>
  <si>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</si>
  <si>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</si>
  <si>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</si>
  <si>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</si>
  <si>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</si>
  <si>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</si>
  <si>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</si>
  <si>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</si>
  <si>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</si>
  <si>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</si>
  <si>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</si>
  <si>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</si>
  <si>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</si>
  <si>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</si>
  <si>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</si>
  <si>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</si>
  <si>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</si>
  <si>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</si>
  <si>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</si>
  <si>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</si>
  <si>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</si>
  <si>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</si>
  <si>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</si>
  <si>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</si>
  <si>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</si>
  <si>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</si>
  <si>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</si>
  <si>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</si>
  <si>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</si>
  <si>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</si>
  <si>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</si>
  <si>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</si>
  <si>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</si>
  <si>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</si>
  <si>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</si>
  <si>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</si>
  <si>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</si>
  <si>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</si>
  <si>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</si>
  <si>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</si>
  <si>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</si>
  <si>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</si>
  <si>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</si>
  <si>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</si>
  <si>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</si>
  <si>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</si>
  <si>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</si>
  <si>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</si>
  <si>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</si>
  <si>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</si>
  <si>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</si>
  <si>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</si>
  <si>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</si>
  <si>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</si>
  <si>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</si>
  <si>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</si>
  <si>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</si>
  <si>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</si>
  <si>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</si>
  <si>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</si>
  <si>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</si>
  <si>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</si>
  <si>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</si>
  <si>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</si>
  <si>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</si>
  <si>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</si>
  <si>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</si>
  <si>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</si>
  <si>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</si>
  <si>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</si>
  <si>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</si>
  <si>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</si>
  <si>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</si>
  <si>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</si>
  <si>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</si>
  <si>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</si>
  <si>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</si>
  <si>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</si>
  <si>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</si>
  <si>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</si>
  <si>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</si>
  <si>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</si>
  <si>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</si>
  <si>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</si>
  <si>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</si>
  <si>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</si>
  <si>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</si>
  <si>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</si>
  <si>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</si>
  <si>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</si>
  <si>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</si>
  <si>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</si>
  <si>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</si>
  <si>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</si>
  <si>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</si>
  <si>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</si>
  <si>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</si>
  <si>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</si>
  <si>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</si>
  <si>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</si>
  <si>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</si>
  <si>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</si>
  <si>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</si>
  <si>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</si>
  <si>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</si>
  <si>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</si>
  <si>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</si>
  <si>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</si>
  <si>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</si>
  <si>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</si>
  <si>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</si>
  <si>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</si>
  <si>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</si>
  <si>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</si>
  <si>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</si>
  <si>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</si>
  <si>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</si>
  <si>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</si>
  <si>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</si>
  <si>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</si>
  <si>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</si>
  <si>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</si>
  <si>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</si>
  <si>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</si>
  <si>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</si>
  <si>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</si>
  <si>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</si>
  <si>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</si>
  <si>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</si>
  <si>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</si>
  <si>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</si>
  <si>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</si>
  <si>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</si>
  <si>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</si>
  <si>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</si>
  <si>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</si>
  <si>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</si>
  <si>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</si>
  <si>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</si>
  <si>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</si>
  <si>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</si>
  <si>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</si>
  <si>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</si>
  <si>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</si>
  <si>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</si>
  <si>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</si>
  <si>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</si>
  <si>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</si>
  <si>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</si>
  <si>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</si>
  <si>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</si>
  <si>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</si>
  <si>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</si>
  <si>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</si>
  <si>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</si>
  <si>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</si>
  <si>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</si>
  <si>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</si>
  <si>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</si>
  <si>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</si>
  <si>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</si>
  <si>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</si>
  <si>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</si>
  <si>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</si>
  <si>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</si>
  <si>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</si>
  <si>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</si>
  <si>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</si>
  <si>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</si>
  <si>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</si>
  <si>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</si>
  <si>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</si>
  <si>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</si>
  <si>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</si>
  <si>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</si>
  <si>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</si>
  <si>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</si>
  <si>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</si>
  <si>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</si>
  <si>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</si>
  <si>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</si>
  <si>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</si>
  <si>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</si>
  <si>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</si>
  <si>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</si>
  <si>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</si>
  <si>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</si>
  <si>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</si>
  <si>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</si>
  <si>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</si>
  <si>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</si>
  <si>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</si>
  <si>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</si>
  <si>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</si>
  <si>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</si>
  <si>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</si>
  <si>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</si>
  <si>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</si>
  <si>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</si>
  <si>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</si>
  <si>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</si>
  <si>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</si>
  <si>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</si>
  <si>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</si>
  <si>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</si>
  <si>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</si>
  <si>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</si>
  <si>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</si>
  <si>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</si>
  <si>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</si>
  <si>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</si>
  <si>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</si>
  <si>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</si>
  <si>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</si>
  <si>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</si>
  <si>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</si>
  <si>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</si>
  <si>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</si>
  <si>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</si>
  <si>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</si>
  <si>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</si>
  <si>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</si>
  <si>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</si>
  <si>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</si>
  <si>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</si>
  <si>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</si>
  <si>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</si>
  <si>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</si>
  <si>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</si>
  <si>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</si>
  <si>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</si>
  <si>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</si>
  <si>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</si>
  <si>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</si>
  <si>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</si>
  <si>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</si>
  <si>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</si>
  <si>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</si>
  <si>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</si>
  <si>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</si>
  <si>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</si>
  <si>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</si>
  <si>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</si>
  <si>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</si>
  <si>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</si>
  <si>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</si>
  <si>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</si>
  <si>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</si>
  <si>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</si>
  <si>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</si>
  <si>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</si>
  <si>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</si>
  <si>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</si>
  <si>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</si>
  <si>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</si>
  <si>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</si>
  <si>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</si>
  <si>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</si>
  <si>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</si>
  <si>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</si>
  <si>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</si>
  <si>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</si>
  <si>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</si>
  <si>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</si>
  <si>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</si>
  <si>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</si>
  <si>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</si>
  <si>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</si>
  <si>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</si>
  <si>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</si>
  <si>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</si>
  <si>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</si>
  <si>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</si>
  <si>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</si>
  <si>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</si>
  <si>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</si>
  <si>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</si>
  <si>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</si>
  <si>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</si>
  <si>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</si>
  <si>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</si>
  <si>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</si>
  <si>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</si>
  <si>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</si>
  <si>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</si>
  <si>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</si>
  <si>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</si>
  <si>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</si>
  <si>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</si>
  <si>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</si>
  <si>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</si>
  <si>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</si>
  <si>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</si>
  <si>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</si>
  <si>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</si>
  <si>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</si>
  <si>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</si>
  <si>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</si>
  <si>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</si>
  <si>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</si>
  <si>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</si>
  <si>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</si>
  <si>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</si>
  <si>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</si>
  <si>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</si>
  <si>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</si>
  <si>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</si>
  <si>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</si>
  <si>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</si>
  <si>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</si>
  <si>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</si>
  <si>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</si>
  <si>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</si>
  <si>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</si>
  <si>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</si>
  <si>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</si>
  <si>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</si>
  <si>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</si>
  <si>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</si>
  <si>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</si>
  <si>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</si>
  <si>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</si>
  <si>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</si>
  <si>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</si>
  <si>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</si>
  <si>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</si>
  <si>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</si>
  <si>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</si>
  <si>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</si>
  <si>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</si>
  <si>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</si>
  <si>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</si>
  <si>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</si>
  <si>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</si>
  <si>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</si>
  <si>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</si>
  <si>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</si>
  <si>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</si>
  <si>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</si>
  <si>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</si>
  <si>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</si>
  <si>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</si>
  <si>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</si>
  <si>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</si>
  <si>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</si>
  <si>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</si>
  <si>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</si>
  <si>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</si>
  <si>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</si>
  <si>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</si>
  <si>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</si>
  <si>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</si>
  <si>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</si>
  <si>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</si>
  <si>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</si>
  <si>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</si>
  <si>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</si>
  <si>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</si>
  <si>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</si>
  <si>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</si>
  <si>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</si>
  <si>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</si>
  <si>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</si>
  <si>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</si>
  <si>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</si>
  <si>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</si>
  <si>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</si>
  <si>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</si>
  <si>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</si>
  <si>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</si>
  <si>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</si>
  <si>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</si>
  <si>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</si>
  <si>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</si>
  <si>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</si>
  <si>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</si>
  <si>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</si>
  <si>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</si>
  <si>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</si>
  <si>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</si>
  <si>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</si>
  <si>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</si>
  <si>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</si>
  <si>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</si>
  <si>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</si>
  <si>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</si>
  <si>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</si>
  <si>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</si>
  <si>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</si>
  <si>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</si>
  <si>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</si>
  <si>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</si>
  <si>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</si>
  <si>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</si>
  <si>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</si>
  <si>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</si>
  <si>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</si>
  <si>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</si>
  <si>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</si>
  <si>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</si>
  <si>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</si>
  <si>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</si>
  <si>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</si>
  <si>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</si>
  <si>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</si>
  <si>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</si>
  <si>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</si>
  <si>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</si>
  <si>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</si>
  <si>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</si>
  <si>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</si>
  <si>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</si>
  <si>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</si>
  <si>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</si>
  <si>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</si>
  <si>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</si>
  <si>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</si>
  <si>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</si>
  <si>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</si>
  <si>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</si>
  <si>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</si>
  <si>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</si>
  <si>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</si>
  <si>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</si>
  <si>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</si>
  <si>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</si>
  <si>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</si>
  <si>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</si>
  <si>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</si>
  <si>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</si>
  <si>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</si>
  <si>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</si>
  <si>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</si>
  <si>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</si>
  <si>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</si>
  <si>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</si>
  <si>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</si>
  <si>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</si>
  <si>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</si>
  <si>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</si>
  <si>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</si>
  <si>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</si>
  <si>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</si>
  <si>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</si>
  <si>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</si>
  <si>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</si>
  <si>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</si>
  <si>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</si>
  <si>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</si>
  <si>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</si>
  <si>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</si>
  <si>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</si>
  <si>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</si>
  <si>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</si>
  <si>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</si>
  <si>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</si>
  <si>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</si>
  <si>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</si>
  <si>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</si>
  <si>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</si>
  <si>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</si>
  <si>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</si>
  <si>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</si>
  <si>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</si>
  <si>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</si>
  <si>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</si>
  <si>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</si>
  <si>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</si>
  <si>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</si>
  <si>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</si>
  <si>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</si>
  <si>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</si>
  <si>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</si>
  <si>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</si>
  <si>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</si>
  <si>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</si>
  <si>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</si>
  <si>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</si>
  <si>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</si>
  <si>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</si>
  <si>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</si>
  <si>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</si>
  <si>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</si>
  <si>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</si>
  <si>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</si>
  <si>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</si>
  <si>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</si>
  <si>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</si>
  <si>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</si>
  <si>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</si>
  <si>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</si>
  <si>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</si>
  <si>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</si>
  <si>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</si>
  <si>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</si>
  <si>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</si>
  <si>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</si>
  <si>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</si>
  <si>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</si>
  <si>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</si>
  <si>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</si>
  <si>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</si>
  <si>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</si>
  <si>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</si>
  <si>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</si>
  <si>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</si>
  <si>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</si>
  <si>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</si>
  <si>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</si>
  <si>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</si>
  <si>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</si>
  <si>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</si>
  <si>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</si>
  <si>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</si>
  <si>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</si>
  <si>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</si>
  <si>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</si>
  <si>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</si>
  <si>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</si>
  <si>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</si>
  <si>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</si>
  <si>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</si>
  <si>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</si>
  <si>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</si>
  <si>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</si>
  <si>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</si>
  <si>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</si>
  <si>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</si>
  <si>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</si>
  <si>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</si>
  <si>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</si>
  <si>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</si>
  <si>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</si>
  <si>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</si>
  <si>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</si>
  <si>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</si>
  <si>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</si>
  <si>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</si>
  <si>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</si>
  <si>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</si>
  <si>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</si>
  <si>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</si>
  <si>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</si>
  <si>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</si>
  <si>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</si>
  <si>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</si>
  <si>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</si>
  <si>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</si>
  <si>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</si>
  <si>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</si>
  <si>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</si>
  <si>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</si>
  <si>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</si>
  <si>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</si>
  <si>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</si>
  <si>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</si>
  <si>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</si>
  <si>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</si>
  <si>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</si>
  <si>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</si>
  <si>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</si>
  <si>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</si>
  <si>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</si>
  <si>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</si>
  <si>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</si>
  <si>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</si>
  <si>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</si>
  <si>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</si>
  <si>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</si>
  <si>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</si>
  <si>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</si>
  <si>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</si>
  <si>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</si>
  <si>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</si>
  <si>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</si>
  <si>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</si>
  <si>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</si>
  <si>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</si>
  <si>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</si>
  <si>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</si>
  <si>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</si>
  <si>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</si>
  <si>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</si>
  <si>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</si>
  <si>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</si>
  <si>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</si>
  <si>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</si>
  <si>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</si>
  <si>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</si>
  <si>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</si>
  <si>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</si>
  <si>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</si>
  <si>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</si>
  <si>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</si>
  <si>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</si>
  <si>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</si>
  <si>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</si>
  <si>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</si>
  <si>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</si>
  <si>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</si>
  <si>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</si>
  <si>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</si>
  <si>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</si>
  <si>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</si>
  <si>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</si>
  <si>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</si>
  <si>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</si>
  <si>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</si>
  <si>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</si>
  <si>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</si>
  <si>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</si>
  <si>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</si>
  <si>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</si>
  <si>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</si>
  <si>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</si>
  <si>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</si>
  <si>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</si>
  <si>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</si>
  <si>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</si>
  <si>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</si>
  <si>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</si>
  <si>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</si>
  <si>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</si>
  <si>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</si>
  <si>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</si>
  <si>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</si>
  <si>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</si>
  <si>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</si>
  <si>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</si>
  <si>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</si>
  <si>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</si>
  <si>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</si>
  <si>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</si>
  <si>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</si>
  <si>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</si>
  <si>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</si>
  <si>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</si>
  <si>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</si>
  <si>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</si>
  <si>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</si>
  <si>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</si>
  <si>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</si>
  <si>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</si>
  <si>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</si>
  <si>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</si>
  <si>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</si>
  <si>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</si>
  <si>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</si>
  <si>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</si>
  <si>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</si>
  <si>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</si>
  <si>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</si>
  <si>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</si>
  <si>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</si>
  <si>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</si>
  <si>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</si>
  <si>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</si>
  <si>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</si>
  <si>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</si>
  <si>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</si>
  <si>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</si>
  <si>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</si>
  <si>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</si>
  <si>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</si>
  <si>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</si>
  <si>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</si>
  <si>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</si>
  <si>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</si>
  <si>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</si>
  <si>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</si>
  <si>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</si>
  <si>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</si>
  <si>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</si>
  <si>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</si>
  <si>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</si>
  <si>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</si>
  <si>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</si>
  <si>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</si>
  <si>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</si>
  <si>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</si>
  <si>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</si>
  <si>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</si>
  <si>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</si>
  <si>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</si>
  <si>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</si>
  <si>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</si>
  <si>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</si>
  <si>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</si>
  <si>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</si>
  <si>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</si>
  <si>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</si>
  <si>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</si>
  <si>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</si>
  <si>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</si>
  <si>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</si>
  <si>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</si>
  <si>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</si>
  <si>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</si>
  <si>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</si>
  <si>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</si>
  <si>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</si>
  <si>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</si>
  <si>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</si>
  <si>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</si>
  <si>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</si>
  <si>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</si>
  <si>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</si>
  <si>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</si>
  <si>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</si>
  <si>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</si>
  <si>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</si>
  <si>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</si>
  <si>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</si>
  <si>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</si>
  <si>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</si>
  <si>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</si>
  <si>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</si>
  <si>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</si>
  <si>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</si>
  <si>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</si>
  <si>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</si>
  <si>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</si>
  <si>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</si>
  <si>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</si>
  <si>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</si>
  <si>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</si>
  <si>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</si>
  <si>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</si>
  <si>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</si>
  <si>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</si>
  <si>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</si>
  <si>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</si>
  <si>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</si>
  <si>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</si>
  <si>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</si>
  <si>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</si>
  <si>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</si>
  <si>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</si>
  <si>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</si>
  <si>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</si>
  <si>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</si>
  <si>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</si>
  <si>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</si>
  <si>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</si>
  <si>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</si>
  <si>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</si>
  <si>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</si>
  <si>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</si>
  <si>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</si>
  <si>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</si>
  <si>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</si>
  <si>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</si>
  <si>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</si>
  <si>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</si>
  <si>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</si>
  <si>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</si>
  <si>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</si>
  <si>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</si>
  <si>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</si>
  <si>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</si>
  <si>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</si>
  <si>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</si>
  <si>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</si>
  <si>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</si>
  <si>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</si>
  <si>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</si>
  <si>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</si>
  <si>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</si>
  <si>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</si>
  <si>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</si>
  <si>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</si>
  <si>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</si>
  <si>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</si>
  <si>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</si>
  <si>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</si>
  <si>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</si>
  <si>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</si>
  <si>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</si>
  <si>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</si>
  <si>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</si>
  <si>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</si>
  <si>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</si>
  <si>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</si>
  <si>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</si>
  <si>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</si>
  <si>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</si>
  <si>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</si>
  <si>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</si>
  <si>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</si>
  <si>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</si>
  <si>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</si>
  <si>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</si>
  <si>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</si>
  <si>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</si>
  <si>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</si>
  <si>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</si>
  <si>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</si>
  <si>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</si>
  <si>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</si>
  <si>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</si>
  <si>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</si>
  <si>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</si>
  <si>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</si>
  <si>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</si>
  <si>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</si>
  <si>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</si>
  <si>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</si>
  <si>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</si>
  <si>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</si>
  <si>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</si>
  <si>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</si>
  <si>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</si>
  <si>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</si>
  <si>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</si>
  <si>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</si>
  <si>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</si>
  <si>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</si>
  <si>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</si>
  <si>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</si>
  <si>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</si>
  <si>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</si>
  <si>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</si>
  <si>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</si>
  <si>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</si>
  <si>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</si>
  <si>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</si>
  <si>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</si>
  <si>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</si>
  <si>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</si>
  <si>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</si>
  <si>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</si>
  <si>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</si>
  <si>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</si>
  <si>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</si>
  <si>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</si>
  <si>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</si>
  <si>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</si>
  <si>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</si>
  <si>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</si>
  <si>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</si>
  <si>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</si>
  <si>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</si>
  <si>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</si>
  <si>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</si>
  <si>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</si>
  <si>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</si>
  <si>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</si>
  <si>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</si>
  <si>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</si>
  <si>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</si>
  <si>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</si>
  <si>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</si>
  <si>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</si>
  <si>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</si>
  <si>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</si>
  <si>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</si>
  <si>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</si>
  <si>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</si>
  <si>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</si>
  <si>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</si>
  <si>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</si>
  <si>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</si>
  <si>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</si>
  <si>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</si>
  <si>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</si>
  <si>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</si>
  <si>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</si>
  <si>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</si>
  <si>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</si>
  <si>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</si>
  <si>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</si>
  <si>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</si>
  <si>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</si>
  <si>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</si>
  <si>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</si>
  <si>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</si>
  <si>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</si>
  <si>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</si>
  <si>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</si>
  <si>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</si>
  <si>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</si>
  <si>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</si>
  <si>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</si>
  <si>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</si>
  <si>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</si>
  <si>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</si>
  <si>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</si>
  <si>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</si>
  <si>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</si>
  <si>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</si>
  <si>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</si>
  <si>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</si>
  <si>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</si>
  <si>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</si>
  <si>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</si>
  <si>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</si>
  <si>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</si>
  <si>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</si>
  <si>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</si>
  <si>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</si>
  <si>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</si>
  <si>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</si>
  <si>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</si>
  <si>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</si>
  <si>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</si>
  <si>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</si>
  <si>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</si>
  <si>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</si>
  <si>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</si>
  <si>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</si>
  <si>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</si>
  <si>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</si>
  <si>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</si>
  <si>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</si>
  <si>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</si>
  <si>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</si>
  <si>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</si>
  <si>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</si>
  <si>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</si>
  <si>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</si>
  <si>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</si>
  <si>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</si>
  <si>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</si>
  <si>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</si>
  <si>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</si>
  <si>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</si>
  <si>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</si>
  <si>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</si>
  <si>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</si>
  <si>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</si>
  <si>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</si>
  <si>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</si>
  <si>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</si>
  <si>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</si>
  <si>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</si>
  <si>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</si>
  <si>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</si>
  <si>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</si>
  <si>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</si>
  <si>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</si>
  <si>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</si>
  <si>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</si>
  <si>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</si>
  <si>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</si>
  <si>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</si>
  <si>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</si>
  <si>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</si>
  <si>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</si>
  <si>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</si>
  <si>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</si>
  <si>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</si>
  <si>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</si>
  <si>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</si>
  <si>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</si>
  <si>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</si>
  <si>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</si>
  <si>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</si>
  <si>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</si>
  <si>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</si>
  <si>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</si>
  <si>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</si>
  <si>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</si>
  <si>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</si>
  <si>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</si>
  <si>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</si>
  <si>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</si>
  <si>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</si>
  <si>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</si>
  <si>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</si>
  <si>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</si>
  <si>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</si>
  <si>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</si>
  <si>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</si>
  <si>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</si>
  <si>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</si>
  <si>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</si>
  <si>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</si>
  <si>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</si>
  <si>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</si>
  <si>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</si>
  <si>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</si>
  <si>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</si>
  <si>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</si>
  <si>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</si>
  <si>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</si>
  <si>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</si>
  <si>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</si>
  <si>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</si>
  <si>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</si>
  <si>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</si>
  <si>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</si>
  <si>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</si>
  <si>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</si>
  <si>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</si>
  <si>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</si>
  <si>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</si>
  <si>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</si>
  <si>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</si>
  <si>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</si>
  <si>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</si>
  <si>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</si>
  <si>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</si>
  <si>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</si>
  <si>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</si>
  <si>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</si>
  <si>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</si>
  <si>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</si>
  <si>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</si>
  <si>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</si>
  <si>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</si>
  <si>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</si>
  <si>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</si>
  <si>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</si>
  <si>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</si>
  <si>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</si>
  <si>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</si>
  <si>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</si>
  <si>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</si>
  <si>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</si>
  <si>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</si>
  <si>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</si>
  <si>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</si>
  <si>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</si>
  <si>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</si>
  <si>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</si>
  <si>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</si>
  <si>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</si>
  <si>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</si>
  <si>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</si>
  <si>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</si>
  <si>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</si>
  <si>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</si>
  <si>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</si>
  <si>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</si>
  <si>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</si>
  <si>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</si>
  <si>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</si>
  <si>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</si>
  <si>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</si>
  <si>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</si>
  <si>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</si>
  <si>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</si>
  <si>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</si>
  <si>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</si>
  <si>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</si>
  <si>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</si>
  <si>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</si>
  <si>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</si>
  <si>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</si>
  <si>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</si>
  <si>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</si>
  <si>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</si>
  <si>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</si>
  <si>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</si>
  <si>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</si>
  <si>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</si>
  <si>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</si>
  <si>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</si>
  <si>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</si>
  <si>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</si>
  <si>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</si>
  <si>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</si>
  <si>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</si>
  <si>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</si>
  <si>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</si>
  <si>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</si>
  <si>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</si>
  <si>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</si>
  <si>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</si>
  <si>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</si>
  <si>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</si>
  <si>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</si>
  <si>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</si>
  <si>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</si>
  <si>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</si>
  <si>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</si>
  <si>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</si>
  <si>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</si>
  <si>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</si>
  <si>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</si>
  <si>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</si>
  <si>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</si>
  <si>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</si>
  <si>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</si>
  <si>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</si>
  <si>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</si>
  <si>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</si>
  <si>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</si>
  <si>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</si>
  <si>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</si>
  <si>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</si>
  <si>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</si>
  <si>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</si>
  <si>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</si>
  <si>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</si>
  <si>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</si>
  <si>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</si>
  <si>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</si>
  <si>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</si>
  <si>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</si>
  <si>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</si>
  <si>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</si>
  <si>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</si>
  <si>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</si>
  <si>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</si>
  <si>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</si>
  <si>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</si>
  <si>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</si>
  <si>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</si>
  <si>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</si>
  <si>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</si>
  <si>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</si>
  <si>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</si>
  <si>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</si>
  <si>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</si>
  <si>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</si>
  <si>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</si>
  <si>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</si>
  <si>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</si>
  <si>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</si>
  <si>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</si>
  <si>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</si>
  <si>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</si>
  <si>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</si>
  <si>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</si>
  <si>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</si>
  <si>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</si>
  <si>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</si>
  <si>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</si>
  <si>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</si>
  <si>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</si>
  <si>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</si>
  <si>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</si>
  <si>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</si>
  <si>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</si>
  <si>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</si>
  <si>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</si>
  <si>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</si>
  <si>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</si>
  <si>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</si>
  <si>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</si>
  <si>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</si>
  <si>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</si>
  <si>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</si>
  <si>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</si>
  <si>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</si>
  <si>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</si>
  <si>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</si>
  <si>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</si>
  <si>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</si>
  <si>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</si>
  <si>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</si>
  <si>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</si>
  <si>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</si>
  <si>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</si>
  <si>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</si>
  <si>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</si>
  <si>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</si>
  <si>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</si>
  <si>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</si>
  <si>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</si>
  <si>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</si>
  <si>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</si>
  <si>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</si>
  <si>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</si>
  <si>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</si>
  <si>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</si>
  <si>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</si>
  <si>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</si>
  <si>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</si>
  <si>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</si>
  <si>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</si>
  <si>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</si>
  <si>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</si>
  <si>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</si>
  <si>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</si>
  <si>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</si>
  <si>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</si>
  <si>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</si>
  <si>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</si>
  <si>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</si>
  <si>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</si>
  <si>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</si>
  <si>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</si>
  <si>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</si>
  <si>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</si>
  <si>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</si>
  <si>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</si>
  <si>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</si>
  <si>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</si>
  <si>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</si>
  <si>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</si>
  <si>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</si>
  <si>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</si>
  <si>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</si>
  <si>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</si>
  <si>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</si>
  <si>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</si>
  <si>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</si>
  <si>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</si>
  <si>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</si>
  <si>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</si>
  <si>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</si>
  <si>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</si>
  <si>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</si>
  <si>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</si>
  <si>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</si>
  <si>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</si>
  <si>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</si>
  <si>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</si>
  <si>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</si>
  <si>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</si>
  <si>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</si>
  <si>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</si>
  <si>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</si>
  <si>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</si>
  <si>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</si>
  <si>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</si>
  <si>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</si>
  <si>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</si>
  <si>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</si>
  <si>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</si>
  <si>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</si>
  <si>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</si>
  <si>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</si>
  <si>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</si>
  <si>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</si>
  <si>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</si>
  <si>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</si>
  <si>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</si>
  <si>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</si>
  <si>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</si>
  <si>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</si>
  <si>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</si>
  <si>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</si>
  <si>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</si>
  <si>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</si>
  <si>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</si>
  <si>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</si>
  <si>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</si>
  <si>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</si>
  <si>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</si>
  <si>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</si>
  <si>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</si>
  <si>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</si>
  <si>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</si>
  <si>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</si>
  <si>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</si>
  <si>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</si>
  <si>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</si>
  <si>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</si>
  <si>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</si>
  <si>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</si>
  <si>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</si>
  <si>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</si>
  <si>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</si>
  <si>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</si>
  <si>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</si>
  <si>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</si>
  <si>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</si>
  <si>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</si>
  <si>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</si>
  <si>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</si>
  <si>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</si>
  <si>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</si>
  <si>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</si>
  <si>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</si>
  <si>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</si>
  <si>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</si>
  <si>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</si>
  <si>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</si>
  <si>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</si>
  <si>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</si>
  <si>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</si>
  <si>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</si>
  <si>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</si>
  <si>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</si>
  <si>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</si>
  <si>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</si>
  <si>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</si>
  <si>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</si>
  <si>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</si>
  <si>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</si>
  <si>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</si>
  <si>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</si>
  <si>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</si>
  <si>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</si>
  <si>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</si>
  <si>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</si>
  <si>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</si>
  <si>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</si>
  <si>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</si>
  <si>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</si>
  <si>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</si>
  <si>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</si>
  <si>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</si>
  <si>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</si>
  <si>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</si>
  <si>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</si>
  <si>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</si>
  <si>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</si>
  <si>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</si>
  <si>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</si>
  <si>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</si>
  <si>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</si>
  <si>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</si>
  <si>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</si>
  <si>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</si>
  <si>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</si>
  <si>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</si>
  <si>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</si>
  <si>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</si>
  <si>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</si>
  <si>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</si>
  <si>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</si>
  <si>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</si>
  <si>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</si>
  <si>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</si>
  <si>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</si>
  <si>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</si>
  <si>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</si>
  <si>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</si>
  <si>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</si>
  <si>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</si>
  <si>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</si>
  <si>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</si>
  <si>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</si>
  <si>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</si>
  <si>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</si>
  <si>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</si>
  <si>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</si>
  <si>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</si>
  <si>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</si>
  <si>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</si>
  <si>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</si>
  <si>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</si>
  <si>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</si>
  <si>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</si>
  <si>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</si>
  <si>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</si>
  <si>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</si>
  <si>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</si>
  <si>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</si>
  <si>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</si>
  <si>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</si>
  <si>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</si>
  <si>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</si>
  <si>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</si>
  <si>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</si>
  <si>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</si>
  <si>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</si>
  <si>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</si>
  <si>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</si>
  <si>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</si>
  <si>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</si>
  <si>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</si>
  <si>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</si>
  <si>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</si>
  <si>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</si>
  <si>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</si>
  <si>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</si>
  <si>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</si>
  <si>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</si>
  <si>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</si>
  <si>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</si>
  <si>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</si>
  <si>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</si>
  <si>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</si>
  <si>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</si>
  <si>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</si>
  <si>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</si>
  <si>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</si>
  <si>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</si>
  <si>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</si>
  <si>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</si>
  <si>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</si>
  <si>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</si>
  <si>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</si>
  <si>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</si>
  <si>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</si>
  <si>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</si>
  <si>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</si>
  <si>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</si>
  <si>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</si>
  <si>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</si>
  <si>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</si>
  <si>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</si>
  <si>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</si>
  <si>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</si>
  <si>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</si>
  <si>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</si>
  <si>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</si>
  <si>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</si>
  <si>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</si>
  <si>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</si>
  <si>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</si>
  <si>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</si>
  <si>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</si>
  <si>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</si>
  <si>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</si>
  <si>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</si>
  <si>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</si>
  <si>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</si>
  <si>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</si>
  <si>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</si>
  <si>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</si>
  <si>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</si>
  <si>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</si>
  <si>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</si>
  <si>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</si>
  <si>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</si>
  <si>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</si>
  <si>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</si>
  <si>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</si>
  <si>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</si>
  <si>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</si>
  <si>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</si>
  <si>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</si>
  <si>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</si>
  <si>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</si>
  <si>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</si>
  <si>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</si>
  <si>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</si>
  <si>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</si>
  <si>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</si>
  <si>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</si>
  <si>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</si>
  <si>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</si>
  <si>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</si>
  <si>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</si>
  <si>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</si>
  <si>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</si>
  <si>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</si>
  <si>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</si>
  <si>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</si>
  <si>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</si>
  <si>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</si>
  <si>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</si>
  <si>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</si>
  <si>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</si>
  <si>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</si>
  <si>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</si>
  <si>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</si>
  <si>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</si>
  <si>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</si>
  <si>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</si>
  <si>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</si>
  <si>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</si>
  <si>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</si>
  <si>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</si>
  <si>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</si>
  <si>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</si>
  <si>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</si>
  <si>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</si>
  <si>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</si>
  <si>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</si>
  <si>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</si>
  <si>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</si>
  <si>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</si>
  <si>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</si>
  <si>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</si>
  <si>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</si>
  <si>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</si>
  <si>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</si>
  <si>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</si>
  <si>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</si>
  <si>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</si>
  <si>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</si>
  <si>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</si>
  <si>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</si>
  <si>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</si>
  <si>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</si>
  <si>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</si>
  <si>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</si>
  <si>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</si>
  <si>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</si>
  <si>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</si>
  <si>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</si>
  <si>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</si>
  <si>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</si>
  <si>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</si>
  <si>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</si>
  <si>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</si>
  <si>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</si>
  <si>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</si>
  <si>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</si>
  <si>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</si>
  <si>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</si>
  <si>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</si>
  <si>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</si>
  <si>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</si>
  <si>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</si>
  <si>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</si>
  <si>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</si>
  <si>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</si>
  <si>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</si>
  <si>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</si>
  <si>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</si>
  <si>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</si>
  <si>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</si>
  <si>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</si>
  <si>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</si>
  <si>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</si>
  <si>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</si>
  <si>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</si>
  <si>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</si>
  <si>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</si>
  <si>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</si>
  <si>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</si>
  <si>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</si>
  <si>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</si>
  <si>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</si>
  <si>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</si>
  <si>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</si>
  <si>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</si>
  <si>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</si>
  <si>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</si>
  <si>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</si>
  <si>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</si>
  <si>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</si>
  <si>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</si>
  <si>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</si>
  <si>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</si>
  <si>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</si>
  <si>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</si>
  <si>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</si>
  <si>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</si>
  <si>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</si>
  <si>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</si>
  <si>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</si>
  <si>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</si>
  <si>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</si>
  <si>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</si>
  <si>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</si>
  <si>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</si>
  <si>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</si>
  <si>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</si>
  <si>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</si>
  <si>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</si>
  <si>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</si>
  <si>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</si>
  <si>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</si>
  <si>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</si>
  <si>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</si>
  <si>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</si>
  <si>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</si>
  <si>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</si>
  <si>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</si>
  <si>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</si>
  <si>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</si>
  <si>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</si>
  <si>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</si>
  <si>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</si>
  <si>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</si>
  <si>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</si>
  <si>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</si>
  <si>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</si>
  <si>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</si>
  <si>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</si>
  <si>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</si>
  <si>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</si>
  <si>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</si>
  <si>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</si>
  <si>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</si>
  <si>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</si>
  <si>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</si>
  <si>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</si>
  <si>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</si>
  <si>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</si>
  <si>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</si>
  <si>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</si>
  <si>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</si>
  <si>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</si>
  <si>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</si>
  <si>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</si>
  <si>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</si>
  <si>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</si>
  <si>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</si>
  <si>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</si>
  <si>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</si>
  <si>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</si>
  <si>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</si>
  <si>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</si>
  <si>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</si>
  <si>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</si>
  <si>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</si>
  <si>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</si>
  <si>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</si>
  <si>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</si>
  <si>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</si>
  <si>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</si>
  <si>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</si>
  <si>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</si>
  <si>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</si>
  <si>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</si>
  <si>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</si>
  <si>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</si>
  <si>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</si>
  <si>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</si>
  <si>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</si>
  <si>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</si>
  <si>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</si>
  <si>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</si>
  <si>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</si>
  <si>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</si>
  <si>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</si>
  <si>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</si>
  <si>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</si>
  <si>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</si>
  <si>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</si>
  <si>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</si>
  <si>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</si>
  <si>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</si>
  <si>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</si>
  <si>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</si>
  <si>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</si>
  <si>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</si>
  <si>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</si>
  <si>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</si>
  <si>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</si>
  <si>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</si>
  <si>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</si>
  <si>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</si>
  <si>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</si>
  <si>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</si>
  <si>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</si>
  <si>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</si>
  <si>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</si>
  <si>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</si>
  <si>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</si>
  <si>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</si>
  <si>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</si>
  <si>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</si>
  <si>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</si>
  <si>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</si>
  <si>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</si>
  <si>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</si>
  <si>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</si>
  <si>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</si>
  <si>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</si>
  <si>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</si>
  <si>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</si>
  <si>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</si>
  <si>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</si>
  <si>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</si>
  <si>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</si>
  <si>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</si>
  <si>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</si>
  <si>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</si>
  <si>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</si>
  <si>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</si>
  <si>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</si>
  <si>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</si>
  <si>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</si>
  <si>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</si>
  <si>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</si>
  <si>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</si>
  <si>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</si>
  <si>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</si>
  <si>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</si>
  <si>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</si>
  <si>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</si>
  <si>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</si>
  <si>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</si>
  <si>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</si>
  <si>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</si>
  <si>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</si>
  <si>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</si>
  <si>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</si>
  <si>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</si>
  <si>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</si>
  <si>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</si>
  <si>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</si>
  <si>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</si>
  <si>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</si>
  <si>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</si>
  <si>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</si>
  <si>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</si>
  <si>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</si>
  <si>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</si>
  <si>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</si>
  <si>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</si>
  <si>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</si>
  <si>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</si>
  <si>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</si>
  <si>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</si>
  <si>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</si>
  <si>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</si>
  <si>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</si>
  <si>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</si>
  <si>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</si>
  <si>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</si>
  <si>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</si>
  <si>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</si>
  <si>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</si>
  <si>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</si>
  <si>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</si>
  <si>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</si>
  <si>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</si>
  <si>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</si>
  <si>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</si>
  <si>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</si>
  <si>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</si>
  <si>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</si>
  <si>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</si>
  <si>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</si>
  <si>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</si>
  <si>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</si>
  <si>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</si>
  <si>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</si>
  <si>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</si>
  <si>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</si>
  <si>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</si>
  <si>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</si>
  <si>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</si>
  <si>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</si>
  <si>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</si>
  <si>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</si>
  <si>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</si>
  <si>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</si>
  <si>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</si>
  <si>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</si>
  <si>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</si>
  <si>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</si>
  <si>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</si>
  <si>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</si>
  <si>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</si>
  <si>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</si>
  <si>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</si>
  <si>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</si>
  <si>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</si>
  <si>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</si>
  <si>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</si>
  <si>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</si>
  <si>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</si>
  <si>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</si>
  <si>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</si>
  <si>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</si>
  <si>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</si>
  <si>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</si>
  <si>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</si>
  <si>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</si>
  <si>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</si>
  <si>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</si>
  <si>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</si>
  <si>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</si>
  <si>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</si>
  <si>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</si>
  <si>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</si>
  <si>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</si>
  <si>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</si>
  <si>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</si>
  <si>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</si>
  <si>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</si>
  <si>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</si>
  <si>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</si>
  <si>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</si>
  <si>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</si>
  <si>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</si>
  <si>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</si>
  <si>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</si>
  <si>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</si>
  <si>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</si>
  <si>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</si>
  <si>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</si>
  <si>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</si>
  <si>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</si>
  <si>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</si>
  <si>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</si>
  <si>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</si>
  <si>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</si>
  <si>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</si>
  <si>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</si>
  <si>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</si>
  <si>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</si>
  <si>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</si>
  <si>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</si>
  <si>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</si>
  <si>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</si>
  <si>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</si>
  <si>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</si>
  <si>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</si>
  <si>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</si>
  <si>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</si>
  <si>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</si>
  <si>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</si>
  <si>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</si>
  <si>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</si>
  <si>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</si>
  <si>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</si>
  <si>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</si>
  <si>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</si>
  <si>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</si>
  <si>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</si>
  <si>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</si>
  <si>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</si>
  <si>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</si>
  <si>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</si>
  <si>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</si>
  <si>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</si>
  <si>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</si>
  <si>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</si>
  <si>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</si>
  <si>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</si>
  <si>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</si>
  <si>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</si>
  <si>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</si>
  <si>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</si>
  <si>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</si>
  <si>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</si>
  <si>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</si>
  <si>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</si>
  <si>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</si>
  <si>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</si>
  <si>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</si>
  <si>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</si>
  <si>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</si>
  <si>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</si>
  <si>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</si>
  <si>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</si>
  <si>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</si>
  <si>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</si>
  <si>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</si>
  <si>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</si>
  <si>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</si>
  <si>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</si>
  <si>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</si>
  <si>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</si>
  <si>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</si>
  <si>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</si>
  <si>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</si>
  <si>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</si>
  <si>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</si>
  <si>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</si>
  <si>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</si>
  <si>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</si>
  <si>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</si>
  <si>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</si>
  <si>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</si>
  <si>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</si>
  <si>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</si>
  <si>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</si>
  <si>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</si>
  <si>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</si>
  <si>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</si>
  <si>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</si>
  <si>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</si>
  <si>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</si>
  <si>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</si>
  <si>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</si>
  <si>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</si>
  <si>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</si>
  <si>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</si>
  <si>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</si>
  <si>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</si>
  <si>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</si>
  <si>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</si>
  <si>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</si>
  <si>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</si>
  <si>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</si>
  <si>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</si>
  <si>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</si>
  <si>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</si>
  <si>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</si>
  <si>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</si>
  <si>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</si>
  <si>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</si>
  <si>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</si>
  <si>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</si>
  <si>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</si>
  <si>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</si>
  <si>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</si>
  <si>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</si>
  <si>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</si>
  <si>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</si>
  <si>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</si>
  <si>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</si>
  <si>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</si>
  <si>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</si>
  <si>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</si>
  <si>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</si>
  <si>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</si>
  <si>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</si>
  <si>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</si>
  <si>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</si>
  <si>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</si>
  <si>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</si>
  <si>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</si>
  <si>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</si>
  <si>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</si>
  <si>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</si>
  <si>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</si>
  <si>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</si>
  <si>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</si>
  <si>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</si>
  <si>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</si>
  <si>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</si>
  <si>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</si>
  <si>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</si>
  <si>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</si>
  <si>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</si>
  <si>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</si>
  <si>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</si>
  <si>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</si>
  <si>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</si>
  <si>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</si>
  <si>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</si>
  <si>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</si>
  <si>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</si>
  <si>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</si>
  <si>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</si>
  <si>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</si>
  <si>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</si>
  <si>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</si>
  <si>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</si>
  <si>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</si>
  <si>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</si>
  <si>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</si>
  <si>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</si>
  <si>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</si>
  <si>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</si>
  <si>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</si>
  <si>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</si>
  <si>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</si>
  <si>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</si>
  <si>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</si>
  <si>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</si>
  <si>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</si>
  <si>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</si>
  <si>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</si>
  <si>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</si>
  <si>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</si>
  <si>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</si>
  <si>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</si>
  <si>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</si>
  <si>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</si>
  <si>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</si>
  <si>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</si>
  <si>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</si>
  <si>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</si>
  <si>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</si>
  <si>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</si>
  <si>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</si>
  <si>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</si>
  <si>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</si>
  <si>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</si>
  <si>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</si>
  <si>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</si>
  <si>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</si>
  <si>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</si>
  <si>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</si>
  <si>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</si>
  <si>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</si>
  <si>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</si>
  <si>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</si>
  <si>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</si>
  <si>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</si>
  <si>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</si>
  <si>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</si>
  <si>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</si>
  <si>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</si>
  <si>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</si>
  <si>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</si>
  <si>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</si>
  <si>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</si>
  <si>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</si>
  <si>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</si>
  <si>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</si>
  <si>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</si>
  <si>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</si>
  <si>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</si>
  <si>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</si>
  <si>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</si>
  <si>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</si>
  <si>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</si>
  <si>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</si>
  <si>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</si>
  <si>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</si>
  <si>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</si>
  <si>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</si>
  <si>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</si>
  <si>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</si>
  <si>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</si>
  <si>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</si>
  <si>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</si>
  <si>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</si>
  <si>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</si>
  <si>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</si>
  <si>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</si>
  <si>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</si>
  <si>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</si>
  <si>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</si>
  <si>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</si>
  <si>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</si>
  <si>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</si>
  <si>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</si>
  <si>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</si>
  <si>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</si>
  <si>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</si>
  <si>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</si>
  <si>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</si>
  <si>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</si>
  <si>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</si>
  <si>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</si>
  <si>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</si>
  <si>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</si>
  <si>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</si>
  <si>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</si>
  <si>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</si>
  <si>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</si>
  <si>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</si>
  <si>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</si>
  <si>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</si>
  <si>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</si>
  <si>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</si>
  <si>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</si>
  <si>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</si>
  <si>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</si>
  <si>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</si>
  <si>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</si>
  <si>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</si>
  <si>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</si>
  <si>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</si>
  <si>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</si>
  <si>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</si>
  <si>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</si>
  <si>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</si>
  <si>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</si>
  <si>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</si>
  <si>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</si>
  <si>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</si>
  <si>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</si>
  <si>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</si>
  <si>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</si>
  <si>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</si>
  <si>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</si>
  <si>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</si>
  <si>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</si>
  <si>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</si>
  <si>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</si>
  <si>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</si>
  <si>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</si>
  <si>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</si>
  <si>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</si>
  <si>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</si>
  <si>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</si>
  <si>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</si>
  <si>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</si>
  <si>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</si>
  <si>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</si>
  <si>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</si>
  <si>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</si>
  <si>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</si>
  <si>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</si>
  <si>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</si>
  <si>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</si>
  <si>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</si>
  <si>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</si>
  <si>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</si>
  <si>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</si>
  <si>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</si>
  <si>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</si>
  <si>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</si>
  <si>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</si>
  <si>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</si>
  <si>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</si>
  <si>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</si>
  <si>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</si>
  <si>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</si>
  <si>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</si>
  <si>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</si>
  <si>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</si>
  <si>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</si>
  <si>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</si>
  <si>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</si>
  <si>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</si>
  <si>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</si>
  <si>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</si>
  <si>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</si>
  <si>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</si>
  <si>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</si>
  <si>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</si>
  <si>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</si>
  <si>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</si>
  <si>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</si>
  <si>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</si>
  <si>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</si>
  <si>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</si>
  <si>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</si>
  <si>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</si>
  <si>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</si>
  <si>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</si>
  <si>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</si>
  <si>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</si>
  <si>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</si>
  <si>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</si>
  <si>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</si>
  <si>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</si>
  <si>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</si>
  <si>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</si>
  <si>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</si>
  <si>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</si>
  <si>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</si>
  <si>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</si>
  <si>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</si>
  <si>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</si>
  <si>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</si>
  <si>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</si>
  <si>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</si>
  <si>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</si>
  <si>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</si>
  <si>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</si>
  <si>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</si>
  <si>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</si>
  <si>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</si>
  <si>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</si>
  <si>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</si>
  <si>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</si>
  <si>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</si>
  <si>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</si>
  <si>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</si>
  <si>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</si>
  <si>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</si>
  <si>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</si>
  <si>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</si>
  <si>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</si>
  <si>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</si>
  <si>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</si>
  <si>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</si>
  <si>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</si>
  <si>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</si>
  <si>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</si>
  <si>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</si>
  <si>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</si>
  <si>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</si>
  <si>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</si>
  <si>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</si>
  <si>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</si>
  <si>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</si>
  <si>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</si>
  <si>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</si>
  <si>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</si>
  <si>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</si>
  <si>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</si>
  <si>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</si>
  <si>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</si>
  <si>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</si>
  <si>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</si>
  <si>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</si>
  <si>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</si>
  <si>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</si>
  <si>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</si>
  <si>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</si>
  <si>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</si>
  <si>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</si>
  <si>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</si>
  <si>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</si>
  <si>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</si>
  <si>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</si>
  <si>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</si>
  <si>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</si>
  <si>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</si>
  <si>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</si>
  <si>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</si>
  <si>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</si>
  <si>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</si>
  <si>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</si>
  <si>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</si>
  <si>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</si>
  <si>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</si>
  <si>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</si>
  <si>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</si>
  <si>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</si>
  <si>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</si>
  <si>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</si>
  <si>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</si>
  <si>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</si>
  <si>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</si>
  <si>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</si>
  <si>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</si>
  <si>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</si>
  <si>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</si>
  <si>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</si>
  <si>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</si>
  <si>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</si>
  <si>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</si>
  <si>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</si>
  <si>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</si>
  <si>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</si>
  <si>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</si>
  <si>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</si>
  <si>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</si>
  <si>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</si>
  <si>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</si>
  <si>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</si>
  <si>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</si>
  <si>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</si>
  <si>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</si>
  <si>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</si>
  <si>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</si>
  <si>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</si>
  <si>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</si>
  <si>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</si>
  <si>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</si>
  <si>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</si>
  <si>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</si>
  <si>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</si>
  <si>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</si>
  <si>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</si>
  <si>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</si>
  <si>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</si>
  <si>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</si>
  <si>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</si>
  <si>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</si>
  <si>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</si>
  <si>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</si>
  <si>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</si>
  <si>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</si>
  <si>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</si>
  <si>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</si>
  <si>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</si>
  <si>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</si>
  <si>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</si>
  <si>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</si>
  <si>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</si>
  <si>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</si>
  <si>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</si>
  <si>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</si>
  <si>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</si>
  <si>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</si>
  <si>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</si>
  <si>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</si>
  <si>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</si>
  <si>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</si>
  <si>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</si>
  <si>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</si>
  <si>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</si>
  <si>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</si>
  <si>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</si>
  <si>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</si>
  <si>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</si>
  <si>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</si>
  <si>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</si>
  <si>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</si>
  <si>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</si>
  <si>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</si>
  <si>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</si>
  <si>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</si>
  <si>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</si>
  <si>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</si>
  <si>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</si>
  <si>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</si>
  <si>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</si>
  <si>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</si>
  <si>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</si>
  <si>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</si>
  <si>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</si>
  <si>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</si>
  <si>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</si>
  <si>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</si>
  <si>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</si>
  <si>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</si>
  <si>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</si>
  <si>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</si>
  <si>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</si>
  <si>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</si>
  <si>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</si>
  <si>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</si>
  <si>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</si>
  <si>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</si>
  <si>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</si>
  <si>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</si>
  <si>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</si>
  <si>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</si>
  <si>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</si>
  <si>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</si>
  <si>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</si>
  <si>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</si>
  <si>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</si>
  <si>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</si>
  <si>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</si>
  <si>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</si>
  <si>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</si>
  <si>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</si>
  <si>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</si>
  <si>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</si>
  <si>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</si>
  <si>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</si>
  <si>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</si>
  <si>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</si>
  <si>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</si>
  <si>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</si>
  <si>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</si>
  <si>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</si>
  <si>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</si>
  <si>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</si>
  <si>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</si>
  <si>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</si>
  <si>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</si>
  <si>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</si>
  <si>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</si>
  <si>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</si>
  <si>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</si>
  <si>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</si>
  <si>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</si>
  <si>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</si>
  <si>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</si>
  <si>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</si>
  <si>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</si>
  <si>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</si>
  <si>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</si>
  <si>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</si>
  <si>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</si>
  <si>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</si>
  <si>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</si>
  <si>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</si>
  <si>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</si>
  <si>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</si>
  <si>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</si>
  <si>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</si>
  <si>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</si>
  <si>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</si>
  <si>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</si>
  <si>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</si>
  <si>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</si>
  <si>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</si>
  <si>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</si>
  <si>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</si>
  <si>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</si>
  <si>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</si>
  <si>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</si>
  <si>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</si>
  <si>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</si>
  <si>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</si>
  <si>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</si>
  <si>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</si>
  <si>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</si>
  <si>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</si>
  <si>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</si>
  <si>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</si>
  <si>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</si>
  <si>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</si>
  <si>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</si>
  <si>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</si>
  <si>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</si>
  <si>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</si>
  <si>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</si>
  <si>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</si>
  <si>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</si>
  <si>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</si>
  <si>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</si>
  <si>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</si>
  <si>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</si>
  <si>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</si>
  <si>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</si>
  <si>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</si>
  <si>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</si>
  <si>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</si>
  <si>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</si>
  <si>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</si>
  <si>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</si>
  <si>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</si>
  <si>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</si>
  <si>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</si>
  <si>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</si>
  <si>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</si>
  <si>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</si>
  <si>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</si>
  <si>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</si>
  <si>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</si>
  <si>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</si>
  <si>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</si>
  <si>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</si>
  <si>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</si>
  <si>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</si>
  <si>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</si>
  <si>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</si>
  <si>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</si>
  <si>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</si>
  <si>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</si>
  <si>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</si>
  <si>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</si>
  <si>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</si>
  <si>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</si>
  <si>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</si>
  <si>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</si>
  <si>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</si>
  <si>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</si>
  <si>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</si>
  <si>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</si>
  <si>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</si>
  <si>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</si>
  <si>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</si>
  <si>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</si>
  <si>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</si>
  <si>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</si>
  <si>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</si>
  <si>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</si>
  <si>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</si>
  <si>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</si>
  <si>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</si>
  <si>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</si>
  <si>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</si>
  <si>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</si>
  <si>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</si>
  <si>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</si>
  <si>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</si>
  <si>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</si>
  <si>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</si>
  <si>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</si>
  <si>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</si>
  <si>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</si>
  <si>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</si>
  <si>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</si>
  <si>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</si>
  <si>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</si>
  <si>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</si>
  <si>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</si>
  <si>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</si>
  <si>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</si>
  <si>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</si>
  <si>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</si>
  <si>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</si>
  <si>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</si>
  <si>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</si>
  <si>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</si>
  <si>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</si>
  <si>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</si>
  <si>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</si>
  <si>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</si>
  <si>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</si>
  <si>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</si>
  <si>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</si>
  <si>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</si>
  <si>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</si>
  <si>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</si>
  <si>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</si>
  <si>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</si>
  <si>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</si>
  <si>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</si>
  <si>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</si>
  <si>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</si>
  <si>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</si>
  <si>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</si>
  <si>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</si>
  <si>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</si>
  <si>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</si>
  <si>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</si>
  <si>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</si>
  <si>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</si>
  <si>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</si>
  <si>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</si>
  <si>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</si>
  <si>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</si>
  <si>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</si>
  <si>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</si>
  <si>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</si>
  <si>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</si>
  <si>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</si>
  <si>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</si>
  <si>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</si>
  <si>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</si>
  <si>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</si>
  <si>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</si>
  <si>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</si>
  <si>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</si>
  <si>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</si>
  <si>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</si>
  <si>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</si>
  <si>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</si>
  <si>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</si>
  <si>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</si>
  <si>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</si>
  <si>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</si>
  <si>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</si>
  <si>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</si>
  <si>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</si>
  <si>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</si>
  <si>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</si>
  <si>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</si>
  <si>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</si>
  <si>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</si>
  <si>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</si>
  <si>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</si>
  <si>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</si>
  <si>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</si>
  <si>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</si>
  <si>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</si>
  <si>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</si>
  <si>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</si>
  <si>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</si>
  <si>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</si>
  <si>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</si>
  <si>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</si>
  <si>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</si>
  <si>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</si>
  <si>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</si>
  <si>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</si>
  <si>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</si>
  <si>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</si>
  <si>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</si>
  <si>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</si>
  <si>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</si>
  <si>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</si>
  <si>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</si>
  <si>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</si>
  <si>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</si>
  <si>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</si>
  <si>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</si>
  <si>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</si>
  <si>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</si>
  <si>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</si>
  <si>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</si>
  <si>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</si>
  <si>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</si>
  <si>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</si>
  <si>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</si>
  <si>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</si>
  <si>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</si>
  <si>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</si>
  <si>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</si>
  <si>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</si>
  <si>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</si>
  <si>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</si>
  <si>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</si>
  <si>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</si>
  <si>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</si>
  <si>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</si>
  <si>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</si>
  <si>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</si>
  <si>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</si>
  <si>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</si>
  <si>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</si>
  <si>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</si>
  <si>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</si>
  <si>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</si>
  <si>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</si>
  <si>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</si>
  <si>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</si>
  <si>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</si>
  <si>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</si>
  <si>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</si>
  <si>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</si>
  <si>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</si>
  <si>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</si>
  <si>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</si>
  <si>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</si>
  <si>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</si>
  <si>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</si>
  <si>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</si>
  <si>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</si>
  <si>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</si>
  <si>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</si>
  <si>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</si>
  <si>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</si>
  <si>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</si>
  <si>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</si>
  <si>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</si>
  <si>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</si>
  <si>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</si>
  <si>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</si>
  <si>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</si>
  <si>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</si>
  <si>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</si>
  <si>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</si>
  <si>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</si>
  <si>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</si>
  <si>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</si>
  <si>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</si>
  <si>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</si>
  <si>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</si>
  <si>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</si>
  <si>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</si>
  <si>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</si>
  <si>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</si>
  <si>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</si>
  <si>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</si>
  <si>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</si>
  <si>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</si>
  <si>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</si>
  <si>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</si>
  <si>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</si>
  <si>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</si>
  <si>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</si>
  <si>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</si>
  <si>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</si>
  <si>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</si>
  <si>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</si>
  <si>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</si>
  <si>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</si>
  <si>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</si>
  <si>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</si>
  <si>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</si>
  <si>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</si>
  <si>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</si>
  <si>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</si>
  <si>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</si>
  <si>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</si>
  <si>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</si>
  <si>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</si>
  <si>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</si>
  <si>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</si>
  <si>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</si>
  <si>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</si>
  <si>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</si>
  <si>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</si>
  <si>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</si>
  <si>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</si>
  <si>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</si>
  <si>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</si>
  <si>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</si>
  <si>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</si>
  <si>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</si>
  <si>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</si>
  <si>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</si>
  <si>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</si>
  <si>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</si>
  <si>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</si>
  <si>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</si>
  <si>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</si>
  <si>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</si>
  <si>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</si>
  <si>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</si>
  <si>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</si>
  <si>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</si>
  <si>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</si>
  <si>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</si>
  <si>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</si>
  <si>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</si>
  <si>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</si>
  <si>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</si>
  <si>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</si>
  <si>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</si>
  <si>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</si>
  <si>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</si>
  <si>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</si>
  <si>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</si>
  <si>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</si>
  <si>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</si>
  <si>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</si>
  <si>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</si>
  <si>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</si>
  <si>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</si>
  <si>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</si>
  <si>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</si>
  <si>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</si>
  <si>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</si>
  <si>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</si>
  <si>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</si>
  <si>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</si>
  <si>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</si>
  <si>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</si>
  <si>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</si>
  <si>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</si>
  <si>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</si>
  <si>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</si>
  <si>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</si>
  <si>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</si>
  <si>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</si>
  <si>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</si>
  <si>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</si>
  <si>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</si>
  <si>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</si>
  <si>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</si>
  <si>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</si>
  <si>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</si>
  <si>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</si>
  <si>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</si>
  <si>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</si>
  <si>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</si>
  <si>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</si>
  <si>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</si>
  <si>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</si>
  <si>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</si>
  <si>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</si>
  <si>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</si>
  <si>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</si>
  <si>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</si>
  <si>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</si>
  <si>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</si>
  <si>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</si>
  <si>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</si>
  <si>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</si>
  <si>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</si>
  <si>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</si>
  <si>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</si>
  <si>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</si>
  <si>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</si>
  <si>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</si>
  <si>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</si>
  <si>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</si>
  <si>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</si>
  <si>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</si>
  <si>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</si>
  <si>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</si>
  <si>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</si>
  <si>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</si>
  <si>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</si>
  <si>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</si>
  <si>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</si>
  <si>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</si>
  <si>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</si>
  <si>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</si>
  <si>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</si>
  <si>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</si>
  <si>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</si>
  <si>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</si>
  <si>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</si>
  <si>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</si>
  <si>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</si>
  <si>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</si>
  <si>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</si>
  <si>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</si>
  <si>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</si>
  <si>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</si>
  <si>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</si>
  <si>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</si>
  <si>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</si>
  <si>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</si>
  <si>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</si>
  <si>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</si>
  <si>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</si>
  <si>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</si>
  <si>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</si>
  <si>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</si>
  <si>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</si>
  <si>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</si>
  <si>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</si>
  <si>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</si>
  <si>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</si>
  <si>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</si>
  <si>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</si>
  <si>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</si>
  <si>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</si>
  <si>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</si>
  <si>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</si>
  <si>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</si>
  <si>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</si>
  <si>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</si>
  <si>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</si>
  <si>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</si>
  <si>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</si>
  <si>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</si>
  <si>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</si>
  <si>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</si>
  <si>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</si>
  <si>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</si>
  <si>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</si>
  <si>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</si>
  <si>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</si>
  <si>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</si>
  <si>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</si>
  <si>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</si>
  <si>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</si>
  <si>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</si>
  <si>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</si>
  <si>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</si>
  <si>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</si>
  <si>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</si>
  <si>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</si>
  <si>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</si>
  <si>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</si>
  <si>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</si>
  <si>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</si>
  <si>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</si>
  <si>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</si>
  <si>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</si>
  <si>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</si>
  <si>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</si>
  <si>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</si>
  <si>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</si>
  <si>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</si>
  <si>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</si>
  <si>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</si>
  <si>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</si>
  <si>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</si>
  <si>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</si>
  <si>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</si>
  <si>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</si>
  <si>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</si>
  <si>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</si>
  <si>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</si>
  <si>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</si>
  <si>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</si>
  <si>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</si>
  <si>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</si>
  <si>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</si>
  <si>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</si>
  <si>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</si>
  <si>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</si>
  <si>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</si>
  <si>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</si>
  <si>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</si>
  <si>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</si>
  <si>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</si>
  <si>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</si>
  <si>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</si>
  <si>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</si>
  <si>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</si>
  <si>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</si>
  <si>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</si>
  <si>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</si>
  <si>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</si>
  <si>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</si>
  <si>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</si>
  <si>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</si>
  <si>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</si>
  <si>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</si>
  <si>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</si>
  <si>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</si>
  <si>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</si>
  <si>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</si>
  <si>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</si>
  <si>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</si>
  <si>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</si>
  <si>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</si>
  <si>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</si>
  <si>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</si>
  <si>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</si>
  <si>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</si>
  <si>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</si>
  <si>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</si>
  <si>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</si>
  <si>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</si>
  <si>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</si>
  <si>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</si>
  <si>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</si>
  <si>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</si>
  <si>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</si>
  <si>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</si>
  <si>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</si>
  <si>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</si>
  <si>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</si>
  <si>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</si>
  <si>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</si>
  <si>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</si>
  <si>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</si>
  <si>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</si>
  <si>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</si>
  <si>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</si>
  <si>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</si>
  <si>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</si>
  <si>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</si>
  <si>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</si>
  <si>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</si>
  <si>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</si>
  <si>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</si>
  <si>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</si>
  <si>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</si>
  <si>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</si>
  <si>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</si>
  <si>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</si>
  <si>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</si>
  <si>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</si>
  <si>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</si>
  <si>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</si>
  <si>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</si>
  <si>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</si>
  <si>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</si>
  <si>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</si>
  <si>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</si>
  <si>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</si>
  <si>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</si>
  <si>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</si>
  <si>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</si>
  <si>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</si>
  <si>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</si>
  <si>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</si>
  <si>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</si>
  <si>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</si>
  <si>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</si>
  <si>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</si>
  <si>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</si>
  <si>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</si>
  <si>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</si>
  <si>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</si>
  <si>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</si>
  <si>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</si>
  <si>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</si>
  <si>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</si>
  <si>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</si>
  <si>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</si>
  <si>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</si>
  <si>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</si>
  <si>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</si>
  <si>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</si>
  <si>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</si>
  <si>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</si>
  <si>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</si>
  <si>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</si>
  <si>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</si>
  <si>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</si>
  <si>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</si>
  <si>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</si>
  <si>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</si>
  <si>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</si>
  <si>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</si>
  <si>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</si>
  <si>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</si>
  <si>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</si>
  <si>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</si>
  <si>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</si>
  <si>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</si>
  <si>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</si>
  <si>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</si>
  <si>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</si>
  <si>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</si>
  <si>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</si>
  <si>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</si>
  <si>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</si>
  <si>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</si>
  <si>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</si>
  <si>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</si>
  <si>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</si>
  <si>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</si>
  <si>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</si>
  <si>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</si>
  <si>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</si>
  <si>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</si>
  <si>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</si>
  <si>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</si>
  <si>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</si>
  <si>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</si>
  <si>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</si>
  <si>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</si>
  <si>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</si>
  <si>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</si>
  <si>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</si>
  <si>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</si>
  <si>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</si>
  <si>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</si>
  <si>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</si>
  <si>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</si>
  <si>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</si>
  <si>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</si>
  <si>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</si>
  <si>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</si>
  <si>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</si>
  <si>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</si>
  <si>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</si>
  <si>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</si>
  <si>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</si>
  <si>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</si>
  <si>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</si>
  <si>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</si>
  <si>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</si>
  <si>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</si>
  <si>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</si>
  <si>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</si>
  <si>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</si>
  <si>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</si>
  <si>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</si>
  <si>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</si>
  <si>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</si>
  <si>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</si>
  <si>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</si>
  <si>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</si>
  <si>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</si>
  <si>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</si>
  <si>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</si>
  <si>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</si>
  <si>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</si>
  <si>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</si>
  <si>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</si>
  <si>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</si>
  <si>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</si>
  <si>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</si>
  <si>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</si>
  <si>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</si>
  <si>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</si>
  <si>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</si>
  <si>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</si>
  <si>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</si>
  <si>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</si>
  <si>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</si>
  <si>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</si>
  <si>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</si>
  <si>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</si>
  <si>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</si>
  <si>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</si>
  <si>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</si>
  <si>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</si>
  <si>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</si>
  <si>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</si>
  <si>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</si>
  <si>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</si>
  <si>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</si>
  <si>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</si>
  <si>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</si>
  <si>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</si>
  <si>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</si>
  <si>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</si>
  <si>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</si>
  <si>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</si>
  <si>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</si>
  <si>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</si>
  <si>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</si>
  <si>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</si>
  <si>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</si>
  <si>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</si>
  <si>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</si>
  <si>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</si>
  <si>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</si>
  <si>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</si>
  <si>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</si>
  <si>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</si>
  <si>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</si>
  <si>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</si>
  <si>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</si>
  <si>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</si>
  <si>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</si>
  <si>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</si>
  <si>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</si>
  <si>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</si>
  <si>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</si>
  <si>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</si>
  <si>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</si>
  <si>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</si>
  <si>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</si>
  <si>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</si>
  <si>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</si>
  <si>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</si>
  <si>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</si>
  <si>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</si>
  <si>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</si>
  <si>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</si>
  <si>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</si>
  <si>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</si>
  <si>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</si>
  <si>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</si>
  <si>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</si>
  <si>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</si>
  <si>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</si>
  <si>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</si>
  <si>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</si>
  <si>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</si>
  <si>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</si>
  <si>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</si>
  <si>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</si>
  <si>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</si>
  <si>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</si>
  <si>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</si>
  <si>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</si>
  <si>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</si>
  <si>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</si>
  <si>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</si>
  <si>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</si>
  <si>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</si>
  <si>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</si>
  <si>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</si>
  <si>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</si>
  <si>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</si>
  <si>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</si>
  <si>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</si>
  <si>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</si>
  <si>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</si>
  <si>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</si>
  <si>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</si>
  <si>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</si>
  <si>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</si>
  <si>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</si>
  <si>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</si>
  <si>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</si>
  <si>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</si>
  <si>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</si>
  <si>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</si>
  <si>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</si>
  <si>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</si>
  <si>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</si>
  <si>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</si>
  <si>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</si>
  <si>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</si>
  <si>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</si>
  <si>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</si>
  <si>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</si>
  <si>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</si>
  <si>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</si>
  <si>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</si>
  <si>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</si>
  <si>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</si>
  <si>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</si>
  <si>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</si>
  <si>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</si>
  <si>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</si>
  <si>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</si>
  <si>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</si>
  <si>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</si>
  <si>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</si>
  <si>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</si>
  <si>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</si>
  <si>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</si>
  <si>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</si>
  <si>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</si>
  <si>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</si>
  <si>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</si>
  <si>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</si>
  <si>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</si>
  <si>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</si>
  <si>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</si>
  <si>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</si>
  <si>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</si>
  <si>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</si>
  <si>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</si>
  <si>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</si>
  <si>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</si>
  <si>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</si>
  <si>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</si>
  <si>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</si>
  <si>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</si>
  <si>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</si>
  <si>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</si>
  <si>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</si>
  <si>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</si>
  <si>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</si>
  <si>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</si>
  <si>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</si>
  <si>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</si>
  <si>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</si>
  <si>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</si>
  <si>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</si>
  <si>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</si>
  <si>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</si>
  <si>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</si>
  <si>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</si>
  <si>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</si>
  <si>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</si>
  <si>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</si>
  <si>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</si>
  <si>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</si>
  <si>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</si>
  <si>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</si>
  <si>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</si>
  <si>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</si>
  <si>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</si>
  <si>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</si>
  <si>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</si>
  <si>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</si>
  <si>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</si>
  <si>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</si>
  <si>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</si>
  <si>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</si>
  <si>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</si>
  <si>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</si>
  <si>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</si>
  <si>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</si>
  <si>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</si>
  <si>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</si>
  <si>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</si>
  <si>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</si>
  <si>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</si>
  <si>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</si>
  <si>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</si>
  <si>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</si>
  <si>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</si>
  <si>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</si>
  <si>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</si>
  <si>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</si>
  <si>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</si>
  <si>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</si>
  <si>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</si>
  <si>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</si>
  <si>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</si>
  <si>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</si>
  <si>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</si>
  <si>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</si>
  <si>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</si>
  <si>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</si>
  <si>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</si>
  <si>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</si>
  <si>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</si>
  <si>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</si>
  <si>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</si>
  <si>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</si>
  <si>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</si>
  <si>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</si>
  <si>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</si>
  <si>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</si>
  <si>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</si>
  <si>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</si>
  <si>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</si>
  <si>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</si>
  <si>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</si>
  <si>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</si>
  <si>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</si>
  <si>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</si>
  <si>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</si>
  <si>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</si>
  <si>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</si>
  <si>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</si>
  <si>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</si>
  <si>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</si>
  <si>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</si>
  <si>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</si>
  <si>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</si>
  <si>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</si>
  <si>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</si>
  <si>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</si>
  <si>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</si>
  <si>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</si>
  <si>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</si>
  <si>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</si>
  <si>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</si>
  <si>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</si>
  <si>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</si>
  <si>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</si>
  <si>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</si>
  <si>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</si>
  <si>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</si>
  <si>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</si>
  <si>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</si>
  <si>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</si>
  <si>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</si>
  <si>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</si>
  <si>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</si>
  <si>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</si>
  <si>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</si>
  <si>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</si>
  <si>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</si>
  <si>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</si>
  <si>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</si>
  <si>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</si>
  <si>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</si>
  <si>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</si>
  <si>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</si>
  <si>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</si>
  <si>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</si>
  <si>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</si>
  <si>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</si>
  <si>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</si>
  <si>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</si>
  <si>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</si>
  <si>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</si>
  <si>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</si>
  <si>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</si>
  <si>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</si>
  <si>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</si>
  <si>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</si>
  <si>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</si>
  <si>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</si>
  <si>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</si>
  <si>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</si>
  <si>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</si>
  <si>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</si>
  <si>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</si>
  <si>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</si>
  <si>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</si>
  <si>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</si>
  <si>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</si>
  <si>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</si>
  <si>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</si>
  <si>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</si>
  <si>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</si>
  <si>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</si>
  <si>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</si>
  <si>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</si>
  <si>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</si>
  <si>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</si>
  <si>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</si>
  <si>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</si>
  <si>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</si>
  <si>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</si>
  <si>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</si>
  <si>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</si>
  <si>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</si>
  <si>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</si>
  <si>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</si>
  <si>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</si>
  <si>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</si>
  <si>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</si>
  <si>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</si>
  <si>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</si>
  <si>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</si>
  <si>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</si>
  <si>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</si>
  <si>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</si>
  <si>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</si>
  <si>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</si>
  <si>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</si>
  <si>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</si>
  <si>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</si>
  <si>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</si>
  <si>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</si>
  <si>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</si>
  <si>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</si>
  <si>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</si>
  <si>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</si>
  <si>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</si>
  <si>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</si>
  <si>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</si>
  <si>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</si>
  <si>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</si>
  <si>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</si>
  <si>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</si>
  <si>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</si>
  <si>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</si>
  <si>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</si>
  <si>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</si>
  <si>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</si>
  <si>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</si>
  <si>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</si>
  <si>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</si>
  <si>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</si>
  <si>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</si>
  <si>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</si>
  <si>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</si>
  <si>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</si>
  <si>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</si>
  <si>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</si>
  <si>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</si>
  <si>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</si>
  <si>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</si>
  <si>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</si>
  <si>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</si>
  <si>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</si>
  <si>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</si>
  <si>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</si>
  <si>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</si>
  <si>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</si>
  <si>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</si>
  <si>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</si>
  <si>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</si>
  <si>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</si>
  <si>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</si>
  <si>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</si>
  <si>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</si>
  <si>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</si>
  <si>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</si>
  <si>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</si>
  <si>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</si>
  <si>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</si>
  <si>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</si>
  <si>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</si>
  <si>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</si>
  <si>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</si>
  <si>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</si>
  <si>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</si>
  <si>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</si>
  <si>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</si>
  <si>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</si>
  <si>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</si>
  <si>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</si>
  <si>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</si>
  <si>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</si>
  <si>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</si>
  <si>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</si>
  <si>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</si>
  <si>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</si>
  <si>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</si>
  <si>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</si>
  <si>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</si>
  <si>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</si>
  <si>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</si>
  <si>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</si>
  <si>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</si>
  <si>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</si>
  <si>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</si>
  <si>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</si>
  <si>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</si>
  <si>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</si>
  <si>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</si>
  <si>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</si>
  <si>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</si>
  <si>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</si>
  <si>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</si>
  <si>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</si>
  <si>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</si>
  <si>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</si>
  <si>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</si>
  <si>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</si>
  <si>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</si>
  <si>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</si>
  <si>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</si>
  <si>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</si>
  <si>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</si>
  <si>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</si>
  <si>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</si>
  <si>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</si>
  <si>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</si>
  <si>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</si>
  <si>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</si>
  <si>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</si>
  <si>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</si>
  <si>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</si>
  <si>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</si>
  <si>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</si>
  <si>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</si>
  <si>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</si>
  <si>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</si>
  <si>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</si>
  <si>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</si>
  <si>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</si>
  <si>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</si>
  <si>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</si>
  <si>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</si>
  <si>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</si>
  <si>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</si>
  <si>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</si>
  <si>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</si>
  <si>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</si>
  <si>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</si>
  <si>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</si>
  <si>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</si>
  <si>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</si>
  <si>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</si>
  <si>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</si>
  <si>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</si>
  <si>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</si>
  <si>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</si>
  <si>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</si>
  <si>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</si>
  <si>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</si>
  <si>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</si>
  <si>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</si>
  <si>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</si>
  <si>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</si>
  <si>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</si>
  <si>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</si>
  <si>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</si>
  <si>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</si>
  <si>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</si>
  <si>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</si>
  <si>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</si>
  <si>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</si>
  <si>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</si>
  <si>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</si>
  <si>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</si>
  <si>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</si>
  <si>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</si>
  <si>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</si>
  <si>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</si>
  <si>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</si>
  <si>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</si>
  <si>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</si>
  <si>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</si>
  <si>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</si>
  <si>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</si>
  <si>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</si>
  <si>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</si>
  <si>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</si>
  <si>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</si>
  <si>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</si>
  <si>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</si>
  <si>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</si>
  <si>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</si>
  <si>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</si>
  <si>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</si>
  <si>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</si>
  <si>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</si>
  <si>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</si>
  <si>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</si>
  <si>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</si>
  <si>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</si>
  <si>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</si>
  <si>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</si>
  <si>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</si>
  <si>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</si>
  <si>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</si>
  <si>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</si>
  <si>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</si>
  <si>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</si>
  <si>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</si>
  <si>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</si>
  <si>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</si>
  <si>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</si>
  <si>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</si>
  <si>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</si>
  <si>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</si>
  <si>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</si>
  <si>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</si>
  <si>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</si>
  <si>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</si>
  <si>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</si>
  <si>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</si>
  <si>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</si>
  <si>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</si>
  <si>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</si>
  <si>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</si>
  <si>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</si>
  <si>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</si>
  <si>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</si>
  <si>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</si>
  <si>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</si>
  <si>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</si>
  <si>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</si>
  <si>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</si>
  <si>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</si>
  <si>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</si>
  <si>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</si>
  <si>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</si>
  <si>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</si>
  <si>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</si>
  <si>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</si>
  <si>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</si>
  <si>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</si>
  <si>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</si>
  <si>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</si>
  <si>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</si>
  <si>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</si>
  <si>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</si>
  <si>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</si>
  <si>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</si>
  <si>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</si>
  <si>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</si>
  <si>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</si>
  <si>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</si>
  <si>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</si>
  <si>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</si>
  <si>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</si>
  <si>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</si>
  <si>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</si>
  <si>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</si>
  <si>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</si>
  <si>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</si>
  <si>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</si>
  <si>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</si>
  <si>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</si>
  <si>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</si>
  <si>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</si>
  <si>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</si>
  <si>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</si>
  <si>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</si>
  <si>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</si>
  <si>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</si>
  <si>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</si>
  <si>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</si>
  <si>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</si>
  <si>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</si>
  <si>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</si>
  <si>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</si>
  <si>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</si>
  <si>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</si>
  <si>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</si>
  <si>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</si>
  <si>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</si>
  <si>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</si>
  <si>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</si>
  <si>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</si>
  <si>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</si>
  <si>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</si>
  <si>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</si>
  <si>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</si>
  <si>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</si>
  <si>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</si>
  <si>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</si>
  <si>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</si>
  <si>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</si>
  <si>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</si>
  <si>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</si>
  <si>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</si>
  <si>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</si>
  <si>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</si>
  <si>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</si>
  <si>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</si>
  <si>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</si>
  <si>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</si>
  <si>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</si>
  <si>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</si>
  <si>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</si>
  <si>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</si>
  <si>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</si>
  <si>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</si>
  <si>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</si>
  <si>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</si>
  <si>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</si>
  <si>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</si>
  <si>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</si>
  <si>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</si>
  <si>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</si>
  <si>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</si>
  <si>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</si>
  <si>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</si>
  <si>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</si>
  <si>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</si>
  <si>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</si>
  <si>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</si>
  <si>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</si>
  <si>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</si>
  <si>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</si>
  <si>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</si>
  <si>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</si>
  <si>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</si>
  <si>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</si>
  <si>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</si>
  <si>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</si>
  <si>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</si>
  <si>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</si>
  <si>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</si>
  <si>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</si>
  <si>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</si>
  <si>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</si>
  <si>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</si>
  <si>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</si>
  <si>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</si>
  <si>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</si>
  <si>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</si>
  <si>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</si>
  <si>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</si>
  <si>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</si>
  <si>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</si>
  <si>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</si>
  <si>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</si>
  <si>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</si>
  <si>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</si>
  <si>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</si>
  <si>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</si>
  <si>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</si>
  <si>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</si>
  <si>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</si>
  <si>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</si>
  <si>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</si>
  <si>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</si>
  <si>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</si>
  <si>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</si>
  <si>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</si>
  <si>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</si>
  <si>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</si>
  <si>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</si>
  <si>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</si>
  <si>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</si>
  <si>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</si>
  <si>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</si>
  <si>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</si>
  <si>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</si>
  <si>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</si>
  <si>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</si>
  <si>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</si>
  <si>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</si>
  <si>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</si>
  <si>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</si>
  <si>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</si>
  <si>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</si>
  <si>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</si>
  <si>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</si>
  <si>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</si>
  <si>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</si>
  <si>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</si>
  <si>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</si>
  <si>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</si>
  <si>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</si>
  <si>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</si>
  <si>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</si>
  <si>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</si>
  <si>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</si>
  <si>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</si>
  <si>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</si>
  <si>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</si>
  <si>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</si>
  <si>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</si>
  <si>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</si>
  <si>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</si>
  <si>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</si>
  <si>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</si>
  <si>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</si>
  <si>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</si>
  <si>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</si>
  <si>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</si>
  <si>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</si>
  <si>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</si>
  <si>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</si>
  <si>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</si>
  <si>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</si>
  <si>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</si>
  <si>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</si>
  <si>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</si>
  <si>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</si>
  <si>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</si>
  <si>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</si>
  <si>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</si>
  <si>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</si>
  <si>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</si>
  <si>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</si>
  <si>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</si>
  <si>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</si>
  <si>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</si>
  <si>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</si>
  <si>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</si>
  <si>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</si>
  <si>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</si>
  <si>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</si>
  <si>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</si>
  <si>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</si>
  <si>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</si>
  <si>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</si>
  <si>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</si>
  <si>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</si>
  <si>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</si>
  <si>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</si>
  <si>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</si>
  <si>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</si>
  <si>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</si>
  <si>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</si>
  <si>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</si>
  <si>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</si>
  <si>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</si>
  <si>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</si>
  <si>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</si>
  <si>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</si>
  <si>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</si>
  <si>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</si>
  <si>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</si>
  <si>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</si>
  <si>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</si>
  <si>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</si>
  <si>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</si>
  <si>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</si>
  <si>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</si>
  <si>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</si>
  <si>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</si>
  <si>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</si>
  <si>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</si>
  <si>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</si>
  <si>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</si>
  <si>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</si>
  <si>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</si>
  <si>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</si>
  <si>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</si>
  <si>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</si>
  <si>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</si>
  <si>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</si>
  <si>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</si>
  <si>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</si>
  <si>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</si>
  <si>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</si>
  <si>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</si>
  <si>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</si>
  <si>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</si>
  <si>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</si>
  <si>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</si>
  <si>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</si>
  <si>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</si>
  <si>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</si>
  <si>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</si>
  <si>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</si>
  <si>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</si>
  <si>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</si>
  <si>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</si>
  <si>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</si>
  <si>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</si>
  <si>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</si>
  <si>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</si>
  <si>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</si>
  <si>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</si>
  <si>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</si>
  <si>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</si>
  <si>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</si>
  <si>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</si>
  <si>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</si>
  <si>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</si>
  <si>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</si>
  <si>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</si>
  <si>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</si>
  <si>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</si>
  <si>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</si>
  <si>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</si>
  <si>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</si>
  <si>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</si>
  <si>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</si>
  <si>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</si>
  <si>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</si>
  <si>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</si>
  <si>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</si>
  <si>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</si>
  <si>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</si>
  <si>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</si>
  <si>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</si>
  <si>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</si>
  <si>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</si>
  <si>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</si>
  <si>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</si>
  <si>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</si>
  <si>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</si>
  <si>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</si>
  <si>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</si>
  <si>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</si>
  <si>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</si>
  <si>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</si>
  <si>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</si>
  <si>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</si>
  <si>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</si>
  <si>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</si>
  <si>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</si>
  <si>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</si>
  <si>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</si>
  <si>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</si>
  <si>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</si>
  <si>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</si>
  <si>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</si>
  <si>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</si>
  <si>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</si>
  <si>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</si>
  <si>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</si>
  <si>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</si>
  <si>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</si>
  <si>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</si>
  <si>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</si>
  <si>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</si>
  <si>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</si>
  <si>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</si>
  <si>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</si>
  <si>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</si>
  <si>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</si>
  <si>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</si>
  <si>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</si>
  <si>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</si>
  <si>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</si>
  <si>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</si>
  <si>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</si>
  <si>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</si>
  <si>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</si>
  <si>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</si>
  <si>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</si>
  <si>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</si>
  <si>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</si>
  <si>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</si>
  <si>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</si>
  <si>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</si>
  <si>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</si>
  <si>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</si>
  <si>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</si>
  <si>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</si>
  <si>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</si>
  <si>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</si>
  <si>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</si>
  <si>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</si>
  <si>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</si>
  <si>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</si>
  <si>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</si>
  <si>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</si>
  <si>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</si>
  <si>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</si>
  <si>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</si>
  <si>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</si>
  <si>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</si>
  <si>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</si>
  <si>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</si>
  <si>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</si>
  <si>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</si>
  <si>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</si>
  <si>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</si>
  <si>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</si>
  <si>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</si>
  <si>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</si>
  <si>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</si>
  <si>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</si>
  <si>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</si>
  <si>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</si>
  <si>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</si>
  <si>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</si>
  <si>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</si>
  <si>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</si>
  <si>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</si>
  <si>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</si>
  <si>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</si>
  <si>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</si>
  <si>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</si>
  <si>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</si>
  <si>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</si>
  <si>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</si>
  <si>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</si>
  <si>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</si>
  <si>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</si>
  <si>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</si>
  <si>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</si>
  <si>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</si>
  <si>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</si>
  <si>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</si>
  <si>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</si>
  <si>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</si>
  <si>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</si>
  <si>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</si>
  <si>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</si>
  <si>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</si>
  <si>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</si>
  <si>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</si>
  <si>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</si>
  <si>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</si>
  <si>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</si>
  <si>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</si>
  <si>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</si>
  <si>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</si>
  <si>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</si>
  <si>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</si>
  <si>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</si>
  <si>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</si>
  <si>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</si>
  <si>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</si>
  <si>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</si>
  <si>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</si>
  <si>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</si>
  <si>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</si>
  <si>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</si>
  <si>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</si>
  <si>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</si>
  <si>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</si>
  <si>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</si>
  <si>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</si>
  <si>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</si>
  <si>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</si>
  <si>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</si>
  <si>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</si>
  <si>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</si>
  <si>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</si>
  <si>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</si>
  <si>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</si>
  <si>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</si>
  <si>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</si>
  <si>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</si>
  <si>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</si>
  <si>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</si>
  <si>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</si>
  <si>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</si>
  <si>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</si>
  <si>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</si>
  <si>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</si>
  <si>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</si>
  <si>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</si>
  <si>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</si>
  <si>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</si>
  <si>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</si>
  <si>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</si>
  <si>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</si>
  <si>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</si>
  <si>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</si>
  <si>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</si>
  <si>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</si>
  <si>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</si>
  <si>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</si>
  <si>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</si>
  <si>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</si>
  <si>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</si>
  <si>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</si>
  <si>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</si>
  <si>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</si>
  <si>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</si>
  <si>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</si>
  <si>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</si>
  <si>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</si>
  <si>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</si>
  <si>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</si>
  <si>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</si>
  <si>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</si>
  <si>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</si>
  <si>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</si>
  <si>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</si>
  <si>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</si>
  <si>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</si>
  <si>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</si>
  <si>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</si>
  <si>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</si>
  <si>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</si>
  <si>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</si>
  <si>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</si>
  <si>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</si>
  <si>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</si>
  <si>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</si>
  <si>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</si>
  <si>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</si>
  <si>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</si>
  <si>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</si>
  <si>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</si>
  <si>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</si>
  <si>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</si>
  <si>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</si>
  <si>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</si>
  <si>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</si>
  <si>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</si>
  <si>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</si>
  <si>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</si>
  <si>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</si>
  <si>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</si>
  <si>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</si>
  <si>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</si>
  <si>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</si>
  <si>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</si>
  <si>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</si>
  <si>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</si>
  <si>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</si>
  <si>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</si>
  <si>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</si>
  <si>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</si>
  <si>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</si>
  <si>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</si>
  <si>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</si>
  <si>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</si>
  <si>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</si>
  <si>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</si>
  <si>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</si>
  <si>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</si>
  <si>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</si>
  <si>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</si>
  <si>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</si>
  <si>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</si>
  <si>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</si>
  <si>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</si>
  <si>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</si>
  <si>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</si>
  <si>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</si>
  <si>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</si>
  <si>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</si>
  <si>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</si>
  <si>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</si>
  <si>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</si>
  <si>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</si>
  <si>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</si>
  <si>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</si>
  <si>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</si>
  <si>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</si>
  <si>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</si>
  <si>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</si>
  <si>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</si>
  <si>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</si>
  <si>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</si>
  <si>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</si>
  <si>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</si>
  <si>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</si>
  <si>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</si>
  <si>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</si>
  <si>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</si>
  <si>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</si>
  <si>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</si>
  <si>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</si>
  <si>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</si>
  <si>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</si>
  <si>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</si>
  <si>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</si>
  <si>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</si>
  <si>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</si>
  <si>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</si>
  <si>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</si>
  <si>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</si>
  <si>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</si>
  <si>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</si>
  <si>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</si>
  <si>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</si>
  <si>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</si>
  <si>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</si>
  <si>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</si>
  <si>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</si>
  <si>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</si>
  <si>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</si>
  <si>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</si>
  <si>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</si>
  <si>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</si>
  <si>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</si>
  <si>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</si>
  <si>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</si>
  <si>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</si>
  <si>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</si>
  <si>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</si>
  <si>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</si>
  <si>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</si>
  <si>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</si>
  <si>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</si>
  <si>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</si>
  <si>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</si>
  <si>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</si>
  <si>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</si>
  <si>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</si>
  <si>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</si>
  <si>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</si>
  <si>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</si>
  <si>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</si>
  <si>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</si>
  <si>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</si>
  <si>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</si>
  <si>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</si>
  <si>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</si>
  <si>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</si>
  <si>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</si>
  <si>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</si>
  <si>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</si>
  <si>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</si>
  <si>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</si>
  <si>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</si>
  <si>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</si>
  <si>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</si>
  <si>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</si>
  <si>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</si>
  <si>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</si>
  <si>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</si>
  <si>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</si>
  <si>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</si>
  <si>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</si>
  <si>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</si>
  <si>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</si>
  <si>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</si>
  <si>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</si>
  <si>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</si>
  <si>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</si>
  <si>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</si>
  <si>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</si>
  <si>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</si>
  <si>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</si>
  <si>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</si>
  <si>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</si>
  <si>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</si>
  <si>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</si>
  <si>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</si>
  <si>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</si>
  <si>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</si>
  <si>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</si>
  <si>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</si>
  <si>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</si>
  <si>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</si>
  <si>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</si>
  <si>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</si>
  <si>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</si>
  <si>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</si>
  <si>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</si>
  <si>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</si>
  <si>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</si>
  <si>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</si>
  <si>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</si>
  <si>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</si>
  <si>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</si>
  <si>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</si>
  <si>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</si>
  <si>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</si>
  <si>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</si>
  <si>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</si>
  <si>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</si>
  <si>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</si>
  <si>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</si>
  <si>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</si>
  <si>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</si>
  <si>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</si>
  <si>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</si>
  <si>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</si>
  <si>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</si>
  <si>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</si>
  <si>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</si>
  <si>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</si>
  <si>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</si>
  <si>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</si>
  <si>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</si>
  <si>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</si>
  <si>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</si>
  <si>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</si>
  <si>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</si>
  <si>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</si>
  <si>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</si>
  <si>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</si>
  <si>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</si>
  <si>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</si>
  <si>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</si>
  <si>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</si>
  <si>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</si>
  <si>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</si>
  <si>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</si>
  <si>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</si>
  <si>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</si>
  <si>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</si>
  <si>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</si>
  <si>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</si>
  <si>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</si>
  <si>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</si>
  <si>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</si>
  <si>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</si>
  <si>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</si>
  <si>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</si>
  <si>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</si>
  <si>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</si>
  <si>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</si>
  <si>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</si>
  <si>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</si>
  <si>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</si>
  <si>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</si>
  <si>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</si>
  <si>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</si>
  <si>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</si>
  <si>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</si>
  <si>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</si>
  <si>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</si>
  <si>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</si>
  <si>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</si>
  <si>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</si>
  <si>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</si>
  <si>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</si>
  <si>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</si>
  <si>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</si>
  <si>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</si>
  <si>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</si>
  <si>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</si>
  <si>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</si>
  <si>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</si>
  <si>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</si>
  <si>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</si>
  <si>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</si>
  <si>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</si>
  <si>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</si>
  <si>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</si>
  <si>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</si>
  <si>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</si>
  <si>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</si>
  <si>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</si>
  <si>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</si>
  <si>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</si>
  <si>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</si>
  <si>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</si>
  <si>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</si>
  <si>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</si>
  <si>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</si>
  <si>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</si>
  <si>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</si>
  <si>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</si>
  <si>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</si>
  <si>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</si>
  <si>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</si>
  <si>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</si>
  <si>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</si>
  <si>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</si>
  <si>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</si>
  <si>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</si>
  <si>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</si>
  <si>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</si>
  <si>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</si>
  <si>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</si>
  <si>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</si>
  <si>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</si>
  <si>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</si>
  <si>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</si>
  <si>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</si>
  <si>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</si>
  <si>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</si>
  <si>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</si>
  <si>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</si>
  <si>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</si>
  <si>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</si>
  <si>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</si>
  <si>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</si>
  <si>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</si>
  <si>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</si>
  <si>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</si>
  <si>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</si>
  <si>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</si>
  <si>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</si>
  <si>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</si>
  <si>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</si>
  <si>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</si>
  <si>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</si>
  <si>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</si>
  <si>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</si>
  <si>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</si>
  <si>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</si>
  <si>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</si>
  <si>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</si>
  <si>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</si>
  <si>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</si>
  <si>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</si>
  <si>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</si>
  <si>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</si>
  <si>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</si>
  <si>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</si>
  <si>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</si>
  <si>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</si>
  <si>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</si>
  <si>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</si>
  <si>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</si>
  <si>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</si>
  <si>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</si>
  <si>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</si>
  <si>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</si>
  <si>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</si>
  <si>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</si>
  <si>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</si>
  <si>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</si>
  <si>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</si>
  <si>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</si>
  <si>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</si>
  <si>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</si>
  <si>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</si>
  <si>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</si>
  <si>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</si>
  <si>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</si>
  <si>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</si>
  <si>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</si>
  <si>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</si>
  <si>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</si>
  <si>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</si>
  <si>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</si>
  <si>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</si>
  <si>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</si>
  <si>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</si>
  <si>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</si>
  <si>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</si>
  <si>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</si>
  <si>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</si>
  <si>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</si>
  <si>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</si>
  <si>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</si>
  <si>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</si>
  <si>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</si>
  <si>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</si>
  <si>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</si>
  <si>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</si>
  <si>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</si>
  <si>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</si>
  <si>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</si>
  <si>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</si>
  <si>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</si>
  <si>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</si>
  <si>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</si>
  <si>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</si>
  <si>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</si>
  <si>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</si>
  <si>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</si>
  <si>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</si>
  <si>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</si>
  <si>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</si>
  <si>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</si>
  <si>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</si>
  <si>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</si>
  <si>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</si>
  <si>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</si>
  <si>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</si>
  <si>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</si>
  <si>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</si>
  <si>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</si>
  <si>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</si>
  <si>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</si>
  <si>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</si>
  <si>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</si>
  <si>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</si>
  <si>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</si>
  <si>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</si>
  <si>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</si>
  <si>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</si>
  <si>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</si>
  <si>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</si>
  <si>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</si>
  <si>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</si>
  <si>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</si>
  <si>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</si>
  <si>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</si>
  <si>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</si>
  <si>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</si>
  <si>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</si>
  <si>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</si>
  <si>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</si>
  <si>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</si>
  <si>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</si>
  <si>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</si>
  <si>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</si>
  <si>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</si>
  <si>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</si>
  <si>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</si>
  <si>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</si>
  <si>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</si>
  <si>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</si>
  <si>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</si>
  <si>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</si>
  <si>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</si>
  <si>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</si>
  <si>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</si>
  <si>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</si>
  <si>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</si>
  <si>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</si>
  <si>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</si>
  <si>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</si>
  <si>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</si>
  <si>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</si>
  <si>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</si>
  <si>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</si>
  <si>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</si>
  <si>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</si>
  <si>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</si>
  <si>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</si>
  <si>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</si>
  <si>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</si>
  <si>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</si>
  <si>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</si>
  <si>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</si>
  <si>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</si>
  <si>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</si>
  <si>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</si>
  <si>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</si>
  <si>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</si>
  <si>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</si>
  <si>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</si>
  <si>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</si>
  <si>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</si>
  <si>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</si>
  <si>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</si>
  <si>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</si>
  <si>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</si>
  <si>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</si>
  <si>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</si>
  <si>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</si>
  <si>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</si>
  <si>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</si>
  <si>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</si>
  <si>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</si>
  <si>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</si>
  <si>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</si>
  <si>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</si>
  <si>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</si>
  <si>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</si>
  <si>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</si>
  <si>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</si>
  <si>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</si>
  <si>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</si>
  <si>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</si>
  <si>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</si>
  <si>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</si>
  <si>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</si>
  <si>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</si>
  <si>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</si>
  <si>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</si>
  <si>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</si>
  <si>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</si>
  <si>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</si>
  <si>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</si>
  <si>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</si>
  <si>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</si>
  <si>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</si>
  <si>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</si>
  <si>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</si>
  <si>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</si>
  <si>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</si>
  <si>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</si>
  <si>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</si>
  <si>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</si>
  <si>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</si>
  <si>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</si>
  <si>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</si>
  <si>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</si>
  <si>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</si>
  <si>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</si>
  <si>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</si>
  <si>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</si>
  <si>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</si>
  <si>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</si>
  <si>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</si>
  <si>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</si>
  <si>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</si>
  <si>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</si>
  <si>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</si>
  <si>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</si>
  <si>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</si>
  <si>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</si>
  <si>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</si>
  <si>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</si>
  <si>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</si>
  <si>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</si>
  <si>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</si>
  <si>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</si>
  <si>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</si>
  <si>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</si>
  <si>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</si>
  <si>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</si>
  <si>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</si>
  <si>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</si>
  <si>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</si>
  <si>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</si>
  <si>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</si>
  <si>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</si>
  <si>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</si>
  <si>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</si>
  <si>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</si>
  <si>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</si>
  <si>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</si>
  <si>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</si>
  <si>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</si>
  <si>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</si>
  <si>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</si>
  <si>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</si>
  <si>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</si>
  <si>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</si>
  <si>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</si>
  <si>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</si>
  <si>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</si>
  <si>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</si>
  <si>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</si>
  <si>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</si>
  <si>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</si>
  <si>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</si>
  <si>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</si>
  <si>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</si>
  <si>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</si>
  <si>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</si>
  <si>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</si>
  <si>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</si>
  <si>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</si>
  <si>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</si>
  <si>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</si>
  <si>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</si>
  <si>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</si>
  <si>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</si>
  <si>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</si>
  <si>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</si>
  <si>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</si>
  <si>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</si>
  <si>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</si>
  <si>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</si>
  <si>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</si>
  <si>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</si>
  <si>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</si>
  <si>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</si>
  <si>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</si>
  <si>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</si>
  <si>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</si>
  <si>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</si>
  <si>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</si>
  <si>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</si>
  <si>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</si>
  <si>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</si>
  <si>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</si>
  <si>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</si>
  <si>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</si>
  <si>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</si>
  <si>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</si>
  <si>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</si>
  <si>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</si>
  <si>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</si>
  <si>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</si>
  <si>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</si>
  <si>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</si>
  <si>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</si>
  <si>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</si>
  <si>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</si>
  <si>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</si>
  <si>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</si>
  <si>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</si>
  <si>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</si>
  <si>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</si>
  <si>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</si>
  <si>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</si>
  <si>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</si>
  <si>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</si>
  <si>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</si>
  <si>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</si>
  <si>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</si>
  <si>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</si>
  <si>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</si>
  <si>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</si>
  <si>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</si>
  <si>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</si>
  <si>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</si>
  <si>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</si>
  <si>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</si>
  <si>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</si>
  <si>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</si>
  <si>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</si>
  <si>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</si>
  <si>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</si>
  <si>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</si>
  <si>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</si>
  <si>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</si>
  <si>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</si>
  <si>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</si>
  <si>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</si>
  <si>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</si>
  <si>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</si>
  <si>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</si>
  <si>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</si>
  <si>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</si>
  <si>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</si>
  <si>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</si>
  <si>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</si>
  <si>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</si>
  <si>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</si>
  <si>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</si>
  <si>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</si>
  <si>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</si>
  <si>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</si>
  <si>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</si>
  <si>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</si>
  <si>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</si>
  <si>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</si>
  <si>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</si>
  <si>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</si>
  <si>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</si>
  <si>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</si>
  <si>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</si>
  <si>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</si>
  <si>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</si>
  <si>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</si>
  <si>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</si>
  <si>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</si>
  <si>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</si>
  <si>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</si>
  <si>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</si>
  <si>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</si>
  <si>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</si>
  <si>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</si>
  <si>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</si>
  <si>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</si>
  <si>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</si>
  <si>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</si>
  <si>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</si>
  <si>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</si>
  <si>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</si>
  <si>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</si>
  <si>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</si>
  <si>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</si>
  <si>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</si>
  <si>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</si>
  <si>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</si>
  <si>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</si>
  <si>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</si>
  <si>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</si>
  <si>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</si>
  <si>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</si>
  <si>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</si>
  <si>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</si>
  <si>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</si>
  <si>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</si>
  <si>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</si>
  <si>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</si>
  <si>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</si>
  <si>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</si>
  <si>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</si>
  <si>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</si>
  <si>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</si>
  <si>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</si>
  <si>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</si>
  <si>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</si>
  <si>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</si>
  <si>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</si>
  <si>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</si>
  <si>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</si>
  <si>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</si>
  <si>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</si>
  <si>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</si>
  <si>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</si>
  <si>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</si>
  <si>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</si>
  <si>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</si>
  <si>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</si>
  <si>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</si>
  <si>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</si>
  <si>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</si>
  <si>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</si>
  <si>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</si>
  <si>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</si>
  <si>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</si>
  <si>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</si>
  <si>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</si>
  <si>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</si>
  <si>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</si>
  <si>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</si>
  <si>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</si>
  <si>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</si>
  <si>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</si>
  <si>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</si>
  <si>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</si>
  <si>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</si>
  <si>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</si>
  <si>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</si>
  <si>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</si>
  <si>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</si>
  <si>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</si>
  <si>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</si>
  <si>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</si>
  <si>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</si>
  <si>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</si>
  <si>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</si>
  <si>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</si>
  <si>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</si>
  <si>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</si>
  <si>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</si>
  <si>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</si>
  <si>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</si>
  <si>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</si>
  <si>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</si>
  <si>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</si>
  <si>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</si>
  <si>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</si>
  <si>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</si>
  <si>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</si>
  <si>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</si>
  <si>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</si>
  <si>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</si>
  <si>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</si>
  <si>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</si>
  <si>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</si>
  <si>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</si>
  <si>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</si>
  <si>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</si>
  <si>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</si>
  <si>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</si>
  <si>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</si>
  <si>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</si>
  <si>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</si>
  <si>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</si>
  <si>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</si>
  <si>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</si>
  <si>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</si>
  <si>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</si>
  <si>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</si>
  <si>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</si>
  <si>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</si>
  <si>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</si>
  <si>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</si>
  <si>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</si>
  <si>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</si>
  <si>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</si>
  <si>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</si>
  <si>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</si>
  <si>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</si>
  <si>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</si>
  <si>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</si>
  <si>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</si>
  <si>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</si>
  <si>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</si>
  <si>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</si>
  <si>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</si>
  <si>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</si>
  <si>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</si>
  <si>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</si>
  <si>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</si>
  <si>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</si>
  <si>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</si>
  <si>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</si>
  <si>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</si>
  <si>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</si>
  <si>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</si>
  <si>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</si>
  <si>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</si>
  <si>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</si>
  <si>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</si>
  <si>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</si>
  <si>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</si>
  <si>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</si>
  <si>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</si>
  <si>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</si>
  <si>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</si>
  <si>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</si>
  <si>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</si>
  <si>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</si>
  <si>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</si>
  <si>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</si>
  <si>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</si>
  <si>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</si>
  <si>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</si>
  <si>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</si>
  <si>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</si>
  <si>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</si>
  <si>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</si>
  <si>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</si>
  <si>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</si>
  <si>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</si>
  <si>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</si>
  <si>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</si>
  <si>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</si>
  <si>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</si>
  <si>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</si>
  <si>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</si>
  <si>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</si>
  <si>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</si>
  <si>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</si>
  <si>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</si>
  <si>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</si>
  <si>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</si>
  <si>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</si>
  <si>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</si>
  <si>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</si>
  <si>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</si>
  <si>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</si>
  <si>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</si>
  <si>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</si>
  <si>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</si>
  <si>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</si>
  <si>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</si>
  <si>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</si>
  <si>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</si>
  <si>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</si>
  <si>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</si>
  <si>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</si>
  <si>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</si>
  <si>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</si>
  <si>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</si>
  <si>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</si>
  <si>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</si>
  <si>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</si>
  <si>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</si>
  <si>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</si>
  <si>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</si>
  <si>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</si>
  <si>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</si>
  <si>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</si>
  <si>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</si>
  <si>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</si>
  <si>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</si>
  <si>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</si>
  <si>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</si>
  <si>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</si>
  <si>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</si>
  <si>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</si>
  <si>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</si>
  <si>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</si>
  <si>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</si>
  <si>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</si>
  <si>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</si>
  <si>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</si>
  <si>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</si>
  <si>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</si>
  <si>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</si>
  <si>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</si>
  <si>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</si>
  <si>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</si>
  <si>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</si>
  <si>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</si>
  <si>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</si>
  <si>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</si>
  <si>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</si>
  <si>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</si>
  <si>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</si>
  <si>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</si>
  <si>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</si>
  <si>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</si>
  <si>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</si>
  <si>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</si>
  <si>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</si>
  <si>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</si>
  <si>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</si>
  <si>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</si>
  <si>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</si>
  <si>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</si>
  <si>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</si>
  <si>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</si>
  <si>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</si>
  <si>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</si>
  <si>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</si>
  <si>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</si>
  <si>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</si>
  <si>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</si>
  <si>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</si>
  <si>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</si>
  <si>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</si>
  <si>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</si>
  <si>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</si>
  <si>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</si>
  <si>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</si>
  <si>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</si>
  <si>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</si>
  <si>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</si>
  <si>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</si>
  <si>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</si>
  <si>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</si>
  <si>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</si>
  <si>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</si>
  <si>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</si>
  <si>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</si>
  <si>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</si>
  <si>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</si>
  <si>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</si>
  <si>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</si>
  <si>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</si>
  <si>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</si>
  <si>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</si>
  <si>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</si>
  <si>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</si>
  <si>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</si>
  <si>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</si>
  <si>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</si>
  <si>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</si>
  <si>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</si>
  <si>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</si>
  <si>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</si>
  <si>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</si>
  <si>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</si>
  <si>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</si>
  <si>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</si>
  <si>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</si>
  <si>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</si>
  <si>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</si>
  <si>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</si>
  <si>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</si>
  <si>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</si>
  <si>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</si>
  <si>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</si>
  <si>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</si>
  <si>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</si>
  <si>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</si>
  <si>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</si>
  <si>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</si>
  <si>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</si>
  <si>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</si>
  <si>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</si>
  <si>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</si>
  <si>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</si>
  <si>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</si>
  <si>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</si>
  <si>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</si>
  <si>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</si>
  <si>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</si>
  <si>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</si>
  <si>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</si>
  <si>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</si>
  <si>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</si>
  <si>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</si>
  <si>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</si>
  <si>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</si>
  <si>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</si>
  <si>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</si>
  <si>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</si>
  <si>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</si>
  <si>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</si>
  <si>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</si>
  <si>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</si>
  <si>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</si>
  <si>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</si>
  <si>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</si>
  <si>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</si>
  <si>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</si>
  <si>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</si>
  <si>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</si>
  <si>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</si>
  <si>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</si>
  <si>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</si>
  <si>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</si>
  <si>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</si>
  <si>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</si>
  <si>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</si>
  <si>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</si>
  <si>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</si>
  <si>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</si>
  <si>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</si>
  <si>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</si>
  <si>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</si>
  <si>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</si>
  <si>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</si>
  <si>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</si>
  <si>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</si>
  <si>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</si>
  <si>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</si>
  <si>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</si>
  <si>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</si>
  <si>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</si>
  <si>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</si>
  <si>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</si>
  <si>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</si>
  <si>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</si>
  <si>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</si>
  <si>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</si>
  <si>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</si>
  <si>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</si>
  <si>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</si>
  <si>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</si>
  <si>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</si>
  <si>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</si>
  <si>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</si>
  <si>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</si>
  <si>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</si>
  <si>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</si>
  <si>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</si>
  <si>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</si>
  <si>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</si>
  <si>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</si>
  <si>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</si>
  <si>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</si>
  <si>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</si>
  <si>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</si>
  <si>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</si>
  <si>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</si>
  <si>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</si>
  <si>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</si>
  <si>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</si>
  <si>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</si>
  <si>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</si>
  <si>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</si>
  <si>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</si>
  <si>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</si>
  <si>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</si>
  <si>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</si>
  <si>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</si>
  <si>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</si>
  <si>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</si>
  <si>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</si>
  <si>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</si>
  <si>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</si>
  <si>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</si>
  <si>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</si>
  <si>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</si>
  <si>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</si>
  <si>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</si>
  <si>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</si>
  <si>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</si>
  <si>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</si>
  <si>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</si>
  <si>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</si>
  <si>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</si>
  <si>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</si>
  <si>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</si>
  <si>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</si>
  <si>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</si>
  <si>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</si>
  <si>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</si>
  <si>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</si>
  <si>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</si>
  <si>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</si>
  <si>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</si>
  <si>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</si>
  <si>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</si>
  <si>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</si>
  <si>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</si>
  <si>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</si>
  <si>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</si>
  <si>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</si>
  <si>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</si>
  <si>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</si>
  <si>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</si>
  <si>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</si>
  <si>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</si>
  <si>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</si>
  <si>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</si>
  <si>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</si>
  <si>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</si>
  <si>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</si>
  <si>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</si>
  <si>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</si>
  <si>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</si>
  <si>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</si>
  <si>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</si>
  <si>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</si>
  <si>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</si>
  <si>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</si>
  <si>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</si>
  <si>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</si>
  <si>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</si>
  <si>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</si>
  <si>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</si>
  <si>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</si>
  <si>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</si>
  <si>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</si>
  <si>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</si>
  <si>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</si>
  <si>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</si>
  <si>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</si>
  <si>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</si>
  <si>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</si>
  <si>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</si>
  <si>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</si>
  <si>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</si>
  <si>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</si>
  <si>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</si>
  <si>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</si>
  <si>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</si>
  <si>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</si>
  <si>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</si>
  <si>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</si>
  <si>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</si>
  <si>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</si>
  <si>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</si>
  <si>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</si>
  <si>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</si>
  <si>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</si>
  <si>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</si>
  <si>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</si>
  <si>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</si>
  <si>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</si>
  <si>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</si>
  <si>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</si>
  <si>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</si>
  <si>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</si>
  <si>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</si>
  <si>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</si>
  <si>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</si>
  <si>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</si>
  <si>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</si>
  <si>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</si>
  <si>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</si>
  <si>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</si>
  <si>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</si>
  <si>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</si>
  <si>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</si>
  <si>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</si>
  <si>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</si>
  <si>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</si>
  <si>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</si>
  <si>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</si>
  <si>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</si>
  <si>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</si>
  <si>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</si>
  <si>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</si>
  <si>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</si>
  <si>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</si>
  <si>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</si>
  <si>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</si>
  <si>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</si>
  <si>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</si>
  <si>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</si>
  <si>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</si>
  <si>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</si>
  <si>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</si>
  <si>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</si>
  <si>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</si>
  <si>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</si>
  <si>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</si>
  <si>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</si>
  <si>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</si>
  <si>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</si>
  <si>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</si>
  <si>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</si>
  <si>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</si>
  <si>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</si>
  <si>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</si>
  <si>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</si>
  <si>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</si>
  <si>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</si>
  <si>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</si>
  <si>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</si>
  <si>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</si>
  <si>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</si>
  <si>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</si>
  <si>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</si>
  <si>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</si>
  <si>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</si>
  <si>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</si>
  <si>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</si>
  <si>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</si>
  <si>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</si>
  <si>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</si>
  <si>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</si>
  <si>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</si>
  <si>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</si>
  <si>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</si>
  <si>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</si>
  <si>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</si>
  <si>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</si>
  <si>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</si>
  <si>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</si>
  <si>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</si>
  <si>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</si>
  <si>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</si>
  <si>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</si>
  <si>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</si>
  <si>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</si>
  <si>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</si>
  <si>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</si>
  <si>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</si>
  <si>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</si>
  <si>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</si>
  <si>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</si>
  <si>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</si>
  <si>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</si>
  <si>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</si>
  <si>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</si>
  <si>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</si>
  <si>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</si>
  <si>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</si>
  <si>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</si>
  <si>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</si>
  <si>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</si>
  <si>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</si>
  <si>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</si>
  <si>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</si>
  <si>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</si>
  <si>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</si>
  <si>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</si>
  <si>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</si>
  <si>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</si>
  <si>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</si>
  <si>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</si>
  <si>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</si>
  <si>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</si>
  <si>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</si>
  <si>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</si>
  <si>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</si>
  <si>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</si>
  <si>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</si>
  <si>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</si>
  <si>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</si>
  <si>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</si>
  <si>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</si>
  <si>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</si>
  <si>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</si>
  <si>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</si>
  <si>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</si>
  <si>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</si>
  <si>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</si>
  <si>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</si>
  <si>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</si>
  <si>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</si>
  <si>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</si>
  <si>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</si>
  <si>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</si>
  <si>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</si>
  <si>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</si>
  <si>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</si>
  <si>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</si>
  <si>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</si>
  <si>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</si>
  <si>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</si>
  <si>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</si>
  <si>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</si>
  <si>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</si>
  <si>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</si>
  <si>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</si>
  <si>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</si>
  <si>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</si>
  <si>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</si>
  <si>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</si>
  <si>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</si>
  <si>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</si>
  <si>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</si>
  <si>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</si>
  <si>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</si>
  <si>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</si>
  <si>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</si>
  <si>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</si>
  <si>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</si>
  <si>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</si>
  <si>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</si>
  <si>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</si>
  <si>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</si>
  <si>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</si>
  <si>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</si>
  <si>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</si>
  <si>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</si>
  <si>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</si>
  <si>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</si>
  <si>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</si>
  <si>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</si>
  <si>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</si>
  <si>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</si>
  <si>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</si>
  <si>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</si>
  <si>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</si>
  <si>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</si>
  <si>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</si>
  <si>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</si>
  <si>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</si>
  <si>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</si>
  <si>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</si>
  <si>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</si>
  <si>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</si>
  <si>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</si>
  <si>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</si>
  <si>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</si>
  <si>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</si>
  <si>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</si>
  <si>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</si>
  <si>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</si>
  <si>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</si>
  <si>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</si>
  <si>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</si>
  <si>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</si>
  <si>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</si>
  <si>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</si>
  <si>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</si>
  <si>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</si>
  <si>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</si>
  <si>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</si>
  <si>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</si>
  <si>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</si>
  <si>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</si>
  <si>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</si>
  <si>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</si>
  <si>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</si>
  <si>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</si>
  <si>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</si>
  <si>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</si>
  <si>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</si>
  <si>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</si>
  <si>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</si>
  <si>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</si>
  <si>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</si>
  <si>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</si>
  <si>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</si>
  <si>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</si>
  <si>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</si>
  <si>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</si>
  <si>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</si>
  <si>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</si>
  <si>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</si>
  <si>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</si>
  <si>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</si>
  <si>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</si>
  <si>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</si>
  <si>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</si>
  <si>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</si>
  <si>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</si>
  <si>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</si>
  <si>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</si>
  <si>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</si>
  <si>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</si>
  <si>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</si>
  <si>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</si>
  <si>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</si>
  <si>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</si>
  <si>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</si>
  <si>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</si>
  <si>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</si>
  <si>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</si>
  <si>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</si>
  <si>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</si>
  <si>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</si>
  <si>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</si>
  <si>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</si>
  <si>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</si>
  <si>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</si>
  <si>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</si>
  <si>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</si>
  <si>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</si>
  <si>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</si>
  <si>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</si>
  <si>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</si>
  <si>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</si>
  <si>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</si>
  <si>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</si>
  <si>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</si>
  <si>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</si>
  <si>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</si>
  <si>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</si>
  <si>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</si>
  <si>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</si>
  <si>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</si>
  <si>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</si>
  <si>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</si>
  <si>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</si>
  <si>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</si>
  <si>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</si>
  <si>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</si>
  <si>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</si>
  <si>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</si>
  <si>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</si>
  <si>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</si>
  <si>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</si>
  <si>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</si>
  <si>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</si>
  <si>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</si>
  <si>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</si>
  <si>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</si>
  <si>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</si>
  <si>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</si>
  <si>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</si>
  <si>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</si>
  <si>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</si>
  <si>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</si>
  <si>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</si>
  <si>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</si>
  <si>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</si>
  <si>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</si>
  <si>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</si>
  <si>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</si>
  <si>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</si>
  <si>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</si>
  <si>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</si>
  <si>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</si>
  <si>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</si>
  <si>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</si>
  <si>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</si>
  <si>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</si>
  <si>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</si>
  <si>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</si>
  <si>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</si>
  <si>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</si>
  <si>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</si>
  <si>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</si>
  <si>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</si>
  <si>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</si>
  <si>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</si>
  <si>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</si>
  <si>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</si>
  <si>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</si>
  <si>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</si>
  <si>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</si>
  <si>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</si>
  <si>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</si>
  <si>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</si>
  <si>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</si>
  <si>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</si>
  <si>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</si>
  <si>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</si>
  <si>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</si>
  <si>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</si>
  <si>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</si>
  <si>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</si>
  <si>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</si>
  <si>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</si>
  <si>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</si>
  <si>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</si>
  <si>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</si>
  <si>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</si>
  <si>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</si>
  <si>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</si>
  <si>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</si>
  <si>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</si>
  <si>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</si>
  <si>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</si>
  <si>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</si>
  <si>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</si>
  <si>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</si>
  <si>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</si>
  <si>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</si>
  <si>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</si>
  <si>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</si>
  <si>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</si>
  <si>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</si>
  <si>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</si>
  <si>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</si>
  <si>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</si>
  <si>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</si>
  <si>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</si>
  <si>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</si>
  <si>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</si>
  <si>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</si>
  <si>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</si>
  <si>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</si>
  <si>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</si>
  <si>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</si>
  <si>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</si>
  <si>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</si>
  <si>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</si>
  <si>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</si>
  <si>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</si>
  <si>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</si>
  <si>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</si>
  <si>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</si>
  <si>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</si>
  <si>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</si>
  <si>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</si>
  <si>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</si>
  <si>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</si>
  <si>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</si>
  <si>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</si>
  <si>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</si>
  <si>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</si>
  <si>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</si>
  <si>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</si>
  <si>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</si>
  <si>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</si>
  <si>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</si>
  <si>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</si>
  <si>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</si>
  <si>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</si>
  <si>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</si>
  <si>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</si>
  <si>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</si>
  <si>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</si>
  <si>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</si>
  <si>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</si>
  <si>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</si>
  <si>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</si>
  <si>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</si>
  <si>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</si>
  <si>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</si>
  <si>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</si>
  <si>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</si>
  <si>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</si>
  <si>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</si>
  <si>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</si>
  <si>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</si>
  <si>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</si>
  <si>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</si>
  <si>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</si>
  <si>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</si>
  <si>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</si>
  <si>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</si>
  <si>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</si>
  <si>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</si>
  <si>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</si>
  <si>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</si>
  <si>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</si>
  <si>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</si>
  <si>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</si>
  <si>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</si>
  <si>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</si>
  <si>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</si>
  <si>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</si>
  <si>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</si>
  <si>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</si>
  <si>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</si>
  <si>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</si>
  <si>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</si>
  <si>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</si>
  <si>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</si>
  <si>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</si>
  <si>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</si>
  <si>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</si>
  <si>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</si>
  <si>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</si>
  <si>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</si>
  <si>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</si>
  <si>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</si>
  <si>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</si>
  <si>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</si>
  <si>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</si>
  <si>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</si>
  <si>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</si>
  <si>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</si>
  <si>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</si>
  <si>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</si>
  <si>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</si>
  <si>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</si>
  <si>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</si>
  <si>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</si>
  <si>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</si>
  <si>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</si>
  <si>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</si>
  <si>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</si>
  <si>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</si>
  <si>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</si>
  <si>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</si>
  <si>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</si>
  <si>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</si>
  <si>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</si>
  <si>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</si>
  <si>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</si>
  <si>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</si>
  <si>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</si>
  <si>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</si>
  <si>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</si>
  <si>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</si>
  <si>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</si>
  <si>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</si>
  <si>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</si>
  <si>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</si>
  <si>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</si>
  <si>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</si>
  <si>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</si>
  <si>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</si>
  <si>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</si>
  <si>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</si>
  <si>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</si>
  <si>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</si>
  <si>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</si>
  <si>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</si>
  <si>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</si>
  <si>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</si>
  <si>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</si>
  <si>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</si>
  <si>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</si>
  <si>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</si>
  <si>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</si>
  <si>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</si>
  <si>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</si>
  <si>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</si>
  <si>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</si>
  <si>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</si>
  <si>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</si>
  <si>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</si>
  <si>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</si>
  <si>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</si>
  <si>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</si>
  <si>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</si>
  <si>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</si>
  <si>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</si>
  <si>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</si>
  <si>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</si>
  <si>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</si>
  <si>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</si>
  <si>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</si>
  <si>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</si>
  <si>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</si>
  <si>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</si>
  <si>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</si>
  <si>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</si>
  <si>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</si>
  <si>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</si>
  <si>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</si>
  <si>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</si>
  <si>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</si>
  <si>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</si>
  <si>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</si>
  <si>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</si>
  <si>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</si>
  <si>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</si>
  <si>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</si>
  <si>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</si>
  <si>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</si>
  <si>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</si>
  <si>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</si>
  <si>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</si>
  <si>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</si>
  <si>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</si>
  <si>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</si>
  <si>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</si>
  <si>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</si>
  <si>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</si>
  <si>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</si>
  <si>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</si>
  <si>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</si>
  <si>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</si>
  <si>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</si>
  <si>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</si>
  <si>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</si>
  <si>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</si>
  <si>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</si>
  <si>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</si>
  <si>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</si>
  <si>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</si>
  <si>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</si>
  <si>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</si>
  <si>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</si>
  <si>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</si>
  <si>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</si>
  <si>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</si>
  <si>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</si>
  <si>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</si>
  <si>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</si>
  <si>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</si>
  <si>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</si>
  <si>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</si>
  <si>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</si>
  <si>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</si>
  <si>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</si>
  <si>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</si>
  <si>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</si>
  <si>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</si>
  <si>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</si>
  <si>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</si>
  <si>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</si>
  <si>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</si>
  <si>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</si>
  <si>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</si>
  <si>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</si>
  <si>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</si>
  <si>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</si>
  <si>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</si>
  <si>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</si>
  <si>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</si>
  <si>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</si>
  <si>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</si>
  <si>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</si>
  <si>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</si>
  <si>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</si>
  <si>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</si>
  <si>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</si>
  <si>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</si>
  <si>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</si>
  <si>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</si>
  <si>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</si>
  <si>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</si>
  <si>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</si>
  <si>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</si>
  <si>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</si>
  <si>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</si>
  <si>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</si>
  <si>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</si>
  <si>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</si>
  <si>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</si>
  <si>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</si>
  <si>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</si>
  <si>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</si>
  <si>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</si>
  <si>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</si>
  <si>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</si>
  <si>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</si>
  <si>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</si>
  <si>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</si>
  <si>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</si>
  <si>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</si>
  <si>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</si>
  <si>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</si>
  <si>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</si>
  <si>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</si>
  <si>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</si>
  <si>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</si>
  <si>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</si>
  <si>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</si>
  <si>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</si>
  <si>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</si>
  <si>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</si>
  <si>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</si>
  <si>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</si>
  <si>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</si>
  <si>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</si>
  <si>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</si>
  <si>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</si>
  <si>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</si>
  <si>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</si>
  <si>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</si>
  <si>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</si>
  <si>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</si>
  <si>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</si>
  <si>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</si>
  <si>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</si>
  <si>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</si>
  <si>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</si>
  <si>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</si>
  <si>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</si>
  <si>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</si>
  <si>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</si>
  <si>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</si>
  <si>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</si>
  <si>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</si>
  <si>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</si>
  <si>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</si>
  <si>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</si>
  <si>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</si>
  <si>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</si>
  <si>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</si>
  <si>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</si>
  <si>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</si>
  <si>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</si>
  <si>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</si>
  <si>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</si>
  <si>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</si>
  <si>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</si>
  <si>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</si>
  <si>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</si>
  <si>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</si>
  <si>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</si>
  <si>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</si>
  <si>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</si>
  <si>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</si>
  <si>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</si>
  <si>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</si>
  <si>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</si>
  <si>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</si>
  <si>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</si>
  <si>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</si>
  <si>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</si>
  <si>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</si>
  <si>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</si>
  <si>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</si>
  <si>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</si>
  <si>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</si>
  <si>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</si>
  <si>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</si>
  <si>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</si>
  <si>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</si>
  <si>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</si>
  <si>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</si>
  <si>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</si>
  <si>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</si>
  <si>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</si>
  <si>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</si>
  <si>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</si>
  <si>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</si>
  <si>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</si>
  <si>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</si>
  <si>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</si>
  <si>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</si>
  <si>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</si>
  <si>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</si>
  <si>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</si>
  <si>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</si>
  <si>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</si>
  <si>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</si>
  <si>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</si>
  <si>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</si>
  <si>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</si>
  <si>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</si>
  <si>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</si>
  <si>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</si>
  <si>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</si>
  <si>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</si>
  <si>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</si>
  <si>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</si>
  <si>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</si>
  <si>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</si>
  <si>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</si>
  <si>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</si>
  <si>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</si>
  <si>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</si>
  <si>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</si>
  <si>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</si>
  <si>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</si>
  <si>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</si>
  <si>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</si>
  <si>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</si>
  <si>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</si>
  <si>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</si>
  <si>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</si>
  <si>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</si>
  <si>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</si>
  <si>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</si>
  <si>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</si>
  <si>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</si>
  <si>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</si>
  <si>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</si>
  <si>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</si>
  <si>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</si>
  <si>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</si>
  <si>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</si>
  <si>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</si>
  <si>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</si>
  <si>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</si>
  <si>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</si>
  <si>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</si>
  <si>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</si>
  <si>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</si>
  <si>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</si>
  <si>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</si>
  <si>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</si>
  <si>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</si>
  <si>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</si>
  <si>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</si>
  <si>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</si>
  <si>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</si>
  <si>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</si>
  <si>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</si>
  <si>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</si>
  <si>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</si>
  <si>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</si>
  <si>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</si>
  <si>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</si>
  <si>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</si>
  <si>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</si>
  <si>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</si>
  <si>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</si>
  <si>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</si>
  <si>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</si>
  <si>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</si>
  <si>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</si>
  <si>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</si>
  <si>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</si>
  <si>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</si>
  <si>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</si>
  <si>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</si>
  <si>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</si>
  <si>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</si>
  <si>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</si>
  <si>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</si>
  <si>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</si>
  <si>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</si>
  <si>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</si>
  <si>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</si>
  <si>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</si>
  <si>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</si>
  <si>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</si>
  <si>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</si>
  <si>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</si>
  <si>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</si>
  <si>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</si>
  <si>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</si>
  <si>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</si>
  <si>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</si>
  <si>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</si>
  <si>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</si>
  <si>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</si>
  <si>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</si>
  <si>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</si>
  <si>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</si>
  <si>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</si>
  <si>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</si>
  <si>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</si>
  <si>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</si>
  <si>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</si>
  <si>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</si>
  <si>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</si>
  <si>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</si>
  <si>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</si>
  <si>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</si>
  <si>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</si>
  <si>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</si>
  <si>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</si>
  <si>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</si>
  <si>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</si>
  <si>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</si>
  <si>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</si>
  <si>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</si>
  <si>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</si>
  <si>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</si>
  <si>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</si>
  <si>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</si>
  <si>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</si>
  <si>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</si>
  <si>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</si>
  <si>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</si>
  <si>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</si>
  <si>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</si>
  <si>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</si>
  <si>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</si>
  <si>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</si>
  <si>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</si>
  <si>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</si>
  <si>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</si>
  <si>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</si>
  <si>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</si>
  <si>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</si>
  <si>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</si>
  <si>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</si>
  <si>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</si>
  <si>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</si>
  <si>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</si>
  <si>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</si>
  <si>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</si>
  <si>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</si>
  <si>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</si>
  <si>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</si>
  <si>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</si>
  <si>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</si>
  <si>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</si>
  <si>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</si>
  <si>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</si>
  <si>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</si>
  <si>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</si>
  <si>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</si>
  <si>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</si>
  <si>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</si>
  <si>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</si>
  <si>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</si>
  <si>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</si>
  <si>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</si>
  <si>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</si>
  <si>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</si>
  <si>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</si>
  <si>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</si>
  <si>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</si>
  <si>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</si>
  <si>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</si>
  <si>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</si>
  <si>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</si>
  <si>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</si>
  <si>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</si>
  <si>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</si>
  <si>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</si>
  <si>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</si>
  <si>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</si>
  <si>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</si>
  <si>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</si>
  <si>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</si>
  <si>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</si>
  <si>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</si>
  <si>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</si>
  <si>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</si>
  <si>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</si>
  <si>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</si>
  <si>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</si>
  <si>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</si>
  <si>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</si>
  <si>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</si>
  <si>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</si>
  <si>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</si>
  <si>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</si>
  <si>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</si>
  <si>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</si>
  <si>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</si>
  <si>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</si>
  <si>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</si>
  <si>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</si>
  <si>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</si>
  <si>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</si>
  <si>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</si>
  <si>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</si>
  <si>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</si>
  <si>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</si>
  <si>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</si>
  <si>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</si>
  <si>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</si>
  <si>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</si>
  <si>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</si>
  <si>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</si>
  <si>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</si>
  <si>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</si>
  <si>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</si>
  <si>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</si>
  <si>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</si>
  <si>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</si>
  <si>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</si>
  <si>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</si>
  <si>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</si>
  <si>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</si>
  <si>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</si>
  <si>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</si>
  <si>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</si>
  <si>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</si>
  <si>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</si>
  <si>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</si>
  <si>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</si>
  <si>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</si>
  <si>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</si>
  <si>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</si>
  <si>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</si>
  <si>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</si>
  <si>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</si>
  <si>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</si>
  <si>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</si>
  <si>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</si>
  <si>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</si>
  <si>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</si>
  <si>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</si>
  <si>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</si>
  <si>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</si>
  <si>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</si>
  <si>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</si>
  <si>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</si>
  <si>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</si>
  <si>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</si>
  <si>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</si>
  <si>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</si>
  <si>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</si>
  <si>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</si>
  <si>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</si>
  <si>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</si>
  <si>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</si>
  <si>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</si>
  <si>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</si>
  <si>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</si>
  <si>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</si>
  <si>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</si>
  <si>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</si>
  <si>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</si>
  <si>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</si>
  <si>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</si>
  <si>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</si>
  <si>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</si>
  <si>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</si>
  <si>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</si>
  <si>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</si>
  <si>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</si>
  <si>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</si>
  <si>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</si>
  <si>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</si>
  <si>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</si>
  <si>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</si>
  <si>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</si>
  <si>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</si>
  <si>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</si>
  <si>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</si>
  <si>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</si>
  <si>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</si>
  <si>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</si>
  <si>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</si>
  <si>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</si>
  <si>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</si>
  <si>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</si>
  <si>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</si>
  <si>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</si>
  <si>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</si>
  <si>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</si>
  <si>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</si>
  <si>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</si>
  <si>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</si>
  <si>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</si>
  <si>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</si>
  <si>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</si>
  <si>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</si>
  <si>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</si>
  <si>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</si>
  <si>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</si>
  <si>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</si>
  <si>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</si>
  <si>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</si>
  <si>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</si>
  <si>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</si>
  <si>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</si>
  <si>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</si>
  <si>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</si>
  <si>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</si>
  <si>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</si>
  <si>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</si>
  <si>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</si>
  <si>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</si>
  <si>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</si>
  <si>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</si>
  <si>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</si>
  <si>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</si>
  <si>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</si>
  <si>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</si>
  <si>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</si>
  <si>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</si>
  <si>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</si>
  <si>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</si>
  <si>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</si>
  <si>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</si>
  <si>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</si>
  <si>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</si>
  <si>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</si>
  <si>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</si>
  <si>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</si>
  <si>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</si>
  <si>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</si>
  <si>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</si>
  <si>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</si>
  <si>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</si>
  <si>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</si>
  <si>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</si>
  <si>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</si>
  <si>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</si>
  <si>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</si>
  <si>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</si>
  <si>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</si>
  <si>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</si>
  <si>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</si>
  <si>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</si>
  <si>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</si>
  <si>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</si>
  <si>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</si>
  <si>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</si>
  <si>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</si>
  <si>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</si>
  <si>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</si>
  <si>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</si>
  <si>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</si>
  <si>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</si>
  <si>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</si>
  <si>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</si>
  <si>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</si>
  <si>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</si>
  <si>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</si>
  <si>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</si>
  <si>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</si>
  <si>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</si>
  <si>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</si>
  <si>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</si>
  <si>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</si>
  <si>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</si>
  <si>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</si>
  <si>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</si>
  <si>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</si>
  <si>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</si>
  <si>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</si>
  <si>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</si>
  <si>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</si>
  <si>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</si>
  <si>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</si>
  <si>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</si>
  <si>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</si>
  <si>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</si>
  <si>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</si>
  <si>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</si>
  <si>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</si>
  <si>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</si>
  <si>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</si>
  <si>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</si>
  <si>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</si>
  <si>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</si>
  <si>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</si>
  <si>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</si>
  <si>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</si>
  <si>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</si>
  <si>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</si>
  <si>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</si>
  <si>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</si>
  <si>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</si>
  <si>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</si>
  <si>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</si>
  <si>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</si>
  <si>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</si>
  <si>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</si>
  <si>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</si>
  <si>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</si>
  <si>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</si>
  <si>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</si>
  <si>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</si>
  <si>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</si>
  <si>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</si>
  <si>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</si>
  <si>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</si>
  <si>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</si>
  <si>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</si>
  <si>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</si>
  <si>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</si>
  <si>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</si>
  <si>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</si>
  <si>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</si>
  <si>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</si>
  <si>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</si>
  <si>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</si>
  <si>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</si>
  <si>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</si>
  <si>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</si>
  <si>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</si>
  <si>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</si>
  <si>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</si>
  <si>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</si>
  <si>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</si>
  <si>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</si>
  <si>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</si>
  <si>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</si>
  <si>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</si>
  <si>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</si>
  <si>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</si>
  <si>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</si>
  <si>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</si>
  <si>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</si>
  <si>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</si>
  <si>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</si>
  <si>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</si>
  <si>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</si>
  <si>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</si>
  <si>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</si>
  <si>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</si>
  <si>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</si>
  <si>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</si>
  <si>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</si>
  <si>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</si>
  <si>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</si>
  <si>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</si>
  <si>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</si>
  <si>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</si>
  <si>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</si>
  <si>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</si>
  <si>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</si>
  <si>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</si>
  <si>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</si>
  <si>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</si>
  <si>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</si>
  <si>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</si>
  <si>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</si>
  <si>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</si>
  <si>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</si>
  <si>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</si>
  <si>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</si>
  <si>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</si>
  <si>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</si>
  <si>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</si>
  <si>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</si>
  <si>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</si>
  <si>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</si>
  <si>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</si>
  <si>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</si>
  <si>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</si>
  <si>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</si>
  <si>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</si>
  <si>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</si>
  <si>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</si>
  <si>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</si>
  <si>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</si>
  <si>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</si>
  <si>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</si>
  <si>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</si>
  <si>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</si>
  <si>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</si>
  <si>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</si>
  <si>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</si>
  <si>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</si>
  <si>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</si>
  <si>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</si>
  <si>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</si>
  <si>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</si>
  <si>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</si>
  <si>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</si>
  <si>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</si>
  <si>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</si>
  <si>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</si>
  <si>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</si>
  <si>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</si>
  <si>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</si>
  <si>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</si>
  <si>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</si>
  <si>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</si>
  <si>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</si>
  <si>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</si>
  <si>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</si>
  <si>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</si>
  <si>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</si>
  <si>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</si>
  <si>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</si>
  <si>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</si>
  <si>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</si>
  <si>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</si>
  <si>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</si>
  <si>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</si>
  <si>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</si>
  <si>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</si>
  <si>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</si>
  <si>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</si>
  <si>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</si>
  <si>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</si>
  <si>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</si>
  <si>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</si>
  <si>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</si>
  <si>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</si>
  <si>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</si>
  <si>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</si>
  <si>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</si>
  <si>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</si>
  <si>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</si>
  <si>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</si>
  <si>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</si>
  <si>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</si>
  <si>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</si>
  <si>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</si>
  <si>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</si>
  <si>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</si>
  <si>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</si>
  <si>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</si>
  <si>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</si>
  <si>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</si>
  <si>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</si>
  <si>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</si>
  <si>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</si>
  <si>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</si>
  <si>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</si>
  <si>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</si>
  <si>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</si>
  <si>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</si>
  <si>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</si>
  <si>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</si>
  <si>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</si>
  <si>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</si>
  <si>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</si>
  <si>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</si>
  <si>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</si>
  <si>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</si>
  <si>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</si>
  <si>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</si>
  <si>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</si>
  <si>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</si>
  <si>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</si>
  <si>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</si>
  <si>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</si>
  <si>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</si>
  <si>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</si>
  <si>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</si>
  <si>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</si>
  <si>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</si>
  <si>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</si>
  <si>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</si>
  <si>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</si>
  <si>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</si>
  <si>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</si>
  <si>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</si>
  <si>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</si>
  <si>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</si>
  <si>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</si>
  <si>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</si>
  <si>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</si>
  <si>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</si>
  <si>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</si>
  <si>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</si>
  <si>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</si>
  <si>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</si>
  <si>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</si>
  <si>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</si>
  <si>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</si>
  <si>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</si>
  <si>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</si>
  <si>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</si>
  <si>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</si>
  <si>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</si>
  <si>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</si>
  <si>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</si>
  <si>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</si>
  <si>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</si>
  <si>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</si>
  <si>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</si>
  <si>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</si>
  <si>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</si>
  <si>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</si>
  <si>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</si>
  <si>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</si>
  <si>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</si>
  <si>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</si>
  <si>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</si>
  <si>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</si>
  <si>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</si>
  <si>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</si>
  <si>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</si>
  <si>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</si>
  <si>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</si>
  <si>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</si>
  <si>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</si>
  <si>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</si>
  <si>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</si>
  <si>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</si>
  <si>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</si>
  <si>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</si>
  <si>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</si>
  <si>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</si>
  <si>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</si>
  <si>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</si>
  <si>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</si>
  <si>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</si>
  <si>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</si>
  <si>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</si>
  <si>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</si>
  <si>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</si>
  <si>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</si>
  <si>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</si>
  <si>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</si>
  <si>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</si>
  <si>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</si>
  <si>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</si>
  <si>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</si>
  <si>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</si>
  <si>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</si>
  <si>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</si>
  <si>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</si>
  <si>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</si>
  <si>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</si>
  <si>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</si>
  <si>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</si>
  <si>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</si>
  <si>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</si>
  <si>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</si>
  <si>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</si>
  <si>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</si>
  <si>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</si>
  <si>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</si>
  <si>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</si>
  <si>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</si>
  <si>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</si>
  <si>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</si>
  <si>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</si>
  <si>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</si>
  <si>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</si>
  <si>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</si>
  <si>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</si>
  <si>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</si>
  <si>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</si>
  <si>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</si>
  <si>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</si>
  <si>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</si>
  <si>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</si>
  <si>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</si>
  <si>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</si>
  <si>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</si>
  <si>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</si>
  <si>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</si>
  <si>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</si>
  <si>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</si>
  <si>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</si>
  <si>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</si>
  <si>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</si>
  <si>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</si>
  <si>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</si>
  <si>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</si>
  <si>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</si>
  <si>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</si>
  <si>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</si>
  <si>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</si>
  <si>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</si>
  <si>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</si>
  <si>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</si>
  <si>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</si>
  <si>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</si>
  <si>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</si>
  <si>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</si>
  <si>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</si>
  <si>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</si>
  <si>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</si>
  <si>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</si>
  <si>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</si>
  <si>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</si>
  <si>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</si>
  <si>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</si>
  <si>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</si>
  <si>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</si>
  <si>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</si>
  <si>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</si>
  <si>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</si>
  <si>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</si>
  <si>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</si>
  <si>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</si>
  <si>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</si>
  <si>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</si>
  <si>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</si>
  <si>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</si>
  <si>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</si>
  <si>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</si>
  <si>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</si>
  <si>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</si>
  <si>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</si>
  <si>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</si>
  <si>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</si>
  <si>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</si>
  <si>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</si>
  <si>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</si>
  <si>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</si>
  <si>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</si>
  <si>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</si>
  <si>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</si>
  <si>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</si>
  <si>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</si>
  <si>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</si>
  <si>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</si>
  <si>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</si>
  <si>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</si>
  <si>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</si>
  <si>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</si>
  <si>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</si>
  <si>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</si>
  <si>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</si>
  <si>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</si>
  <si>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</si>
  <si>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</si>
  <si>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</si>
  <si>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</si>
  <si>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</si>
  <si>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</si>
  <si>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</si>
  <si>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</si>
  <si>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</si>
  <si>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</si>
  <si>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</si>
  <si>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</si>
  <si>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</si>
  <si>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</si>
  <si>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</si>
  <si>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</si>
  <si>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</si>
  <si>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</si>
  <si>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</si>
  <si>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</si>
  <si>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</si>
  <si>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</si>
  <si>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</si>
  <si>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</si>
  <si>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</si>
  <si>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</si>
  <si>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</si>
  <si>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</si>
  <si>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</si>
  <si>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</si>
  <si>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</si>
  <si>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</si>
  <si>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</si>
  <si>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</si>
  <si>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</si>
  <si>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</si>
  <si>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</si>
  <si>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</si>
  <si>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</si>
  <si>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</si>
  <si>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</si>
  <si>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</si>
  <si>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</si>
  <si>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</si>
  <si>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</si>
  <si>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</si>
  <si>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</si>
  <si>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</si>
  <si>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</si>
  <si>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</si>
  <si>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</si>
  <si>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</si>
  <si>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</si>
  <si>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</si>
  <si>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</si>
  <si>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</si>
  <si>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</si>
  <si>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</si>
  <si>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</si>
  <si>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</si>
  <si>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</si>
  <si>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</si>
  <si>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</si>
  <si>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</si>
  <si>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</si>
  <si>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</si>
  <si>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</si>
  <si>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</si>
  <si>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</si>
  <si>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</si>
  <si>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</si>
  <si>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</si>
  <si>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</si>
  <si>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</si>
  <si>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</si>
  <si>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</si>
  <si>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</si>
  <si>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</si>
  <si>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</si>
  <si>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</si>
  <si>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</si>
  <si>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</si>
  <si>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</si>
  <si>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</si>
  <si>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</si>
  <si>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</si>
  <si>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</si>
  <si>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</si>
  <si>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</si>
  <si>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</si>
  <si>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</si>
  <si>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</si>
  <si>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</si>
  <si>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</si>
  <si>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</si>
  <si>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</si>
  <si>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</si>
  <si>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</si>
  <si>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</si>
  <si>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</si>
  <si>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</si>
  <si>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</si>
  <si>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</si>
  <si>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</si>
  <si>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</si>
  <si>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</si>
  <si>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</si>
  <si>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</si>
  <si>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</si>
  <si>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</si>
  <si>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</si>
  <si>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</si>
  <si>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</si>
  <si>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</si>
  <si>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</si>
  <si>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</si>
  <si>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</si>
  <si>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</si>
  <si>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</si>
  <si>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</si>
  <si>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</si>
  <si>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</si>
  <si>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</si>
  <si>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</si>
  <si>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</si>
  <si>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</si>
  <si>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</si>
  <si>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</si>
  <si>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</si>
  <si>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</si>
  <si>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</si>
  <si>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</si>
  <si>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</si>
  <si>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</si>
  <si>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</si>
  <si>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</si>
  <si>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</si>
  <si>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</si>
  <si>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</si>
  <si>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</si>
  <si>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</si>
  <si>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</si>
  <si>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</si>
  <si>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</si>
  <si>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</si>
  <si>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</si>
  <si>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</si>
  <si>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</si>
  <si>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</si>
  <si>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</si>
  <si>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</si>
  <si>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</si>
  <si>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</si>
  <si>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</si>
  <si>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</si>
  <si>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</si>
  <si>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</si>
  <si>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</si>
  <si>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</si>
  <si>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</si>
  <si>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</si>
  <si>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</si>
  <si>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</si>
  <si>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</si>
  <si>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</si>
  <si>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</si>
  <si>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</si>
  <si>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</si>
  <si>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</si>
  <si>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</si>
  <si>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</si>
  <si>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</si>
  <si>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</si>
  <si>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</si>
  <si>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</si>
  <si>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</si>
  <si>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</si>
  <si>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</si>
  <si>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</si>
  <si>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</si>
  <si>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</si>
  <si>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</si>
  <si>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</si>
  <si>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</si>
  <si>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</si>
  <si>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</si>
  <si>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</si>
  <si>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</si>
  <si>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</si>
  <si>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</si>
  <si>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</si>
  <si>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</si>
  <si>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</si>
  <si>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</si>
  <si>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</si>
  <si>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</si>
  <si>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</si>
  <si>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</si>
  <si>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</si>
  <si>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</si>
  <si>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</si>
  <si>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</si>
  <si>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</si>
  <si>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</si>
  <si>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</si>
  <si>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</si>
  <si>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</si>
  <si>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</si>
  <si>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</si>
  <si>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</si>
  <si>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</si>
  <si>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</si>
  <si>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</si>
  <si>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</si>
  <si>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</si>
  <si>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</si>
  <si>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</si>
  <si>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</si>
  <si>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</si>
  <si>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</si>
  <si>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</si>
  <si>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</si>
  <si>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</si>
  <si>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</si>
  <si>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</si>
  <si>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</si>
  <si>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</si>
  <si>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</si>
  <si>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</si>
  <si>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</si>
  <si>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</si>
  <si>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</si>
  <si>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</si>
  <si>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</si>
  <si>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</si>
  <si>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</si>
  <si>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</si>
  <si>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</si>
  <si>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</si>
  <si>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</si>
  <si>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</si>
  <si>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</si>
  <si>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</si>
  <si>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</si>
  <si>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</si>
  <si>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</si>
  <si>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</si>
  <si>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</si>
  <si>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</si>
  <si>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</si>
  <si>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</si>
  <si>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</si>
  <si>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</si>
  <si>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</si>
  <si>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</si>
  <si>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</si>
  <si>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</si>
  <si>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</si>
  <si>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</si>
  <si>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</si>
  <si>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</si>
  <si>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</si>
  <si>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</si>
  <si>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</si>
  <si>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</si>
  <si>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</si>
  <si>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</si>
  <si>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</si>
  <si>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</si>
  <si>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</si>
  <si>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</si>
  <si>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</si>
  <si>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</si>
  <si>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</si>
  <si>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</si>
  <si>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</si>
  <si>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</si>
  <si>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</si>
  <si>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</si>
  <si>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</si>
  <si>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</si>
  <si>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</si>
  <si>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</si>
  <si>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</si>
  <si>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</si>
  <si>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</si>
  <si>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</si>
  <si>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</si>
  <si>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</si>
  <si>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</si>
  <si>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</si>
  <si>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</si>
  <si>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</si>
  <si>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</si>
  <si>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</si>
  <si>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</si>
  <si>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</si>
  <si>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</si>
  <si>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</si>
  <si>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</si>
  <si>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</si>
  <si>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</si>
  <si>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</si>
  <si>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</si>
  <si>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</si>
  <si>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</si>
  <si>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</si>
  <si>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</si>
  <si>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</si>
  <si>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</si>
  <si>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</si>
  <si>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</si>
  <si>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</si>
  <si>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</si>
  <si>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</si>
  <si>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</si>
  <si>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</si>
  <si>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</si>
  <si>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</si>
  <si>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</si>
  <si>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</si>
  <si>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</si>
  <si>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</si>
  <si>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</si>
  <si>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</si>
  <si>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</si>
  <si>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</si>
  <si>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</si>
  <si>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</si>
  <si>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</si>
  <si>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</si>
  <si>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</si>
  <si>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</si>
  <si>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</si>
  <si>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</si>
  <si>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</si>
  <si>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</si>
  <si>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</si>
  <si>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</si>
  <si>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</si>
  <si>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</si>
  <si>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</si>
  <si>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</si>
  <si>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</si>
  <si>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</si>
  <si>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</si>
  <si>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</si>
  <si>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</si>
  <si>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</si>
  <si>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</si>
  <si>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</si>
  <si>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</si>
  <si>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</si>
  <si>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</si>
  <si>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</si>
  <si>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</si>
  <si>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</si>
  <si>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</si>
  <si>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</si>
  <si>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</si>
  <si>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</si>
  <si>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</si>
  <si>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</si>
  <si>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</si>
  <si>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</si>
  <si>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</si>
  <si>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</si>
  <si>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</si>
  <si>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</si>
  <si>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</si>
  <si>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</si>
  <si>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</si>
  <si>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</si>
  <si>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</si>
  <si>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</si>
  <si>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</si>
  <si>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</si>
  <si>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</si>
  <si>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</si>
  <si>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</si>
  <si>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</si>
  <si>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</si>
  <si>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</si>
  <si>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</si>
  <si>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</si>
  <si>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</si>
  <si>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</si>
  <si>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</si>
  <si>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</si>
  <si>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</si>
  <si>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</si>
  <si>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</si>
  <si>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</si>
  <si>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</si>
  <si>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</si>
  <si>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</si>
  <si>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</si>
  <si>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</si>
  <si>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</si>
  <si>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</si>
  <si>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</si>
  <si>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</si>
  <si>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</si>
  <si>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</si>
  <si>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</si>
  <si>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</si>
  <si>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</si>
  <si>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</si>
  <si>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</si>
  <si>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</si>
  <si>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</si>
  <si>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</si>
  <si>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</si>
  <si>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</si>
  <si>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</si>
  <si>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</si>
  <si>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</si>
  <si>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</si>
  <si>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</si>
  <si>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</si>
  <si>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</si>
  <si>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</si>
  <si>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</si>
  <si>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</si>
  <si>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</si>
  <si>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</si>
  <si>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</si>
  <si>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</si>
  <si>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</si>
  <si>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</si>
  <si>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</si>
  <si>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</si>
  <si>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</si>
  <si>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</si>
  <si>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</si>
  <si>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</si>
  <si>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</si>
  <si>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</si>
  <si>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</si>
  <si>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</si>
  <si>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</si>
  <si>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</si>
  <si>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</si>
  <si>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</si>
  <si>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</si>
  <si>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</si>
  <si>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</si>
  <si>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</si>
  <si>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</si>
  <si>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</si>
  <si>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</si>
  <si>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</si>
  <si>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</si>
  <si>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</si>
  <si>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</si>
  <si>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</si>
  <si>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</si>
  <si>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</si>
  <si>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</si>
  <si>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</si>
  <si>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</si>
  <si>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</si>
  <si>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</si>
  <si>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</si>
  <si>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</si>
  <si>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</si>
  <si>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</si>
  <si>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</si>
  <si>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</si>
  <si>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</si>
  <si>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</si>
  <si>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</si>
  <si>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</si>
  <si>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</si>
  <si>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</si>
  <si>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</si>
  <si>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</si>
  <si>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</si>
  <si>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</si>
  <si>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</si>
  <si>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</si>
  <si>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</si>
  <si>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</si>
  <si>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</si>
  <si>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</si>
  <si>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</si>
  <si>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</si>
  <si>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</si>
  <si>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</si>
  <si>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</si>
  <si>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</si>
  <si>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</si>
  <si>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</si>
  <si>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</si>
  <si>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</si>
  <si>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</si>
  <si>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</si>
  <si>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</si>
  <si>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</si>
  <si>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</si>
  <si>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</si>
  <si>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</si>
  <si>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</si>
  <si>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</si>
  <si>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</si>
  <si>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</si>
  <si>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</si>
  <si>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</si>
  <si>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</si>
  <si>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</si>
  <si>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</si>
  <si>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</si>
  <si>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</si>
  <si>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</si>
  <si>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</si>
  <si>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</si>
  <si>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</si>
  <si>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</si>
  <si>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</si>
  <si>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</si>
  <si>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</si>
  <si>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</si>
  <si>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</si>
  <si>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</si>
  <si>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</si>
  <si>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</si>
  <si>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</si>
  <si>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</si>
  <si>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</si>
  <si>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</si>
  <si>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</si>
  <si>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</si>
  <si>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</si>
  <si>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</si>
  <si>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</si>
  <si>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</si>
  <si>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</si>
  <si>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</si>
  <si>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</si>
  <si>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</si>
  <si>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</si>
  <si>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</si>
  <si>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</si>
  <si>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</si>
  <si>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</si>
  <si>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</si>
  <si>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</si>
  <si>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</si>
  <si>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</si>
  <si>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</si>
  <si>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</si>
  <si>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</si>
  <si>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</si>
  <si>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</si>
  <si>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</si>
  <si>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</si>
  <si>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</si>
  <si>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</si>
  <si>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</si>
  <si>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</si>
  <si>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</si>
  <si>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</si>
  <si>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</si>
  <si>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</si>
  <si>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</si>
  <si>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</si>
  <si>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</si>
  <si>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</si>
  <si>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</si>
  <si>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</si>
  <si>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</si>
  <si>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</si>
  <si>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</si>
  <si>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</si>
  <si>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</si>
  <si>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</si>
  <si>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</si>
  <si>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</si>
  <si>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</si>
  <si>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</si>
  <si>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</si>
  <si>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</si>
  <si>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</si>
  <si>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</si>
  <si>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</si>
  <si>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</si>
  <si>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</si>
  <si>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</si>
  <si>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</si>
  <si>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</si>
  <si>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</si>
  <si>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</si>
  <si>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</si>
  <si>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</si>
  <si>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</si>
  <si>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</si>
  <si>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</si>
  <si>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</si>
  <si>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</si>
  <si>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</si>
  <si>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</si>
  <si>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</si>
  <si>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</si>
  <si>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</si>
  <si>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</si>
  <si>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</si>
  <si>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</si>
  <si>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</si>
  <si>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</si>
  <si>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</si>
  <si>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</si>
  <si>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</si>
  <si>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</si>
  <si>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</si>
  <si>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</si>
  <si>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</si>
  <si>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</si>
  <si>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</si>
  <si>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</si>
  <si>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</si>
  <si>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</si>
  <si>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</si>
  <si>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</si>
  <si>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</si>
  <si>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</si>
  <si>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</si>
  <si>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</si>
  <si>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</si>
  <si>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</si>
  <si>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</si>
  <si>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</si>
  <si>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</si>
  <si>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</si>
  <si>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</si>
  <si>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</si>
  <si>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</si>
  <si>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</si>
  <si>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</si>
  <si>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</si>
  <si>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</si>
  <si>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</si>
  <si>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</si>
  <si>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</si>
  <si>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</si>
  <si>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</si>
  <si>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</si>
  <si>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</si>
  <si>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</si>
  <si>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</si>
  <si>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</si>
  <si>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</si>
  <si>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</si>
  <si>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</si>
  <si>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</si>
  <si>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</si>
  <si>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</si>
  <si>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</si>
  <si>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</si>
  <si>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</si>
  <si>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</si>
  <si>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</si>
  <si>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</si>
  <si>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</si>
  <si>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</si>
  <si>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</si>
  <si>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</si>
  <si>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</si>
  <si>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</si>
  <si>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</si>
  <si>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</si>
  <si>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</si>
  <si>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</si>
  <si>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</si>
  <si>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</si>
  <si>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</si>
  <si>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</si>
  <si>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</si>
  <si>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</si>
  <si>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</si>
  <si>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</si>
  <si>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</si>
  <si>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</si>
  <si>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</si>
  <si>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</si>
  <si>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</si>
  <si>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</si>
  <si>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</si>
  <si>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</si>
  <si>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</si>
  <si>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</si>
  <si>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</si>
  <si>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</si>
  <si>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</si>
  <si>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</si>
  <si>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</si>
  <si>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</si>
  <si>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</si>
  <si>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</si>
  <si>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</si>
  <si>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</si>
  <si>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</si>
  <si>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</si>
  <si>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</si>
  <si>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</si>
  <si>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</si>
  <si>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</si>
  <si>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</si>
  <si>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</si>
  <si>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</si>
  <si>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</si>
  <si>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</si>
  <si>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</si>
  <si>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</si>
  <si>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</si>
  <si>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</si>
  <si>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</si>
  <si>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</si>
  <si>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</si>
  <si>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</si>
  <si>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</si>
  <si>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</si>
  <si>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</si>
  <si>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</si>
  <si>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</si>
  <si>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</si>
  <si>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</si>
  <si>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</si>
  <si>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</si>
  <si>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</si>
  <si>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</si>
  <si>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</si>
  <si>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</si>
  <si>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</si>
  <si>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</si>
  <si>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</si>
  <si>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</si>
  <si>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</si>
  <si>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</si>
  <si>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</si>
  <si>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</si>
  <si>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</si>
  <si>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</si>
  <si>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</si>
  <si>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</si>
  <si>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</si>
  <si>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</si>
  <si>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</si>
  <si>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</si>
  <si>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</si>
  <si>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</si>
  <si>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</si>
  <si>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</si>
  <si>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</si>
  <si>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</si>
  <si>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</si>
  <si>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</si>
  <si>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</si>
  <si>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</si>
  <si>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</si>
  <si>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</si>
  <si>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</si>
  <si>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</si>
  <si>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</si>
  <si>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</si>
  <si>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</si>
  <si>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</si>
  <si>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</si>
  <si>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</si>
  <si>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</si>
  <si>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</si>
  <si>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</si>
  <si>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</si>
  <si>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</si>
  <si>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</si>
  <si>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</si>
  <si>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</si>
  <si>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</si>
  <si>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</si>
  <si>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</si>
  <si>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</si>
  <si>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</si>
  <si>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</si>
  <si>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</si>
  <si>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</si>
  <si>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</si>
  <si>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</si>
  <si>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</si>
  <si>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</si>
  <si>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</si>
  <si>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</si>
  <si>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</si>
  <si>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</si>
  <si>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</si>
  <si>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</si>
  <si>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</si>
  <si>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</si>
  <si>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</si>
  <si>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</si>
  <si>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</si>
  <si>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</si>
  <si>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</si>
  <si>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</si>
  <si>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</si>
  <si>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</si>
  <si>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</si>
  <si>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</si>
  <si>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</si>
  <si>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</si>
  <si>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</si>
  <si>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</si>
  <si>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</si>
  <si>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</si>
  <si>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</si>
  <si>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</si>
  <si>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</si>
  <si>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</si>
  <si>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</si>
  <si>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</si>
  <si>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</si>
  <si>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</si>
  <si>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</si>
  <si>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</si>
  <si>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</si>
  <si>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</si>
  <si>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</si>
  <si>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</si>
  <si>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</si>
  <si>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</si>
  <si>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</si>
  <si>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</si>
  <si>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</si>
  <si>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</si>
  <si>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</si>
  <si>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</si>
  <si>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</si>
  <si>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</si>
  <si>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</si>
  <si>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</si>
  <si>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</si>
  <si>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</si>
  <si>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</si>
  <si>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</si>
  <si>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</si>
  <si>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</si>
  <si>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</si>
  <si>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</si>
  <si>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</si>
  <si>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</si>
  <si>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</si>
  <si>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</si>
  <si>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</si>
  <si>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</si>
  <si>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</si>
  <si>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</si>
  <si>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</si>
  <si>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</si>
  <si>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</si>
  <si>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</si>
  <si>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</si>
  <si>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</si>
  <si>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</si>
  <si>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</si>
  <si>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</si>
  <si>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</si>
  <si>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</si>
  <si>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</si>
  <si>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</si>
  <si>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</si>
  <si>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</si>
  <si>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</si>
  <si>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</si>
  <si>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</si>
  <si>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</si>
  <si>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</si>
  <si>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</si>
  <si>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</si>
  <si>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</si>
  <si>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</si>
  <si>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</si>
  <si>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</si>
  <si>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</si>
  <si>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</si>
  <si>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</si>
  <si>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</si>
  <si>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</si>
  <si>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</si>
  <si>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</si>
  <si>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</si>
  <si>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</si>
  <si>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</si>
  <si>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</si>
  <si>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</si>
  <si>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</si>
  <si>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</si>
  <si>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</si>
  <si>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</si>
  <si>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</si>
  <si>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</si>
  <si>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</si>
  <si>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</si>
  <si>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</si>
  <si>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</si>
  <si>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</si>
  <si>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</si>
  <si>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</si>
  <si>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</si>
  <si>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</si>
  <si>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</si>
  <si>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</si>
  <si>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</si>
  <si>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</si>
  <si>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</si>
  <si>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</si>
  <si>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</si>
  <si>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</si>
  <si>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</si>
  <si>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</si>
  <si>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</si>
  <si>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</si>
  <si>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</si>
  <si>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</si>
  <si>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</si>
  <si>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</si>
  <si>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</si>
  <si>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</si>
  <si>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</si>
  <si>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</si>
  <si>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</si>
  <si>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</si>
  <si>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</si>
  <si>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</si>
  <si>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</si>
  <si>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</si>
  <si>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</si>
  <si>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</si>
  <si>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</si>
  <si>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</si>
  <si>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</si>
  <si>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</si>
  <si>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</si>
  <si>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</si>
  <si>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</si>
  <si>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</si>
  <si>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</si>
  <si>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</si>
  <si>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</si>
  <si>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</si>
  <si>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</si>
  <si>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</si>
  <si>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</si>
  <si>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</si>
  <si>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</si>
  <si>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</si>
  <si>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</si>
  <si>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</si>
  <si>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</si>
  <si>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</si>
  <si>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</si>
  <si>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</si>
  <si>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</si>
  <si>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</si>
  <si>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</si>
  <si>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</si>
  <si>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</si>
  <si>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</si>
  <si>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</si>
  <si>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</si>
  <si>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</si>
  <si>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</si>
  <si>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</si>
  <si>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</si>
  <si>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</si>
  <si>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</si>
  <si>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</si>
  <si>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</si>
  <si>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</si>
  <si>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</si>
  <si>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</si>
  <si>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</si>
  <si>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</si>
  <si>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</si>
  <si>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</si>
  <si>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</si>
  <si>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</si>
  <si>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</si>
  <si>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</si>
  <si>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</si>
  <si>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</si>
  <si>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</si>
  <si>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</si>
  <si>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</si>
  <si>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</si>
  <si>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</si>
  <si>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</si>
  <si>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</si>
  <si>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</si>
  <si>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</si>
  <si>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</si>
  <si>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</si>
  <si>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</si>
  <si>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</si>
  <si>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</si>
  <si>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</si>
  <si>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</si>
  <si>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</si>
  <si>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</si>
  <si>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</si>
  <si>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</si>
  <si>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</si>
  <si>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</si>
  <si>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</si>
  <si>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</si>
  <si>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</si>
  <si>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</si>
  <si>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</si>
  <si>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</si>
  <si>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</si>
  <si>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</si>
  <si>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</si>
  <si>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</si>
  <si>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</si>
  <si>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</si>
  <si>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</si>
  <si>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</si>
  <si>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</si>
  <si>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</si>
  <si>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</si>
  <si>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</si>
  <si>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</si>
  <si>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</si>
  <si>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</si>
  <si>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</si>
  <si>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</si>
  <si>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</si>
  <si>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</si>
  <si>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</si>
  <si>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</si>
  <si>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</si>
  <si>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</si>
  <si>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</si>
  <si>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</si>
  <si>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</si>
  <si>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</si>
  <si>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</si>
  <si>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</si>
  <si>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</si>
  <si>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</si>
  <si>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</si>
  <si>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</si>
  <si>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</si>
  <si>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</si>
  <si>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</si>
  <si>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</si>
  <si>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</si>
  <si>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</si>
  <si>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</si>
  <si>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</si>
  <si>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</si>
  <si>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</si>
  <si>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</si>
  <si>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</si>
  <si>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</si>
  <si>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</si>
  <si>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</si>
  <si>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</si>
  <si>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</si>
  <si>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</si>
  <si>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</si>
  <si>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</si>
  <si>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</si>
  <si>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</si>
  <si>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</si>
  <si>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</si>
  <si>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</si>
  <si>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</si>
  <si>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</si>
  <si>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</si>
  <si>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</si>
  <si>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</si>
  <si>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</si>
  <si>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</si>
  <si>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</si>
  <si>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</si>
  <si>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</si>
  <si>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</si>
  <si>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</si>
  <si>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</si>
  <si>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</si>
  <si>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</si>
  <si>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</si>
  <si>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</si>
  <si>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</si>
  <si>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</si>
  <si>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</si>
  <si>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</si>
  <si>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</si>
  <si>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</si>
  <si>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</si>
  <si>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</si>
  <si>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</si>
  <si>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</si>
  <si>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</si>
  <si>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</si>
  <si>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</si>
  <si>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</si>
  <si>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</si>
  <si>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</si>
  <si>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</si>
  <si>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</si>
  <si>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</si>
  <si>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</si>
  <si>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</si>
  <si>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</si>
  <si>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</si>
  <si>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</si>
  <si>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</si>
  <si>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</si>
  <si>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</si>
  <si>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</si>
  <si>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</si>
  <si>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</si>
  <si>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</si>
  <si>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</si>
  <si>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</si>
  <si>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</si>
  <si>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</si>
  <si>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</si>
  <si>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</si>
  <si>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</si>
  <si>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</si>
  <si>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</si>
  <si>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</si>
  <si>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</si>
  <si>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</si>
  <si>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</si>
  <si>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</si>
  <si>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</si>
  <si>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</si>
  <si>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</si>
  <si>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</si>
  <si>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</si>
  <si>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</si>
  <si>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</si>
  <si>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</si>
  <si>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</si>
  <si>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</si>
  <si>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</si>
  <si>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</si>
  <si>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</si>
  <si>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</si>
  <si>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</si>
  <si>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</si>
  <si>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</si>
  <si>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</si>
  <si>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</si>
  <si>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</si>
  <si>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</si>
  <si>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</si>
  <si>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</si>
  <si>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</si>
  <si>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</si>
  <si>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</si>
  <si>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</si>
  <si>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</si>
  <si>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</si>
  <si>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</si>
  <si>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</si>
  <si>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</si>
  <si>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</si>
  <si>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</si>
  <si>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</si>
  <si>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</si>
  <si>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</si>
  <si>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</si>
  <si>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</si>
  <si>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</si>
  <si>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</si>
  <si>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</si>
  <si>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</si>
  <si>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</si>
  <si>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</si>
  <si>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</si>
  <si>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</si>
  <si>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</si>
  <si>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</si>
  <si>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</si>
  <si>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</si>
  <si>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</si>
  <si>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</si>
  <si>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</si>
  <si>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</si>
  <si>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</si>
  <si>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</si>
  <si>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</si>
  <si>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</si>
  <si>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</si>
  <si>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</si>
  <si>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</si>
  <si>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</si>
  <si>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</si>
  <si>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</si>
  <si>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</si>
  <si>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</si>
  <si>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</si>
  <si>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</si>
  <si>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</si>
  <si>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</si>
  <si>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</si>
  <si>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</si>
  <si>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</si>
  <si>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</si>
  <si>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</si>
  <si>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</si>
  <si>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</si>
  <si>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</si>
  <si>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</si>
  <si>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</si>
  <si>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</si>
  <si>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</si>
  <si>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</si>
  <si>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</si>
  <si>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</si>
  <si>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</si>
  <si>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</si>
  <si>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</si>
  <si>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</si>
  <si>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</si>
  <si>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</si>
  <si>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</si>
  <si>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</si>
  <si>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</si>
  <si>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</si>
  <si>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</si>
  <si>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</si>
  <si>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</si>
  <si>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</si>
  <si>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</si>
  <si>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</si>
  <si>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</si>
  <si>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</si>
  <si>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</si>
  <si>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</si>
  <si>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</si>
  <si>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</si>
  <si>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</si>
  <si>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</si>
  <si>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</si>
  <si>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</si>
  <si>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</si>
  <si>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</si>
  <si>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</si>
  <si>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</si>
  <si>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</si>
  <si>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</si>
  <si>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</si>
  <si>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</si>
  <si>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</si>
  <si>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</si>
  <si>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</si>
  <si>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</si>
  <si>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</si>
  <si>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</si>
  <si>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</si>
  <si>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</si>
  <si>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</si>
  <si>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</si>
  <si>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</si>
  <si>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</si>
  <si>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</si>
  <si>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</si>
  <si>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</si>
  <si>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</si>
  <si>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</si>
  <si>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</si>
  <si>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</si>
  <si>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</si>
  <si>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</si>
  <si>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</si>
  <si>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</si>
  <si>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</si>
  <si>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</si>
  <si>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</si>
  <si>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</si>
  <si>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</si>
  <si>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</si>
  <si>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</si>
  <si>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</si>
  <si>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</si>
  <si>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</si>
  <si>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</si>
  <si>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</si>
  <si>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</si>
  <si>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</si>
  <si>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</si>
  <si>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</si>
  <si>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</si>
  <si>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</si>
  <si>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</si>
  <si>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</si>
  <si>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</si>
  <si>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</si>
  <si>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</si>
  <si>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</si>
  <si>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</si>
  <si>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</si>
  <si>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</si>
  <si>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</si>
  <si>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</si>
  <si>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</si>
  <si>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</si>
  <si>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</si>
  <si>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</si>
  <si>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</si>
  <si>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</si>
  <si>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</si>
  <si>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</si>
  <si>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</si>
  <si>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</si>
  <si>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</si>
  <si>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</si>
  <si>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</si>
  <si>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</si>
  <si>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</si>
  <si>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</si>
  <si>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</si>
  <si>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</si>
  <si>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</si>
  <si>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</si>
  <si>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</si>
  <si>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</si>
  <si>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</si>
  <si>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</si>
  <si>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</si>
  <si>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</si>
  <si>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</si>
  <si>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</si>
  <si>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</si>
  <si>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</si>
  <si>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</si>
  <si>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</si>
  <si>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</si>
  <si>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</si>
  <si>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</si>
  <si>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</si>
  <si>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</si>
  <si>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</si>
  <si>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</si>
  <si>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</si>
  <si>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</si>
  <si>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</si>
  <si>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</si>
  <si>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</si>
  <si>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</si>
  <si>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</si>
  <si>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</si>
  <si>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</si>
  <si>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</si>
  <si>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</si>
  <si>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</si>
  <si>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</si>
  <si>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</si>
  <si>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</si>
  <si>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</si>
  <si>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</si>
  <si>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</si>
  <si>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</si>
  <si>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</si>
  <si>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</si>
  <si>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</si>
  <si>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</si>
  <si>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</si>
  <si>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</si>
  <si>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</si>
  <si>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</si>
  <si>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</si>
  <si>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</si>
  <si>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</si>
  <si>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</si>
  <si>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</si>
  <si>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</si>
  <si>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</si>
  <si>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</si>
  <si>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</si>
  <si>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</si>
  <si>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</si>
  <si>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</si>
  <si>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</si>
  <si>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</si>
  <si>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</si>
  <si>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</si>
  <si>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</si>
  <si>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</si>
  <si>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</si>
  <si>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</si>
  <si>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</si>
  <si>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</si>
  <si>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</si>
  <si>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</si>
  <si>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</si>
  <si>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</si>
  <si>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</si>
  <si>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</si>
  <si>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</si>
  <si>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</si>
  <si>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</si>
  <si>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</si>
  <si>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</si>
  <si>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</si>
  <si>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</si>
  <si>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</si>
  <si>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</si>
  <si>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</si>
  <si>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</si>
  <si>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</si>
  <si>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</si>
  <si>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</si>
  <si>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</si>
  <si>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</si>
  <si>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</si>
  <si>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</si>
  <si>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</si>
  <si>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</si>
  <si>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</si>
  <si>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</si>
  <si>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</si>
  <si>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</si>
  <si>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</si>
  <si>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</si>
  <si>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</si>
  <si>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</si>
  <si>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</si>
  <si>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</si>
  <si>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</si>
  <si>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</si>
  <si>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</si>
  <si>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</si>
  <si>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</si>
  <si>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</si>
  <si>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</si>
  <si>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</si>
  <si>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</si>
  <si>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</si>
  <si>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</si>
  <si>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</si>
  <si>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</si>
  <si>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</si>
  <si>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</si>
  <si>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</si>
  <si>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</si>
  <si>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</si>
  <si>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</si>
  <si>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</si>
  <si>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</si>
  <si>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</si>
  <si>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</si>
  <si>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</si>
  <si>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</si>
  <si>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</si>
  <si>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</si>
  <si>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</si>
  <si>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</si>
  <si>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</si>
  <si>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</si>
  <si>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</si>
  <si>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</si>
  <si>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</si>
  <si>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</si>
  <si>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</si>
  <si>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</si>
  <si>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</si>
  <si>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</si>
  <si>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</si>
  <si>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</si>
  <si>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</si>
  <si>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</si>
  <si>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</si>
  <si>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</si>
  <si>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</si>
  <si>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</si>
  <si>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</si>
  <si>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</si>
  <si>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</si>
  <si>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</si>
  <si>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</si>
  <si>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</si>
  <si>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</si>
  <si>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</si>
  <si>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</si>
  <si>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</si>
  <si>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</si>
  <si>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</si>
  <si>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</si>
  <si>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</si>
  <si>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</si>
  <si>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</si>
  <si>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</si>
  <si>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</si>
  <si>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</si>
  <si>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</si>
  <si>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</si>
  <si>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</si>
  <si>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</si>
  <si>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</si>
  <si>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</si>
  <si>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</si>
  <si>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</si>
  <si>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</si>
  <si>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</si>
  <si>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</si>
  <si>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</si>
  <si>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</si>
  <si>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</si>
  <si>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</si>
  <si>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</si>
  <si>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</si>
  <si>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</si>
  <si>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</si>
  <si>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</si>
  <si>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</si>
  <si>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</si>
  <si>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</si>
  <si>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</si>
  <si>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</si>
  <si>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</si>
  <si>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</si>
  <si>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</si>
  <si>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</si>
  <si>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</si>
  <si>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</si>
  <si>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</si>
  <si>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</si>
  <si>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</si>
  <si>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</si>
  <si>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</si>
  <si>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</si>
  <si>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</si>
  <si>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</si>
  <si>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</si>
  <si>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</si>
  <si>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</si>
  <si>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</si>
  <si>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</si>
  <si>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</si>
  <si>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</si>
  <si>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</si>
  <si>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</si>
  <si>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</si>
  <si>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</si>
  <si>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</si>
  <si>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</si>
  <si>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</si>
  <si>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</si>
  <si>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</si>
  <si>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</si>
  <si>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</si>
  <si>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</si>
  <si>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</si>
  <si>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</si>
  <si>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</si>
  <si>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</si>
  <si>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</si>
  <si>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</si>
  <si>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</si>
  <si>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</si>
  <si>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</si>
  <si>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</si>
  <si>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</si>
  <si>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</si>
  <si>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</si>
  <si>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</si>
  <si>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</si>
  <si>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</si>
  <si>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</si>
  <si>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</si>
  <si>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</si>
  <si>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</si>
  <si>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</si>
  <si>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</si>
  <si>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</si>
  <si>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</si>
  <si>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</si>
  <si>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</si>
  <si>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</si>
  <si>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</si>
  <si>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</si>
  <si>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</si>
  <si>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</si>
  <si>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</si>
  <si>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</si>
  <si>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</si>
  <si>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</si>
  <si>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</si>
  <si>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</si>
  <si>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</si>
  <si>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</si>
  <si>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</si>
  <si>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</si>
  <si>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</si>
  <si>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</si>
  <si>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</si>
  <si>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</si>
  <si>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</si>
  <si>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</si>
  <si>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</si>
  <si>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</si>
  <si>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</si>
  <si>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</si>
  <si>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</si>
  <si>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</si>
  <si>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</si>
  <si>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</si>
  <si>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</si>
  <si>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</si>
  <si>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</si>
  <si>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</si>
  <si>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</si>
  <si>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</si>
  <si>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</si>
  <si>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</si>
  <si>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</si>
  <si>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</si>
  <si>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</si>
  <si>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</si>
  <si>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</si>
  <si>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</si>
  <si>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</si>
  <si>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</si>
  <si>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</si>
  <si>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</si>
  <si>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</si>
  <si>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</si>
  <si>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</si>
  <si>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</si>
  <si>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</si>
  <si>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</si>
  <si>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</si>
  <si>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</si>
  <si>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</si>
  <si>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</si>
  <si>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</si>
  <si>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</si>
  <si>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</si>
  <si>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</si>
  <si>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</si>
  <si>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</si>
  <si>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</si>
  <si>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</si>
  <si>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</si>
  <si>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</si>
  <si>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</si>
  <si>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</si>
  <si>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</si>
  <si>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</si>
  <si>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</si>
  <si>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</si>
  <si>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</si>
  <si>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</si>
  <si>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</si>
  <si>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</si>
  <si>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</si>
  <si>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</si>
  <si>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</si>
  <si>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</si>
  <si>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</si>
  <si>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</si>
  <si>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</si>
  <si>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</si>
  <si>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</si>
  <si>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</si>
  <si>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</si>
  <si>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</si>
  <si>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</si>
  <si>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</si>
  <si>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</si>
  <si>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</si>
  <si>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</si>
  <si>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</si>
  <si>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</si>
  <si>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</si>
  <si>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</si>
  <si>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</si>
  <si>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</si>
  <si>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</si>
  <si>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</si>
  <si>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</si>
  <si>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</si>
  <si>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</si>
  <si>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</si>
  <si>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</si>
  <si>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</si>
  <si>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</si>
  <si>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</si>
  <si>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</si>
  <si>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</si>
  <si>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</si>
  <si>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</si>
  <si>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</si>
  <si>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</si>
  <si>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</si>
  <si>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</si>
  <si>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</si>
  <si>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</si>
  <si>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</si>
  <si>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</si>
  <si>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</si>
  <si>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</si>
  <si>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</si>
  <si>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</si>
  <si>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</si>
  <si>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</si>
  <si>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</si>
  <si>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</si>
  <si>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</si>
  <si>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</si>
  <si>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</si>
  <si>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</si>
  <si>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</si>
  <si>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</si>
  <si>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</si>
  <si>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</si>
  <si>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</si>
  <si>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</si>
  <si>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</si>
  <si>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</si>
  <si>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</si>
  <si>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</si>
  <si>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</si>
  <si>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</si>
  <si>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</si>
  <si>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</si>
  <si>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</si>
  <si>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</si>
  <si>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</si>
  <si>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</si>
  <si>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</si>
  <si>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</si>
  <si>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</si>
  <si>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</si>
  <si>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</si>
  <si>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</si>
  <si>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</si>
  <si>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</si>
  <si>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</si>
  <si>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</si>
  <si>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</si>
  <si>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</si>
  <si>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</si>
  <si>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</si>
  <si>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</si>
  <si>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</si>
  <si>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</si>
  <si>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</si>
  <si>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</si>
  <si>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</si>
  <si>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</si>
  <si>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</si>
  <si>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</si>
  <si>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</si>
  <si>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</si>
  <si>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</si>
  <si>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</si>
  <si>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</si>
  <si>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</si>
  <si>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</si>
  <si>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</si>
  <si>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</si>
  <si>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</si>
  <si>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</si>
  <si>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</si>
  <si>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</si>
  <si>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</si>
  <si>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</si>
  <si>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</si>
  <si>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</si>
  <si>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</si>
  <si>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</si>
  <si>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</si>
  <si>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</si>
  <si>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</si>
  <si>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</si>
  <si>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</si>
  <si>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</si>
  <si>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</si>
  <si>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</si>
  <si>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</si>
  <si>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</si>
  <si>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</si>
  <si>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</si>
  <si>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</si>
  <si>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</si>
  <si>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</si>
  <si>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</si>
  <si>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</si>
  <si>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</si>
  <si>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</si>
  <si>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</si>
  <si>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</si>
  <si>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</si>
  <si>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</si>
  <si>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</si>
  <si>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</si>
  <si>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</si>
  <si>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</si>
  <si>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</si>
  <si>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</si>
  <si>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</si>
  <si>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</si>
  <si>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</si>
  <si>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</si>
  <si>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</si>
  <si>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</si>
  <si>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</si>
  <si>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</si>
  <si>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</si>
  <si>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</si>
  <si>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</si>
  <si>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</si>
  <si>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</si>
  <si>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</si>
  <si>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</si>
  <si>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</si>
  <si>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</si>
  <si>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</si>
  <si>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</si>
  <si>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</si>
  <si>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</si>
  <si>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</si>
  <si>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</si>
  <si>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</si>
  <si>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</si>
  <si>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</si>
  <si>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</si>
  <si>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</si>
  <si>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</si>
  <si>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</si>
  <si>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</si>
  <si>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</si>
  <si>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</si>
  <si>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</si>
  <si>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</si>
  <si>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</si>
  <si>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</si>
  <si>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</si>
  <si>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</si>
  <si>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</si>
  <si>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</si>
  <si>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</si>
  <si>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</si>
  <si>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</si>
  <si>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</si>
  <si>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</si>
  <si>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</si>
  <si>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</si>
  <si>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</si>
  <si>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</si>
  <si>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</si>
  <si>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</si>
  <si>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</si>
  <si>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</si>
  <si>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</si>
  <si>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</si>
  <si>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</si>
  <si>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</si>
  <si>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</si>
  <si>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</si>
  <si>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</si>
  <si>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</si>
  <si>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</si>
  <si>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</si>
  <si>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</si>
  <si>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</si>
  <si>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</si>
  <si>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</si>
  <si>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</si>
  <si>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</si>
  <si>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</si>
  <si>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</si>
  <si>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</si>
  <si>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</si>
  <si>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</si>
  <si>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</si>
  <si>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</si>
  <si>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</si>
  <si>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</si>
  <si>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</si>
  <si>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</si>
  <si>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</si>
  <si>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</si>
  <si>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</si>
  <si>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</si>
  <si>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</si>
  <si>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</si>
  <si>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</si>
  <si>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</si>
  <si>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</si>
  <si>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</si>
  <si>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</si>
  <si>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</si>
  <si>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</si>
  <si>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</si>
  <si>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</si>
  <si>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</si>
  <si>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</si>
  <si>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</si>
  <si>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</si>
  <si>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</si>
  <si>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</si>
  <si>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</si>
  <si>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</si>
  <si>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</si>
  <si>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</si>
  <si>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</si>
  <si>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</si>
  <si>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</si>
  <si>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</si>
  <si>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</si>
  <si>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</si>
  <si>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</si>
  <si>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</si>
  <si>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</si>
  <si>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</si>
  <si>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</si>
  <si>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</si>
  <si>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</si>
  <si>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</si>
  <si>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</si>
  <si>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</si>
  <si>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</si>
  <si>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</si>
  <si>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</si>
  <si>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</si>
  <si>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</si>
  <si>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</si>
  <si>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</si>
  <si>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</si>
  <si>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</si>
  <si>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</si>
  <si>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</si>
  <si>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</si>
  <si>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</si>
  <si>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</si>
  <si>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</si>
  <si>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</si>
  <si>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</si>
  <si>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</si>
  <si>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</si>
  <si>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</si>
  <si>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</si>
  <si>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</si>
  <si>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</si>
  <si>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</si>
  <si>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</si>
  <si>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</si>
  <si>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</si>
  <si>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</si>
  <si>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</si>
  <si>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</si>
  <si>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</si>
  <si>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</si>
  <si>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</si>
  <si>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</si>
  <si>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</si>
  <si>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</si>
  <si>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</si>
  <si>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</si>
  <si>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</si>
  <si>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</si>
  <si>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</si>
  <si>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</si>
  <si>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</si>
  <si>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</si>
  <si>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</si>
  <si>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</si>
  <si>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</si>
  <si>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</si>
  <si>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</si>
  <si>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</si>
  <si>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</si>
  <si>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</si>
  <si>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</si>
  <si>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</si>
  <si>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</si>
  <si>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</si>
  <si>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</si>
  <si>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</si>
  <si>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</si>
  <si>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</si>
  <si>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</si>
  <si>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</si>
  <si>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</si>
  <si>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</si>
  <si>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</si>
  <si>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</si>
  <si>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</si>
  <si>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</si>
  <si>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</si>
  <si>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</si>
  <si>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</si>
  <si>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</si>
  <si>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</si>
  <si>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</si>
  <si>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</si>
  <si>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</si>
  <si>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</si>
  <si>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</si>
  <si>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</si>
  <si>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</si>
  <si>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</si>
  <si>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</si>
  <si>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</si>
  <si>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</si>
  <si>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</si>
  <si>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</si>
  <si>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</si>
  <si>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</si>
  <si>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</si>
  <si>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</si>
  <si>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</si>
  <si>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</si>
  <si>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</si>
  <si>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</si>
  <si>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</si>
  <si>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</si>
  <si>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</si>
  <si>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</si>
  <si>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</si>
  <si>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</si>
  <si>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</si>
  <si>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</si>
  <si>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</si>
  <si>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</si>
  <si>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</si>
  <si>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</si>
  <si>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</si>
  <si>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</si>
  <si>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</si>
  <si>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</si>
  <si>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</si>
  <si>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</si>
  <si>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</si>
  <si>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</si>
  <si>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</si>
  <si>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</si>
  <si>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</si>
  <si>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</si>
  <si>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</si>
  <si>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</si>
  <si>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</si>
  <si>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</si>
  <si>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</si>
  <si>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</si>
  <si>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</si>
  <si>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</si>
  <si>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</si>
  <si>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</si>
  <si>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</si>
  <si>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</si>
  <si>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</si>
  <si>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</si>
  <si>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</si>
  <si>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</si>
  <si>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</si>
  <si>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</si>
  <si>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</si>
  <si>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</si>
  <si>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</si>
  <si>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</si>
  <si>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</si>
  <si>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</si>
  <si>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</si>
  <si>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</si>
  <si>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</si>
  <si>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</si>
  <si>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</si>
  <si>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</si>
  <si>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</si>
  <si>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</si>
  <si>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</si>
  <si>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</si>
  <si>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</si>
  <si>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</si>
  <si>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</si>
  <si>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</si>
  <si>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</si>
  <si>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</si>
  <si>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</si>
  <si>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</si>
  <si>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</si>
  <si>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</si>
  <si>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</si>
  <si>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</si>
  <si>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</si>
  <si>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</si>
  <si>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</si>
  <si>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</si>
  <si>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</si>
  <si>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</si>
  <si>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</si>
  <si>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</si>
  <si>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</si>
  <si>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</si>
  <si>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</si>
  <si>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</si>
  <si>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</si>
  <si>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</si>
  <si>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</si>
  <si>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</si>
  <si>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</si>
  <si>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</si>
  <si>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</si>
  <si>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</si>
  <si>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</si>
  <si>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</si>
  <si>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</si>
  <si>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</si>
  <si>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</si>
  <si>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</si>
  <si>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</si>
  <si>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</si>
  <si>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</si>
  <si>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</si>
  <si>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</si>
  <si>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</si>
  <si>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</si>
  <si>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</si>
  <si>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</si>
  <si>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</si>
  <si>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</si>
  <si>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</si>
  <si>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</si>
  <si>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</si>
  <si>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</si>
  <si>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</si>
  <si>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</si>
  <si>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</si>
  <si>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</si>
  <si>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</si>
  <si>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</si>
  <si>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</si>
  <si>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</si>
  <si>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</si>
  <si>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</si>
  <si>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</si>
  <si>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</si>
  <si>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</si>
  <si>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</si>
  <si>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</si>
  <si>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</si>
  <si>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</si>
  <si>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</si>
  <si>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</si>
  <si>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</si>
  <si>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</si>
  <si>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</si>
  <si>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</si>
  <si>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</si>
  <si>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</si>
  <si>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</si>
  <si>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</si>
  <si>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</si>
  <si>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</si>
  <si>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</si>
  <si>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</si>
  <si>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</si>
  <si>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</si>
  <si>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</si>
  <si>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</si>
  <si>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</si>
  <si>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</si>
  <si>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</si>
  <si>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</si>
  <si>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</si>
  <si>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</si>
  <si>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</si>
  <si>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</si>
  <si>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</si>
  <si>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</si>
  <si>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</si>
  <si>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</si>
  <si>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</si>
  <si>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</si>
  <si>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</si>
  <si>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</si>
  <si>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</si>
  <si>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</si>
  <si>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</si>
  <si>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</si>
  <si>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</si>
  <si>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</si>
  <si>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</si>
  <si>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</si>
  <si>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</si>
  <si>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</si>
  <si>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</si>
  <si>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</si>
  <si>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</si>
  <si>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</si>
  <si>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</si>
  <si>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</si>
  <si>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</si>
  <si>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</si>
  <si>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</si>
  <si>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</si>
  <si>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</si>
  <si>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</si>
  <si>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</si>
  <si>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</si>
  <si>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</si>
  <si>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</si>
  <si>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</si>
  <si>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</si>
  <si>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</si>
  <si>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</si>
  <si>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</si>
  <si>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</si>
  <si>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</si>
  <si>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</si>
  <si>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</si>
  <si>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</si>
  <si>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</si>
  <si>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</si>
  <si>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</si>
  <si>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</si>
  <si>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</si>
  <si>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</si>
  <si>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</si>
  <si>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</si>
  <si>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</si>
  <si>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</si>
  <si>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</si>
  <si>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</si>
  <si>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</si>
  <si>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</si>
  <si>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</si>
  <si>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</si>
  <si>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</si>
  <si>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</si>
  <si>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</si>
  <si>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</si>
  <si>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</si>
  <si>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</si>
  <si>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</si>
  <si>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</si>
  <si>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</si>
  <si>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</si>
  <si>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</si>
  <si>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</si>
  <si>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</si>
  <si>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</si>
  <si>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</si>
  <si>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</si>
  <si>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</si>
  <si>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</si>
  <si>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</si>
  <si>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</si>
  <si>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</si>
  <si>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</si>
  <si>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</si>
  <si>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</si>
  <si>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</si>
  <si>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</si>
  <si>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</si>
  <si>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</si>
  <si>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</si>
  <si>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</si>
  <si>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</si>
  <si>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</si>
  <si>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</si>
  <si>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</si>
  <si>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</si>
  <si>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</si>
  <si>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</si>
  <si>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</si>
  <si>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</si>
  <si>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</si>
  <si>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</si>
  <si>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</si>
  <si>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</si>
  <si>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</si>
  <si>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</si>
  <si>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</si>
  <si>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</si>
  <si>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</si>
  <si>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</si>
  <si>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</si>
  <si>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</si>
  <si>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</si>
  <si>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</si>
  <si>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</si>
  <si>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</si>
  <si>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</si>
  <si>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</si>
  <si>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</si>
  <si>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</si>
  <si>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</si>
  <si>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</si>
  <si>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</si>
  <si>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</si>
  <si>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</si>
  <si>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</si>
  <si>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</si>
  <si>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</si>
  <si>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</si>
  <si>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</si>
  <si>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</si>
  <si>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</si>
  <si>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</si>
  <si>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</si>
  <si>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</si>
  <si>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</si>
  <si>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</si>
  <si>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</si>
  <si>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</si>
  <si>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</si>
  <si>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</si>
  <si>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</si>
  <si>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</si>
  <si>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</si>
  <si>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</si>
  <si>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</si>
  <si>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</si>
  <si>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</si>
  <si>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</si>
  <si>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</si>
  <si>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</si>
  <si>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</si>
  <si>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</si>
  <si>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</si>
  <si>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</si>
  <si>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</si>
  <si>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</si>
  <si>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</si>
  <si>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</si>
  <si>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</si>
  <si>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</si>
  <si>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</si>
  <si>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</si>
  <si>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</si>
  <si>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</si>
  <si>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</si>
  <si>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</si>
  <si>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</si>
  <si>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</si>
  <si>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</si>
  <si>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</si>
  <si>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</si>
  <si>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</si>
  <si>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</si>
  <si>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</si>
  <si>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</si>
  <si>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</si>
  <si>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</si>
  <si>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</si>
  <si>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</si>
  <si>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</si>
  <si>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</si>
  <si>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</si>
  <si>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</si>
  <si>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</si>
  <si>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</si>
  <si>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</si>
  <si>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</si>
  <si>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</si>
  <si>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</si>
  <si>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</si>
  <si>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</si>
  <si>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</si>
  <si>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</si>
  <si>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</si>
  <si>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</si>
  <si>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</si>
  <si>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</si>
  <si>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</si>
  <si>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</si>
  <si>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</si>
  <si>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</si>
  <si>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</si>
  <si>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</si>
  <si>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</si>
  <si>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</si>
  <si>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</si>
  <si>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</si>
  <si>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</si>
  <si>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</si>
  <si>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</si>
  <si>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</si>
  <si>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</si>
  <si>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</si>
  <si>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</si>
  <si>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</si>
  <si>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</si>
  <si>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</si>
  <si>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</si>
  <si>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</si>
  <si>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</si>
  <si>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</si>
  <si>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</si>
  <si>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</si>
  <si>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</si>
  <si>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</si>
  <si>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</si>
  <si>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</si>
  <si>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</si>
  <si>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</si>
  <si>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</si>
  <si>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</si>
  <si>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</si>
  <si>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</si>
  <si>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</si>
  <si>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</si>
  <si>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</si>
  <si>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</si>
  <si>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</si>
  <si>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</si>
  <si>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</si>
  <si>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</si>
  <si>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</si>
  <si>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</si>
  <si>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</si>
  <si>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</si>
  <si>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</si>
  <si>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</si>
  <si>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</si>
  <si>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</si>
  <si>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</si>
  <si>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</si>
  <si>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</si>
  <si>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</si>
  <si>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</si>
  <si>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</si>
  <si>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</si>
  <si>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</si>
  <si>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</si>
  <si>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</si>
  <si>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</si>
  <si>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</si>
  <si>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</si>
  <si>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</si>
  <si>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</si>
  <si>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</si>
  <si>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</si>
  <si>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</si>
  <si>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</si>
  <si>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</si>
  <si>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</si>
  <si>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</si>
  <si>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</si>
  <si>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</si>
  <si>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</si>
  <si>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</si>
  <si>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</si>
  <si>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</si>
  <si>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</si>
  <si>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</si>
  <si>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</si>
  <si>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</si>
  <si>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</si>
  <si>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</si>
  <si>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</si>
  <si>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</si>
  <si>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</si>
  <si>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</si>
  <si>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</si>
  <si>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</si>
  <si>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</si>
  <si>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</si>
  <si>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</si>
  <si>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</si>
  <si>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</si>
  <si>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</si>
  <si>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</si>
  <si>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</si>
  <si>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</si>
  <si>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</si>
  <si>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</si>
  <si>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</si>
  <si>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</si>
  <si>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</si>
  <si>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</si>
  <si>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</si>
  <si>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</si>
  <si>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</si>
  <si>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</si>
  <si>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</si>
  <si>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</si>
  <si>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</si>
  <si>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</si>
  <si>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</si>
  <si>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</si>
  <si>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</si>
  <si>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</si>
  <si>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</si>
  <si>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</si>
  <si>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</si>
  <si>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</si>
  <si>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</si>
  <si>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</si>
  <si>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</si>
  <si>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</si>
  <si>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</si>
  <si>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</si>
  <si>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</si>
  <si>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</si>
  <si>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</si>
  <si>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</si>
  <si>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</si>
  <si>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</si>
  <si>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</si>
  <si>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</si>
  <si>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</si>
  <si>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</si>
  <si>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</si>
  <si>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</si>
  <si>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</si>
  <si>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</si>
  <si>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</si>
  <si>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</si>
  <si>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</si>
  <si>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</si>
  <si>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</si>
  <si>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</si>
  <si>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</si>
  <si>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</si>
  <si>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</si>
  <si>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</si>
  <si>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</si>
  <si>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</si>
  <si>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</si>
  <si>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</si>
  <si>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</si>
  <si>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</si>
  <si>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</si>
  <si>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</si>
  <si>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</si>
  <si>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</si>
  <si>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</si>
  <si>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</si>
  <si>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</si>
  <si>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</si>
  <si>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</si>
  <si>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</si>
  <si>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</si>
  <si>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</si>
  <si>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</si>
  <si>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</si>
  <si>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</si>
  <si>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</si>
  <si>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</si>
  <si>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</si>
  <si>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</si>
  <si>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</si>
  <si>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</si>
  <si>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</si>
  <si>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</si>
  <si>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</si>
  <si>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</si>
  <si>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</si>
  <si>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</si>
  <si>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</si>
  <si>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</si>
  <si>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</si>
  <si>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</si>
  <si>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</si>
  <si>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</si>
  <si>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</si>
  <si>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</si>
  <si>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</si>
  <si>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</si>
  <si>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</si>
  <si>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</si>
  <si>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</si>
  <si>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</si>
  <si>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</si>
  <si>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</si>
  <si>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</si>
  <si>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</si>
  <si>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</si>
  <si>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</si>
  <si>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</si>
  <si>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</si>
  <si>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</si>
  <si>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</si>
  <si>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</si>
  <si>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</si>
  <si>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</si>
  <si>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</si>
  <si>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</si>
  <si>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</si>
  <si>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</si>
  <si>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</si>
  <si>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</si>
  <si>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</si>
  <si>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</si>
  <si>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</si>
  <si>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</si>
  <si>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</si>
  <si>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</si>
  <si>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</si>
  <si>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</si>
  <si>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</si>
  <si>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</si>
  <si>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</si>
  <si>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</si>
  <si>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</si>
  <si>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</si>
  <si>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</si>
  <si>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</si>
  <si>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</si>
  <si>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</si>
  <si>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</si>
  <si>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</si>
  <si>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</si>
  <si>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</si>
  <si>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</si>
  <si>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</si>
  <si>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</si>
  <si>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</si>
  <si>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</si>
  <si>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</si>
  <si>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</si>
  <si>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</si>
  <si>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</si>
  <si>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</si>
  <si>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</si>
  <si>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</si>
  <si>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</si>
  <si>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</si>
  <si>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</si>
  <si>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</si>
  <si>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</si>
  <si>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</si>
  <si>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</si>
  <si>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</si>
  <si>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</si>
  <si>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</si>
  <si>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</si>
  <si>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</si>
  <si>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</si>
  <si>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</si>
  <si>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</si>
  <si>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</si>
  <si>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</si>
  <si>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</si>
  <si>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</si>
  <si>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</si>
  <si>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</si>
  <si>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</si>
  <si>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</si>
  <si>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</si>
  <si>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</si>
  <si>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</si>
  <si>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</si>
  <si>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</si>
  <si>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</si>
  <si>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</si>
  <si>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</si>
  <si>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</si>
  <si>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</si>
  <si>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</si>
  <si>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</si>
  <si>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</si>
  <si>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</si>
  <si>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</si>
  <si>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</si>
  <si>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</si>
  <si>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</si>
  <si>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</si>
  <si>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</si>
  <si>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</si>
  <si>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</si>
  <si>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</si>
  <si>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</si>
  <si>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</si>
  <si>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</si>
  <si>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</si>
  <si>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</si>
  <si>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</si>
  <si>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</si>
  <si>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</si>
  <si>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</si>
  <si>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</si>
  <si>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</si>
  <si>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</si>
  <si>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</si>
  <si>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</si>
  <si>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</si>
  <si>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</si>
  <si>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</si>
  <si>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</si>
  <si>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</si>
  <si>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</si>
  <si>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</si>
  <si>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</si>
  <si>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</si>
  <si>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</si>
  <si>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</si>
  <si>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</si>
  <si>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</si>
  <si>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</si>
  <si>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</si>
  <si>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</si>
  <si>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</si>
  <si>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</si>
  <si>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</si>
  <si>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</si>
  <si>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</si>
  <si>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</si>
  <si>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</si>
  <si>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</si>
  <si>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</si>
  <si>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</si>
  <si>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</si>
  <si>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</si>
  <si>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</si>
  <si>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</si>
  <si>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</si>
  <si>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</si>
  <si>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</si>
  <si>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</si>
  <si>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</si>
  <si>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</si>
  <si>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</si>
  <si>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</si>
  <si>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</si>
  <si>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</si>
  <si>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</si>
  <si>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</si>
  <si>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</si>
  <si>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</si>
  <si>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</si>
  <si>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</si>
  <si>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</si>
  <si>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</si>
  <si>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</si>
  <si>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</si>
  <si>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</si>
  <si>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</si>
  <si>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</si>
  <si>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</si>
  <si>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</si>
  <si>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</si>
  <si>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</si>
  <si>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</si>
  <si>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</si>
  <si>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</si>
  <si>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</si>
  <si>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</si>
  <si>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</si>
  <si>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</si>
  <si>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</si>
  <si>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</si>
  <si>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</si>
  <si>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</si>
  <si>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</si>
  <si>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</si>
  <si>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</si>
  <si>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</si>
  <si>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</si>
  <si>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</si>
  <si>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</si>
  <si>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</si>
  <si>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</si>
  <si>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</si>
  <si>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</si>
  <si>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</si>
  <si>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</si>
  <si>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</si>
  <si>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</si>
  <si>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</si>
  <si>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</si>
  <si>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</si>
  <si>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</si>
  <si>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</si>
  <si>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</si>
  <si>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</si>
  <si>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</si>
  <si>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</si>
  <si>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</si>
  <si>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</si>
  <si>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</si>
  <si>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</si>
  <si>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</si>
  <si>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</si>
  <si>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</si>
  <si>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</si>
  <si>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</si>
  <si>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</si>
  <si>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</si>
  <si>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</si>
  <si>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</si>
  <si>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</si>
  <si>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</si>
  <si>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</si>
  <si>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</si>
  <si>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</si>
  <si>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</si>
  <si>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</si>
  <si>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</si>
  <si>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</si>
  <si>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</si>
  <si>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</si>
  <si>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</si>
  <si>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</si>
  <si>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</si>
  <si>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</si>
  <si>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</si>
  <si>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</si>
  <si>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</si>
  <si>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</si>
  <si>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</si>
  <si>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</si>
  <si>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</si>
  <si>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</si>
  <si>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</si>
  <si>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</si>
  <si>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</si>
  <si>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</si>
  <si>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</si>
  <si>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</si>
  <si>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</si>
  <si>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</si>
  <si>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</si>
  <si>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</si>
  <si>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</si>
  <si>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</si>
  <si>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</si>
  <si>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</si>
  <si>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</si>
  <si>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</si>
  <si>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</si>
  <si>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</si>
  <si>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</si>
  <si>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</si>
  <si>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</si>
  <si>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</si>
  <si>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</si>
  <si>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</si>
  <si>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</si>
  <si>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</si>
  <si>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</si>
  <si>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</si>
  <si>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</si>
  <si>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</si>
  <si>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</si>
  <si>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</si>
  <si>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</si>
  <si>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</si>
  <si>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</si>
  <si>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</si>
  <si>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</si>
  <si>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</si>
  <si>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</si>
  <si>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</si>
  <si>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</si>
  <si>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</si>
  <si>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</si>
  <si>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</si>
  <si>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</si>
  <si>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</si>
  <si>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</si>
  <si>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</si>
  <si>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</si>
  <si>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</si>
  <si>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</si>
  <si>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</si>
  <si>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</si>
  <si>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</si>
  <si>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</si>
  <si>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</si>
  <si>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</si>
  <si>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</si>
  <si>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</si>
  <si>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</si>
  <si>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</si>
  <si>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</si>
  <si>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</si>
  <si>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</si>
  <si>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</si>
  <si>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</si>
  <si>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</si>
  <si>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</si>
  <si>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</si>
  <si>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</si>
  <si>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</si>
  <si>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</si>
  <si>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</si>
  <si>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</si>
  <si>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</si>
  <si>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</si>
  <si>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</si>
  <si>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</si>
  <si>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</si>
  <si>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</si>
  <si>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</si>
  <si>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</si>
  <si>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</si>
  <si>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</si>
  <si>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</si>
  <si>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</si>
  <si>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</si>
  <si>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</si>
  <si>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</si>
  <si>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</si>
  <si>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</si>
  <si>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</si>
  <si>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</si>
  <si>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</si>
  <si>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</si>
  <si>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</si>
  <si>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</si>
  <si>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</si>
  <si>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</si>
  <si>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</si>
  <si>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</si>
  <si>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</si>
  <si>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</si>
  <si>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</si>
  <si>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</si>
  <si>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</si>
  <si>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</si>
  <si>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</si>
  <si>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</si>
  <si>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</si>
  <si>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</si>
  <si>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</si>
  <si>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</si>
  <si>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</si>
  <si>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</si>
  <si>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</si>
  <si>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</si>
  <si>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</si>
  <si>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</si>
  <si>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</si>
  <si>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</si>
  <si>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</si>
  <si>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</si>
  <si>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</si>
  <si>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</si>
  <si>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</si>
  <si>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</si>
  <si>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</si>
  <si>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</si>
  <si>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</si>
  <si>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</si>
  <si>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</si>
  <si>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</si>
  <si>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</si>
  <si>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</si>
  <si>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</si>
  <si>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</si>
  <si>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</si>
  <si>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</si>
  <si>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</si>
  <si>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</si>
  <si>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</si>
  <si>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</si>
  <si>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</si>
  <si>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</si>
  <si>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</si>
  <si>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</si>
  <si>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</si>
  <si>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</si>
  <si>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</si>
  <si>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</si>
  <si>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</si>
  <si>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</si>
  <si>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</si>
  <si>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</si>
  <si>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</si>
  <si>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</si>
  <si>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</si>
  <si>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</si>
  <si>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</si>
  <si>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</si>
  <si>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</si>
  <si>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</si>
  <si>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</si>
  <si>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</si>
  <si>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</si>
  <si>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</si>
  <si>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</si>
  <si>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</si>
  <si>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</si>
  <si>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</si>
  <si>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</si>
  <si>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</si>
  <si>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</si>
  <si>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</si>
  <si>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</si>
  <si>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</si>
  <si>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</si>
  <si>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</si>
  <si>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</si>
  <si>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</si>
  <si>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</si>
  <si>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</si>
  <si>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</si>
  <si>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</si>
  <si>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</si>
  <si>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</si>
  <si>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</si>
  <si>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</si>
  <si>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</si>
  <si>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</si>
  <si>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</si>
  <si>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</si>
  <si>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</si>
  <si>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</si>
  <si>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</si>
  <si>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</si>
  <si>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</si>
  <si>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</si>
  <si>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</si>
  <si>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</si>
  <si>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</si>
  <si>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</si>
  <si>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</si>
  <si>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</si>
  <si>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</si>
  <si>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</si>
  <si>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</si>
  <si>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</si>
  <si>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</si>
  <si>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</si>
  <si>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</si>
  <si>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</si>
  <si>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</si>
  <si>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</si>
  <si>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</si>
  <si>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</si>
  <si>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</si>
  <si>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</si>
  <si>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</si>
  <si>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</si>
  <si>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</si>
  <si>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</si>
  <si>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</si>
  <si>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</si>
  <si>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</si>
  <si>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</si>
  <si>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</si>
  <si>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</si>
  <si>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</si>
  <si>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</si>
  <si>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</si>
  <si>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</si>
  <si>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</si>
  <si>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</si>
  <si>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</si>
  <si>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</si>
  <si>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</si>
  <si>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</si>
  <si>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</si>
  <si>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</si>
  <si>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</si>
  <si>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</si>
  <si>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</si>
  <si>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</si>
  <si>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</si>
  <si>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</si>
  <si>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</si>
  <si>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</si>
  <si>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</si>
  <si>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</si>
  <si>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</si>
  <si>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</si>
  <si>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</si>
  <si>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</si>
  <si>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</si>
  <si>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</si>
  <si>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</si>
  <si>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</si>
  <si>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</si>
  <si>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</si>
  <si>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</si>
  <si>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</si>
  <si>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</si>
  <si>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</si>
  <si>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</si>
  <si>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</si>
  <si>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</si>
  <si>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</si>
  <si>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</si>
  <si>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</si>
  <si>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</si>
  <si>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</si>
  <si>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</si>
  <si>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</si>
  <si>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</si>
  <si>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</si>
  <si>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</si>
  <si>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</si>
  <si>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</si>
  <si>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</si>
  <si>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</si>
  <si>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</si>
  <si>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</si>
  <si>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</si>
  <si>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</si>
  <si>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</si>
  <si>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</si>
  <si>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</si>
  <si>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</si>
  <si>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</si>
  <si>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</si>
  <si>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</si>
  <si>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</si>
  <si>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</si>
  <si>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</si>
  <si>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</si>
  <si>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</si>
  <si>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</si>
  <si>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</si>
  <si>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</si>
  <si>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</si>
  <si>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</si>
  <si>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</si>
  <si>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</si>
  <si>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</si>
  <si>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</si>
  <si>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</si>
  <si>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</si>
  <si>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</si>
  <si>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</si>
  <si>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</si>
  <si>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</si>
  <si>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</si>
  <si>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</si>
  <si>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</si>
  <si>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</si>
  <si>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</si>
  <si>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</si>
  <si>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</si>
  <si>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</si>
  <si>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</si>
  <si>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</si>
  <si>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</si>
  <si>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</si>
  <si>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</si>
  <si>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</si>
  <si>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</si>
  <si>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</si>
  <si>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</si>
  <si>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</si>
  <si>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</si>
  <si>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</si>
  <si>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</si>
  <si>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</si>
  <si>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</si>
  <si>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</si>
  <si>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</si>
  <si>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</si>
  <si>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</si>
  <si>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</si>
  <si>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</si>
  <si>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</si>
  <si>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</si>
  <si>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</si>
  <si>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</si>
  <si>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</si>
  <si>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</si>
  <si>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</si>
  <si>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</si>
  <si>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</si>
  <si>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</si>
  <si>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</si>
  <si>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</si>
  <si>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</si>
  <si>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</si>
  <si>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</si>
  <si>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</si>
  <si>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</si>
  <si>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</si>
  <si>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</si>
  <si>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</si>
  <si>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</si>
  <si>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</si>
  <si>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</si>
  <si>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</si>
  <si>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</si>
  <si>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</si>
  <si>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</si>
  <si>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</si>
  <si>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</si>
  <si>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</si>
  <si>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</si>
  <si>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</si>
  <si>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</si>
  <si>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</si>
  <si>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</si>
  <si>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</si>
  <si>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</si>
  <si>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</si>
  <si>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</si>
  <si>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</si>
  <si>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</si>
  <si>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</si>
  <si>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</si>
  <si>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</si>
  <si>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</si>
  <si>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</si>
  <si>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</si>
  <si>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</si>
  <si>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</si>
  <si>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</si>
  <si>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</si>
  <si>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</si>
  <si>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</si>
  <si>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</si>
  <si>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</si>
  <si>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</si>
  <si>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</si>
  <si>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</si>
  <si>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</si>
  <si>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</si>
  <si>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</si>
  <si>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</si>
  <si>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</si>
  <si>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</si>
  <si>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</si>
  <si>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</si>
  <si>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</si>
  <si>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</si>
  <si>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</si>
  <si>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</si>
  <si>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</si>
  <si>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</si>
  <si>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</si>
  <si>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</si>
  <si>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</si>
  <si>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</si>
  <si>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</si>
  <si>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</si>
  <si>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</si>
  <si>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</si>
  <si>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</si>
  <si>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</si>
  <si>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</si>
  <si>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</si>
  <si>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</si>
  <si>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</si>
  <si>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</si>
  <si>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</si>
  <si>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</si>
  <si>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</si>
  <si>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</si>
  <si>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</si>
  <si>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</si>
  <si>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</si>
  <si>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</si>
  <si>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</si>
  <si>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</si>
  <si>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</si>
  <si>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</si>
  <si>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</si>
  <si>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</si>
  <si>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</si>
  <si>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</si>
  <si>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</si>
  <si>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</si>
  <si>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</si>
  <si>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</si>
  <si>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</si>
  <si>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</si>
  <si>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</si>
  <si>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</si>
  <si>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</si>
  <si>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</si>
  <si>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</si>
  <si>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</si>
  <si>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</si>
  <si>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</si>
  <si>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</si>
  <si>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</si>
  <si>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</si>
  <si>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</si>
  <si>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</si>
  <si>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</si>
  <si>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</si>
  <si>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</si>
  <si>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</si>
  <si>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</si>
  <si>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</si>
  <si>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</si>
  <si>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</si>
  <si>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</si>
  <si>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</si>
  <si>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</si>
  <si>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</si>
  <si>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</si>
  <si>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</si>
  <si>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</si>
  <si>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</si>
  <si>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</si>
  <si>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</si>
  <si>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</si>
  <si>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</si>
  <si>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</si>
  <si>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</si>
  <si>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</si>
  <si>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</si>
  <si>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</si>
  <si>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</si>
  <si>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</si>
  <si>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</si>
  <si>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</si>
  <si>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</si>
  <si>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</si>
  <si>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</si>
  <si>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</si>
  <si>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</si>
  <si>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</si>
  <si>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</si>
  <si>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</si>
  <si>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</si>
  <si>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</si>
  <si>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</si>
  <si>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</si>
  <si>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</si>
  <si>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</si>
  <si>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</si>
  <si>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</si>
  <si>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</si>
  <si>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</si>
  <si>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</si>
  <si>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</si>
  <si>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</si>
  <si>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</si>
  <si>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</si>
  <si>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</si>
  <si>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</si>
  <si>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</si>
  <si>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</si>
  <si>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</si>
  <si>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</si>
  <si>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</si>
  <si>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</si>
  <si>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</si>
  <si>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</si>
  <si>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</si>
  <si>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</si>
  <si>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</si>
  <si>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</si>
  <si>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</si>
  <si>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</si>
  <si>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</si>
  <si>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</si>
  <si>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</si>
  <si>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</si>
  <si>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</si>
  <si>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</si>
  <si>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</si>
  <si>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</si>
  <si>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</si>
  <si>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</si>
  <si>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</si>
  <si>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</si>
  <si>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</si>
  <si>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</si>
  <si>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</si>
  <si>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</si>
  <si>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</si>
  <si>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</si>
  <si>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</si>
  <si>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</si>
  <si>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</si>
  <si>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</si>
  <si>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</si>
  <si>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</si>
  <si>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</si>
  <si>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</si>
  <si>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</si>
  <si>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</si>
  <si>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</si>
  <si>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</si>
  <si>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</si>
  <si>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</si>
  <si>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</si>
  <si>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</si>
  <si>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</si>
  <si>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</si>
  <si>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</si>
  <si>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</si>
  <si>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</si>
  <si>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</si>
  <si>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</si>
  <si>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</si>
  <si>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</si>
  <si>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</si>
  <si>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</si>
  <si>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</si>
  <si>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</si>
  <si>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</si>
  <si>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</si>
  <si>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</si>
  <si>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</si>
  <si>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</si>
  <si>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</si>
  <si>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</si>
  <si>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</si>
  <si>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</si>
  <si>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</si>
  <si>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</si>
  <si>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</si>
  <si>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</si>
  <si>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</si>
  <si>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</si>
  <si>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</si>
  <si>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</si>
  <si>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</si>
  <si>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</si>
  <si>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</si>
  <si>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</si>
  <si>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</si>
  <si>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</si>
  <si>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</si>
  <si>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</si>
  <si>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</si>
  <si>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</si>
  <si>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</si>
  <si>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</si>
  <si>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</si>
  <si>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</si>
  <si>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</si>
  <si>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</si>
  <si>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</si>
  <si>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</si>
  <si>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</si>
  <si>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</si>
  <si>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</si>
  <si>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</si>
  <si>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</si>
  <si>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</si>
  <si>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</si>
  <si>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</si>
  <si>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</si>
  <si>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</si>
  <si>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</si>
  <si>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</si>
  <si>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</si>
  <si>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</si>
  <si>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</si>
  <si>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</si>
  <si>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</si>
  <si>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</si>
  <si>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</si>
  <si>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</si>
  <si>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</si>
  <si>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</si>
  <si>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</si>
  <si>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</si>
  <si>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</si>
  <si>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</si>
  <si>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</si>
  <si>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</si>
  <si>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</si>
  <si>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</si>
  <si>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</si>
  <si>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</si>
  <si>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</si>
  <si>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</si>
  <si>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</si>
  <si>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</si>
  <si>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</si>
  <si>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</si>
  <si>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</si>
  <si>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</si>
  <si>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</si>
  <si>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</si>
  <si>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</si>
  <si>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</si>
  <si>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</si>
  <si>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</si>
  <si>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</si>
  <si>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</si>
  <si>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</si>
  <si>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</si>
  <si>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</si>
  <si>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</si>
  <si>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</si>
  <si>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</si>
  <si>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</si>
  <si>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</si>
  <si>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</si>
  <si>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</si>
  <si>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</si>
  <si>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</si>
  <si>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</si>
  <si>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</si>
  <si>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</si>
  <si>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</si>
  <si>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</si>
  <si>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</si>
  <si>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</si>
  <si>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</si>
  <si>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</si>
  <si>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</si>
  <si>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</si>
  <si>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</si>
  <si>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</si>
  <si>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</si>
  <si>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</si>
  <si>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</si>
  <si>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</si>
  <si>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</si>
  <si>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</si>
  <si>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</si>
  <si>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</si>
  <si>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</si>
  <si>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</si>
  <si>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</si>
  <si>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</si>
  <si>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</si>
  <si>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</si>
  <si>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</si>
  <si>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</si>
  <si>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</si>
  <si>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</si>
  <si>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</si>
  <si>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</si>
  <si>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</si>
  <si>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</si>
  <si>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</si>
  <si>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</si>
  <si>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</si>
  <si>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</si>
  <si>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</si>
  <si>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</si>
  <si>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</si>
  <si>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</si>
  <si>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</si>
  <si>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</si>
  <si>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</si>
  <si>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</si>
  <si>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</si>
  <si>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</si>
  <si>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</si>
  <si>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</si>
  <si>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</si>
  <si>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</si>
  <si>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</si>
  <si>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</si>
  <si>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</si>
  <si>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</si>
  <si>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</si>
  <si>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</si>
  <si>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</si>
  <si>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</si>
  <si>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</si>
  <si>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</si>
  <si>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</si>
  <si>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</si>
  <si>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</si>
  <si>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</si>
  <si>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</si>
  <si>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</si>
  <si>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</si>
  <si>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</si>
  <si>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</si>
  <si>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</si>
  <si>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</si>
  <si>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</si>
  <si>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</si>
  <si>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</si>
  <si>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</si>
  <si>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</si>
  <si>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</si>
  <si>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</si>
  <si>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</si>
  <si>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</si>
  <si>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</si>
  <si>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</si>
  <si>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</si>
  <si>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</si>
  <si>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</si>
  <si>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</si>
  <si>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</si>
  <si>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</si>
  <si>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</si>
  <si>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</si>
  <si>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</si>
  <si>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</si>
  <si>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</si>
  <si>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</si>
  <si>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</si>
  <si>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</si>
  <si>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</si>
  <si>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</si>
  <si>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</si>
  <si>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</si>
  <si>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</si>
  <si>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</si>
  <si>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</si>
  <si>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</si>
  <si>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</si>
  <si>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</si>
  <si>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</si>
  <si>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</si>
  <si>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</si>
  <si>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</si>
  <si>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</si>
  <si>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</si>
  <si>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</si>
  <si>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</si>
  <si>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</si>
  <si>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</si>
  <si>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</si>
  <si>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</si>
  <si>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</si>
  <si>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</si>
  <si>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</si>
  <si>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</si>
  <si>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</si>
  <si>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</si>
  <si>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</si>
  <si>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</si>
  <si>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</si>
  <si>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</si>
  <si>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</si>
  <si>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</si>
  <si>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</si>
  <si>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</si>
  <si>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</si>
  <si>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</si>
  <si>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</si>
  <si>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</si>
  <si>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</si>
  <si>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</si>
  <si>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</si>
  <si>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</si>
  <si>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</si>
  <si>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</si>
  <si>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</si>
  <si>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</si>
  <si>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</si>
  <si>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</si>
  <si>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</si>
  <si>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</si>
  <si>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</si>
  <si>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</si>
  <si>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</si>
  <si>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</si>
  <si>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</si>
  <si>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</si>
  <si>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</si>
  <si>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</si>
  <si>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</si>
  <si>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</si>
  <si>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</si>
  <si>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</si>
  <si>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</si>
  <si>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</si>
  <si>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</si>
  <si>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</si>
  <si>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</si>
  <si>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</si>
  <si>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</si>
  <si>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</si>
  <si>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</si>
  <si>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</si>
  <si>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</si>
  <si>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</si>
  <si>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</si>
  <si>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</si>
  <si>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</si>
  <si>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</si>
  <si>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</si>
  <si>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</si>
  <si>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</si>
  <si>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</si>
  <si>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</si>
  <si>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</si>
  <si>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</si>
  <si>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</si>
  <si>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</si>
  <si>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</si>
  <si>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</si>
  <si>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</si>
  <si>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</si>
  <si>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</si>
  <si>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</si>
  <si>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</si>
  <si>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</si>
  <si>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</si>
  <si>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</si>
  <si>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</si>
  <si>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</si>
  <si>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</si>
  <si>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</si>
  <si>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</si>
  <si>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</si>
  <si>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</si>
  <si>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</si>
  <si>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</si>
  <si>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</si>
  <si>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</si>
  <si>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</si>
  <si>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</si>
  <si>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</si>
  <si>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</si>
  <si>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</si>
  <si>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</si>
  <si>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</si>
  <si>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</si>
  <si>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</si>
  <si>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</si>
  <si>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</si>
  <si>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</si>
  <si>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</si>
  <si>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</si>
  <si>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</si>
  <si>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</si>
  <si>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</si>
  <si>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</si>
  <si>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</si>
  <si>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</si>
  <si>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</si>
  <si>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</si>
  <si>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</si>
  <si>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</si>
  <si>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</si>
  <si>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</si>
  <si>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</si>
  <si>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</si>
  <si>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</si>
  <si>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</si>
  <si>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</si>
  <si>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</si>
  <si>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</si>
  <si>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</si>
  <si>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</si>
  <si>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</si>
  <si>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</si>
  <si>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</si>
  <si>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</si>
  <si>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</si>
  <si>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</si>
  <si>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</si>
  <si>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</si>
  <si>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</si>
  <si>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</si>
  <si>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</si>
  <si>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</si>
  <si>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</si>
  <si>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</si>
  <si>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</si>
  <si>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</si>
  <si>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</si>
  <si>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</si>
  <si>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</si>
  <si>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</si>
  <si>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</si>
  <si>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</si>
  <si>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</si>
  <si>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</si>
  <si>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</si>
  <si>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</si>
  <si>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</si>
  <si>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</si>
  <si>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</si>
  <si>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</si>
  <si>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</si>
  <si>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</si>
  <si>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</si>
  <si>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</si>
  <si>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</si>
  <si>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</si>
  <si>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</si>
  <si>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</si>
  <si>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</si>
  <si>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</si>
  <si>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</si>
  <si>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</si>
  <si>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</si>
  <si>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</si>
  <si>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</si>
  <si>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</si>
  <si>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</si>
  <si>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</si>
  <si>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</si>
  <si>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</si>
  <si>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</si>
  <si>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</si>
  <si>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</si>
  <si>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</si>
  <si>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</si>
  <si>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</si>
  <si>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</si>
  <si>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</si>
  <si>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</si>
  <si>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</si>
  <si>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</si>
  <si>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</si>
  <si>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</si>
  <si>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</si>
  <si>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</si>
  <si>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</si>
  <si>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</si>
  <si>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</si>
  <si>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</si>
  <si>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</si>
  <si>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</si>
  <si>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</si>
  <si>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</si>
  <si>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</si>
  <si>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</si>
  <si>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</si>
  <si>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</si>
  <si>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</si>
  <si>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</si>
  <si>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</si>
  <si>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</si>
  <si>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</si>
  <si>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</si>
  <si>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</si>
  <si>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</si>
  <si>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</si>
  <si>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</si>
  <si>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</si>
  <si>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</si>
  <si>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</si>
  <si>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</si>
  <si>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</si>
  <si>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</si>
  <si>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</si>
  <si>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</si>
  <si>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</si>
  <si>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</si>
  <si>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</si>
  <si>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</si>
  <si>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</si>
  <si>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</si>
  <si>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</si>
  <si>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</si>
  <si>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</si>
  <si>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</si>
  <si>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</si>
  <si>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</si>
  <si>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</si>
  <si>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</si>
  <si>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</si>
  <si>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</si>
  <si>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</si>
  <si>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</si>
  <si>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</si>
  <si>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</si>
  <si>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</si>
  <si>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</si>
  <si>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</si>
  <si>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</si>
  <si>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</si>
  <si>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</si>
  <si>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</si>
  <si>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</si>
  <si>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</si>
  <si>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</si>
  <si>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</si>
  <si>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</si>
  <si>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</si>
  <si>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</si>
  <si>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</si>
  <si>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</si>
  <si>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</si>
  <si>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</si>
  <si>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</si>
  <si>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</si>
  <si>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</si>
  <si>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</si>
  <si>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</si>
  <si>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</si>
  <si>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</si>
  <si>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</si>
  <si>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</si>
  <si>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</si>
  <si>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</si>
  <si>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</si>
  <si>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</si>
  <si>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</si>
  <si>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</si>
  <si>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</si>
  <si>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</si>
  <si>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</si>
  <si>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</si>
  <si>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</si>
  <si>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</si>
  <si>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</si>
  <si>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</si>
  <si>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</si>
  <si>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</si>
  <si>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</si>
  <si>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</si>
  <si>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</si>
  <si>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</si>
  <si>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</si>
  <si>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</si>
  <si>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</si>
  <si>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</si>
  <si>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</si>
  <si>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</si>
  <si>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</si>
  <si>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</si>
  <si>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</si>
  <si>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</si>
  <si>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</si>
  <si>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</si>
  <si>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</si>
  <si>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</si>
  <si>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</si>
  <si>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</si>
  <si>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</si>
  <si>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</si>
  <si>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</si>
  <si>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</si>
  <si>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</si>
  <si>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</si>
  <si>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</si>
  <si>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</si>
  <si>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</si>
  <si>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</si>
  <si>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</si>
  <si>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</si>
  <si>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</si>
  <si>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</si>
  <si>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</si>
  <si>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</si>
  <si>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</si>
  <si>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</si>
  <si>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</si>
  <si>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</si>
  <si>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</si>
  <si>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</si>
  <si>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</si>
  <si>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</si>
  <si>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</si>
  <si>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</si>
  <si>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</si>
  <si>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</si>
  <si>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</si>
  <si>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</si>
  <si>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</si>
  <si>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</si>
  <si>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</si>
  <si>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</si>
  <si>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</si>
  <si>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</si>
  <si>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</si>
  <si>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</si>
  <si>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</si>
  <si>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</si>
  <si>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</si>
  <si>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</si>
  <si>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</si>
  <si>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</si>
  <si>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</si>
  <si>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</si>
  <si>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</si>
  <si>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</si>
  <si>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</si>
  <si>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</si>
  <si>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</si>
  <si>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</si>
  <si>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</si>
  <si>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</si>
  <si>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</si>
  <si>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</si>
  <si>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</si>
  <si>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</si>
  <si>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</si>
  <si>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</si>
  <si>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</si>
  <si>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</si>
  <si>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</si>
  <si>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</si>
  <si>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</si>
  <si>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</si>
  <si>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</si>
  <si>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</si>
  <si>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</si>
  <si>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</si>
  <si>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</si>
  <si>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</si>
  <si>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</si>
  <si>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</si>
  <si>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</si>
  <si>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</si>
  <si>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</si>
  <si>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</si>
  <si>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</si>
  <si>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</si>
  <si>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</si>
  <si>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</si>
  <si>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</si>
  <si>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</si>
  <si>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</si>
  <si>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</si>
  <si>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</si>
  <si>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</si>
  <si>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</si>
  <si>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</si>
  <si>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</si>
  <si>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</si>
  <si>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</si>
  <si>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</si>
  <si>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</si>
  <si>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</si>
  <si>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</si>
  <si>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</si>
  <si>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</si>
  <si>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</si>
  <si>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</si>
  <si>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</si>
  <si>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</si>
  <si>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</si>
  <si>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</si>
  <si>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</si>
  <si>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</si>
  <si>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</si>
  <si>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</si>
  <si>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</si>
  <si>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</si>
  <si>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</si>
  <si>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</si>
  <si>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</si>
  <si>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</si>
  <si>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</si>
  <si>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</si>
  <si>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</si>
  <si>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</si>
  <si>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</si>
  <si>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</si>
  <si>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</si>
  <si>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</si>
  <si>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</si>
  <si>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</si>
  <si>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</si>
  <si>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</si>
  <si>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</si>
  <si>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</si>
  <si>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</si>
  <si>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</si>
  <si>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</si>
  <si>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</si>
  <si>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</si>
  <si>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</si>
  <si>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</si>
  <si>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</si>
  <si>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</si>
  <si>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</si>
  <si>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</si>
  <si>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</si>
  <si>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</si>
  <si>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</si>
  <si>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</si>
  <si>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</si>
  <si>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</si>
  <si>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</si>
  <si>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</si>
  <si>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</si>
  <si>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</si>
  <si>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</si>
  <si>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</si>
  <si>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</si>
  <si>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</si>
  <si>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</si>
  <si>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</si>
  <si>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</si>
  <si>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</si>
  <si>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</si>
  <si>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</si>
  <si>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</si>
  <si>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</si>
  <si>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</si>
  <si>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</si>
  <si>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</si>
  <si>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</si>
  <si>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</si>
  <si>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</si>
  <si>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</si>
  <si>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</si>
  <si>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</si>
  <si>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</si>
  <si>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</si>
  <si>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</si>
  <si>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</si>
  <si>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</si>
  <si>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</si>
  <si>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</si>
  <si>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</si>
  <si>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</si>
  <si>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</si>
  <si>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</si>
  <si>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</si>
  <si>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</si>
  <si>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</si>
  <si>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</si>
  <si>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</si>
  <si>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</si>
  <si>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</si>
  <si>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</si>
  <si>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</si>
  <si>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</si>
  <si>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</si>
  <si>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</si>
  <si>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</si>
  <si>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</si>
  <si>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</si>
  <si>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</si>
  <si>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</si>
  <si>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</si>
  <si>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</si>
  <si>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</si>
  <si>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</si>
  <si>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</si>
  <si>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</si>
  <si>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</si>
  <si>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</si>
  <si>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</si>
  <si>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</si>
  <si>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</si>
  <si>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</si>
  <si>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</si>
  <si>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</si>
  <si>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</si>
  <si>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</si>
  <si>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</si>
  <si>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</si>
  <si>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</si>
  <si>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</si>
  <si>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</si>
  <si>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</si>
  <si>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</si>
  <si>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</si>
  <si>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</si>
  <si>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</si>
  <si>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</si>
  <si>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</si>
  <si>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</si>
  <si>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</si>
  <si>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</si>
  <si>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</si>
  <si>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</si>
  <si>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</si>
  <si>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</si>
  <si>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</si>
  <si>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</si>
  <si>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</si>
  <si>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</si>
  <si>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</si>
  <si>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</si>
  <si>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</si>
  <si>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</si>
  <si>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</si>
  <si>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</si>
  <si>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</si>
  <si>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</si>
  <si>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</si>
  <si>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</si>
  <si>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</si>
  <si>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</si>
  <si>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</si>
  <si>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</si>
  <si>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</si>
  <si>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</si>
  <si>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</si>
  <si>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</si>
  <si>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</si>
  <si>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</si>
  <si>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</si>
  <si>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</si>
  <si>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</si>
  <si>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</si>
  <si>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</si>
  <si>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</si>
  <si>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</si>
  <si>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</si>
  <si>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</si>
  <si>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</si>
  <si>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</si>
  <si>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</si>
  <si>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</si>
  <si>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</si>
  <si>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</si>
  <si>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</si>
  <si>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</si>
  <si>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</si>
  <si>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</si>
  <si>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</si>
  <si>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</si>
  <si>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</si>
  <si>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</si>
  <si>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</si>
  <si>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</si>
  <si>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</si>
  <si>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</si>
  <si>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</si>
  <si>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</si>
  <si>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</si>
  <si>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</si>
  <si>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</si>
  <si>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</si>
  <si>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</si>
  <si>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</si>
  <si>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</si>
  <si>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</si>
  <si>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</si>
  <si>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</si>
  <si>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</si>
  <si>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</si>
  <si>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</si>
  <si>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</si>
  <si>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</si>
  <si>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</si>
  <si>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</si>
  <si>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</si>
  <si>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</si>
  <si>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</si>
  <si>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</si>
  <si>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</si>
  <si>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</si>
  <si>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</si>
  <si>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</si>
  <si>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</si>
  <si>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</si>
  <si>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</si>
  <si>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</si>
  <si>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</si>
  <si>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</si>
  <si>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</si>
  <si>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</si>
  <si>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</si>
  <si>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</si>
  <si>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</si>
  <si>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</si>
  <si>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</si>
  <si>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</si>
  <si>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</si>
  <si>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</si>
  <si>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</si>
  <si>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</si>
  <si>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</si>
  <si>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</si>
  <si>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</si>
  <si>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</si>
  <si>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</si>
  <si>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</si>
  <si>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</si>
  <si>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</si>
  <si>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</si>
  <si>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</si>
  <si>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</si>
  <si>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</si>
  <si>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</si>
  <si>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</si>
  <si>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</si>
  <si>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</si>
  <si>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</si>
  <si>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</si>
  <si>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</si>
  <si>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</si>
  <si>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</si>
  <si>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</si>
  <si>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</si>
  <si>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</si>
  <si>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</si>
  <si>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</si>
  <si>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</si>
  <si>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</si>
  <si>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</si>
  <si>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</si>
  <si>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</si>
  <si>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</si>
  <si>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</si>
  <si>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</si>
  <si>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</si>
  <si>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</si>
  <si>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</si>
  <si>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</si>
  <si>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</si>
  <si>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</si>
  <si>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</si>
  <si>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</si>
  <si>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</si>
  <si>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</si>
  <si>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</si>
  <si>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</si>
  <si>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</si>
  <si>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</si>
  <si>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</si>
  <si>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</si>
  <si>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</si>
  <si>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</si>
  <si>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</si>
  <si>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</si>
  <si>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</si>
  <si>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</si>
  <si>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</si>
  <si>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</si>
  <si>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</si>
  <si>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</si>
  <si>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</si>
  <si>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</si>
  <si>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</si>
  <si>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</si>
  <si>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</si>
  <si>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</si>
  <si>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</si>
  <si>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</si>
  <si>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</si>
  <si>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</si>
  <si>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</si>
  <si>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</si>
  <si>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</si>
  <si>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</si>
  <si>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</si>
  <si>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</si>
  <si>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</si>
  <si>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</si>
  <si>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</si>
  <si>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</si>
  <si>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</si>
  <si>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</si>
  <si>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</si>
  <si>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</si>
  <si>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</si>
  <si>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</si>
  <si>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</si>
  <si>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</si>
  <si>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</si>
  <si>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</si>
  <si>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</si>
  <si>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</si>
  <si>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</si>
  <si>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</si>
  <si>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</si>
  <si>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</si>
  <si>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</si>
  <si>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</si>
  <si>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</si>
  <si>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</si>
  <si>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</si>
  <si>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</si>
  <si>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</si>
  <si>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</si>
  <si>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</si>
  <si>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</si>
  <si>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</si>
  <si>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</si>
  <si>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</si>
  <si>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</si>
  <si>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</si>
  <si>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</si>
  <si>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</si>
  <si>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</si>
  <si>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</si>
  <si>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</si>
  <si>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</si>
  <si>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</si>
  <si>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</si>
  <si>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</si>
  <si>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</si>
  <si>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</si>
  <si>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</si>
  <si>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</si>
  <si>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</si>
  <si>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</si>
  <si>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</si>
  <si>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</si>
  <si>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</si>
  <si>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</si>
  <si>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</si>
  <si>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</si>
  <si>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</si>
  <si>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</si>
  <si>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</si>
  <si>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</si>
  <si>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</si>
  <si>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</si>
  <si>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</si>
  <si>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</si>
  <si>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</si>
  <si>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</si>
  <si>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</si>
  <si>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</si>
  <si>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</si>
  <si>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</si>
  <si>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</si>
  <si>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</si>
  <si>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</si>
  <si>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</si>
  <si>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</si>
  <si>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</si>
  <si>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</si>
  <si>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</si>
  <si>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</si>
  <si>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</si>
  <si>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</si>
  <si>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</si>
  <si>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</si>
  <si>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</si>
  <si>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</si>
  <si>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</si>
  <si>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</si>
  <si>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</si>
  <si>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</si>
  <si>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</si>
  <si>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</si>
  <si>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</si>
  <si>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</si>
  <si>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</si>
  <si>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</si>
  <si>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</si>
  <si>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</si>
  <si>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</si>
  <si>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</si>
  <si>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</si>
  <si>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</si>
  <si>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</si>
  <si>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</si>
  <si>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</si>
  <si>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</si>
  <si>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</si>
  <si>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</si>
  <si>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</si>
  <si>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</si>
  <si>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</si>
  <si>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</si>
  <si>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</si>
  <si>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</si>
  <si>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</si>
  <si>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</si>
  <si>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</si>
  <si>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</si>
  <si>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</si>
  <si>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</si>
  <si>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</si>
  <si>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</si>
  <si>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</si>
  <si>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</si>
  <si>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</si>
  <si>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</si>
  <si>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</si>
  <si>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</si>
  <si>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</si>
  <si>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</si>
  <si>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</si>
  <si>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</si>
  <si>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</si>
  <si>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</si>
  <si>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</si>
  <si>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</si>
  <si>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</si>
  <si>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</si>
  <si>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</si>
  <si>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</si>
  <si>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</si>
  <si>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</si>
  <si>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</si>
  <si>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</si>
  <si>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</si>
  <si>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</si>
  <si>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</si>
  <si>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</si>
  <si>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</si>
  <si>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</si>
  <si>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</si>
  <si>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</si>
  <si>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</si>
  <si>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</si>
  <si>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</si>
  <si>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</si>
  <si>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</si>
  <si>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</si>
  <si>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</si>
  <si>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</si>
  <si>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</si>
  <si>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</si>
  <si>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</si>
  <si>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</si>
  <si>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</si>
  <si>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</si>
  <si>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</si>
  <si>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</si>
  <si>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</si>
  <si>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</si>
  <si>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</si>
  <si>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</si>
  <si>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</si>
  <si>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</si>
  <si>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</si>
  <si>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</si>
  <si>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</si>
  <si>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</si>
  <si>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</si>
  <si>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</si>
  <si>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</si>
  <si>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</si>
  <si>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</si>
  <si>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</si>
  <si>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</si>
  <si>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</si>
  <si>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</si>
  <si>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</si>
  <si>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</si>
  <si>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</si>
  <si>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</si>
  <si>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</si>
  <si>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</si>
  <si>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</si>
  <si>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</si>
  <si>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</si>
  <si>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</si>
  <si>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</si>
  <si>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</si>
  <si>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</si>
  <si>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</si>
  <si>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</si>
  <si>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</si>
  <si>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</si>
  <si>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</si>
  <si>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</si>
  <si>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</si>
  <si>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</si>
  <si>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</si>
  <si>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</si>
  <si>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</si>
  <si>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</si>
  <si>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</si>
  <si>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</si>
  <si>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</si>
  <si>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</si>
  <si>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</si>
  <si>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</si>
  <si>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</si>
  <si>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</si>
  <si>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</si>
  <si>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</si>
  <si>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</si>
  <si>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</si>
  <si>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</si>
  <si>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</si>
  <si>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</si>
  <si>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</si>
  <si>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</si>
  <si>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</si>
  <si>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</si>
  <si>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</si>
  <si>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</si>
  <si>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</si>
  <si>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</si>
  <si>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</si>
  <si>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</si>
  <si>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</si>
  <si>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</si>
  <si>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</si>
  <si>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</si>
  <si>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</si>
  <si>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</si>
  <si>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</si>
  <si>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</si>
  <si>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</si>
  <si>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</si>
  <si>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</si>
  <si>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</si>
  <si>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</si>
  <si>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</si>
  <si>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</si>
  <si>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</si>
  <si>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</si>
  <si>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</si>
  <si>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</si>
  <si>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</si>
  <si>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</si>
  <si>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</si>
  <si>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</si>
  <si>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</si>
  <si>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</si>
  <si>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</si>
  <si>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</si>
  <si>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</si>
  <si>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</si>
  <si>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</si>
  <si>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</si>
  <si>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</si>
  <si>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</si>
  <si>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</si>
  <si>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</si>
  <si>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</si>
  <si>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</si>
  <si>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</si>
  <si>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</si>
  <si>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</si>
  <si>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</si>
  <si>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</si>
  <si>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</si>
  <si>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</si>
  <si>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</si>
  <si>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</si>
  <si>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</si>
  <si>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</si>
  <si>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</si>
  <si>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</si>
  <si>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</si>
  <si>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</si>
  <si>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</si>
  <si>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</si>
  <si>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</si>
  <si>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</si>
  <si>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</si>
  <si>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</si>
  <si>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</si>
  <si>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</si>
  <si>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</si>
  <si>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</si>
  <si>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</si>
  <si>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</si>
  <si>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</si>
  <si>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</si>
  <si>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</si>
  <si>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</si>
  <si>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</si>
  <si>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</si>
  <si>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</si>
  <si>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</si>
  <si>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</si>
  <si>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</si>
  <si>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</si>
  <si>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</si>
  <si>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</si>
  <si>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</si>
  <si>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</si>
  <si>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</si>
  <si>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</si>
  <si>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</si>
  <si>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</si>
  <si>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</si>
  <si>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</si>
  <si>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</si>
  <si>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</si>
  <si>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</si>
  <si>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</si>
  <si>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</si>
  <si>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</si>
  <si>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</si>
  <si>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</si>
  <si>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</si>
  <si>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</si>
  <si>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</si>
  <si>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</si>
  <si>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</si>
  <si>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</si>
  <si>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</si>
  <si>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</si>
  <si>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</si>
  <si>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</si>
  <si>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</si>
  <si>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</si>
  <si>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</si>
  <si>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</si>
  <si>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</si>
  <si>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</si>
  <si>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</si>
  <si>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</si>
  <si>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</si>
  <si>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</si>
  <si>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</si>
  <si>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</si>
  <si>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</si>
  <si>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</si>
  <si>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</si>
  <si>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</si>
  <si>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</si>
  <si>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</si>
  <si>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</si>
  <si>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</si>
  <si>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</si>
  <si>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</si>
  <si>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</si>
  <si>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</si>
  <si>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</si>
  <si>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</si>
  <si>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</si>
  <si>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</si>
  <si>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</si>
  <si>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</si>
  <si>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</si>
  <si>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</si>
  <si>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</si>
  <si>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</si>
  <si>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</si>
  <si>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</si>
  <si>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</si>
  <si>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</si>
  <si>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</si>
  <si>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</si>
  <si>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</si>
  <si>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</si>
  <si>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</si>
  <si>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</si>
  <si>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</si>
  <si>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</si>
  <si>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</si>
  <si>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</si>
  <si>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</si>
  <si>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</si>
  <si>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</si>
  <si>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</si>
  <si>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</si>
  <si>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</si>
  <si>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</si>
  <si>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</si>
  <si>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</si>
  <si>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</si>
  <si>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</si>
  <si>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</si>
  <si>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</si>
  <si>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</si>
  <si>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</si>
  <si>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</si>
  <si>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</si>
  <si>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</si>
  <si>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</si>
  <si>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</si>
  <si>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</si>
  <si>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</si>
  <si>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</si>
  <si>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</si>
  <si>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</si>
  <si>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</si>
  <si>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</si>
  <si>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</si>
  <si>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</si>
  <si>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</si>
  <si>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</si>
  <si>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</si>
  <si>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</si>
  <si>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</si>
  <si>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</si>
  <si>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</si>
  <si>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</si>
  <si>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</si>
  <si>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</si>
  <si>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</si>
  <si>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</si>
  <si>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</si>
  <si>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</si>
  <si>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</si>
  <si>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</si>
  <si>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</si>
  <si>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</si>
  <si>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</si>
  <si>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</si>
  <si>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</si>
  <si>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</si>
  <si>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</si>
  <si>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</si>
  <si>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</si>
  <si>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</si>
  <si>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</si>
  <si>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</si>
  <si>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</si>
  <si>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</si>
  <si>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</si>
  <si>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</si>
  <si>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</si>
  <si>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</si>
  <si>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</si>
  <si>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</si>
  <si>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</si>
  <si>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</si>
  <si>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</si>
  <si>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</si>
  <si>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</si>
  <si>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</si>
  <si>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</si>
  <si>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</si>
  <si>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</si>
  <si>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</si>
  <si>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</si>
  <si>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</si>
  <si>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</si>
  <si>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</si>
  <si>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</si>
  <si>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</si>
  <si>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</si>
  <si>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</si>
  <si>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</si>
  <si>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</si>
  <si>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</si>
  <si>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</si>
  <si>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</si>
  <si>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</si>
  <si>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</si>
  <si>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</si>
  <si>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</si>
  <si>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</si>
  <si>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</si>
  <si>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</si>
  <si>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</si>
  <si>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</si>
  <si>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</si>
  <si>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</si>
  <si>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</si>
  <si>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</si>
  <si>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</si>
  <si>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</si>
  <si>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</si>
  <si>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</si>
  <si>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</si>
  <si>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</si>
  <si>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</si>
  <si>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</si>
  <si>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</si>
  <si>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</si>
  <si>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</si>
  <si>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</si>
  <si>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</si>
  <si>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</si>
  <si>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</si>
  <si>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</si>
  <si>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</si>
  <si>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</si>
  <si>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</si>
  <si>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</si>
  <si>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</si>
  <si>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</si>
  <si>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</si>
  <si>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</si>
  <si>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</si>
  <si>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</si>
  <si>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</si>
  <si>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</si>
  <si>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</si>
  <si>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</si>
  <si>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</si>
  <si>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</si>
  <si>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</si>
  <si>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</si>
  <si>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</si>
  <si>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</si>
  <si>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</si>
  <si>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</si>
  <si>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</si>
  <si>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</si>
  <si>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</si>
  <si>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</si>
  <si>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</si>
  <si>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</si>
  <si>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</si>
  <si>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</si>
  <si>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</si>
  <si>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</si>
  <si>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</si>
  <si>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</si>
  <si>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</si>
  <si>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</si>
  <si>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</si>
  <si>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</si>
  <si>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</si>
  <si>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</si>
  <si>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</si>
  <si>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</si>
  <si>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</si>
  <si>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</si>
  <si>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</si>
  <si>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</si>
  <si>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</si>
  <si>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</si>
  <si>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</si>
  <si>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</si>
  <si>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</si>
  <si>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</si>
  <si>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</si>
  <si>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</si>
  <si>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</si>
  <si>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</si>
  <si>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</si>
  <si>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</si>
  <si>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</si>
  <si>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</si>
  <si>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</si>
  <si>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</si>
  <si>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</si>
  <si>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</si>
  <si>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</si>
  <si>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</si>
  <si>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</si>
  <si>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</si>
  <si>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</si>
  <si>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</si>
  <si>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</si>
  <si>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</si>
  <si>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</si>
  <si>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</si>
  <si>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</si>
  <si>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</si>
  <si>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</si>
  <si>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</si>
  <si>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</si>
  <si>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</si>
  <si>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</si>
  <si>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</si>
  <si>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</si>
  <si>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</si>
  <si>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</si>
  <si>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</si>
  <si>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</si>
  <si>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</si>
  <si>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</si>
  <si>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</si>
  <si>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</si>
  <si>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</si>
  <si>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</si>
  <si>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</si>
  <si>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</si>
  <si>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</si>
  <si>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</si>
  <si>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</si>
  <si>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</si>
  <si>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</si>
  <si>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</si>
  <si>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</si>
  <si>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</si>
  <si>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</si>
  <si>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</si>
  <si>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</si>
  <si>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</si>
  <si>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</si>
  <si>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</si>
  <si>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</si>
  <si>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</si>
  <si>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</si>
  <si>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</si>
  <si>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</si>
  <si>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</si>
  <si>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</si>
  <si>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</si>
  <si>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</si>
  <si>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</si>
  <si>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</si>
  <si>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</si>
  <si>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</si>
  <si>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</si>
  <si>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</si>
  <si>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</si>
  <si>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</si>
  <si>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</si>
  <si>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</si>
  <si>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</si>
  <si>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</si>
  <si>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</si>
  <si>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</si>
  <si>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</si>
  <si>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</si>
  <si>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</si>
  <si>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</si>
  <si>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</si>
  <si>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</si>
  <si>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</si>
  <si>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</si>
  <si>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</si>
  <si>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</si>
  <si>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</si>
  <si>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</si>
  <si>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</si>
  <si>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</si>
  <si>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</si>
  <si>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</si>
  <si>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</si>
  <si>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</si>
  <si>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</si>
  <si>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</si>
  <si>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</si>
  <si>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</si>
  <si>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</si>
  <si>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</si>
  <si>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</si>
  <si>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</si>
  <si>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</si>
  <si>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</si>
  <si>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</si>
  <si>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</si>
  <si>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</si>
  <si>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</si>
  <si>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</si>
  <si>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</si>
  <si>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</si>
  <si>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</si>
  <si>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</si>
  <si>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</si>
  <si>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</si>
  <si>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</si>
  <si>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</si>
  <si>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</si>
  <si>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</si>
  <si>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</si>
  <si>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</si>
  <si>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</si>
  <si>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</si>
  <si>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</si>
  <si>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</si>
  <si>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</si>
  <si>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</si>
  <si>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</si>
  <si>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</si>
  <si>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</si>
  <si>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</si>
  <si>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</si>
  <si>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</si>
  <si>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</si>
  <si>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</si>
  <si>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</si>
  <si>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</si>
  <si>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</si>
  <si>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</si>
  <si>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</si>
  <si>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</si>
  <si>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</si>
  <si>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</si>
  <si>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</si>
  <si>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</si>
  <si>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</si>
  <si>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</si>
  <si>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</si>
  <si>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</si>
  <si>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</si>
  <si>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</si>
  <si>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</si>
  <si>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</si>
  <si>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</si>
  <si>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</si>
  <si>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</si>
  <si>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</si>
  <si>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</si>
  <si>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</si>
  <si>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</si>
  <si>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</si>
  <si>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</si>
  <si>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</si>
  <si>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</si>
  <si>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</si>
  <si>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</si>
  <si>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</si>
  <si>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</si>
  <si>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</si>
  <si>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</si>
  <si>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</si>
  <si>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</si>
  <si>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</si>
  <si>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</si>
  <si>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</si>
  <si>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</si>
  <si>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</si>
  <si>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</si>
  <si>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</si>
  <si>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</si>
  <si>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</si>
  <si>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</si>
  <si>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</si>
  <si>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</si>
  <si>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</si>
  <si>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</si>
  <si>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</si>
  <si>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</si>
  <si>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</si>
  <si>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</si>
  <si>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</si>
  <si>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</si>
  <si>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</si>
  <si>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</si>
  <si>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</si>
  <si>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</si>
  <si>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</si>
  <si>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</si>
  <si>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</si>
  <si>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</si>
  <si>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</si>
  <si>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</si>
  <si>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</si>
  <si>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</si>
  <si>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</si>
  <si>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</si>
  <si>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</si>
  <si>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</si>
  <si>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</si>
  <si>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</si>
  <si>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</si>
  <si>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</si>
  <si>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</si>
  <si>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</si>
  <si>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</si>
  <si>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</si>
  <si>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</si>
  <si>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</si>
  <si>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</si>
  <si>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</si>
  <si>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</si>
  <si>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</si>
  <si>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</si>
  <si>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</si>
  <si>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</si>
  <si>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</si>
  <si>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</si>
  <si>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</si>
  <si>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</si>
  <si>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</si>
  <si>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</si>
  <si>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</si>
  <si>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</si>
  <si>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</si>
  <si>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</si>
  <si>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</si>
  <si>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</si>
  <si>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</si>
  <si>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</si>
  <si>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</si>
  <si>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</si>
  <si>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</si>
  <si>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</si>
  <si>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</si>
  <si>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</si>
  <si>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</si>
  <si>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</si>
  <si>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</si>
  <si>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</si>
  <si>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</si>
  <si>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</si>
  <si>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</si>
  <si>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</si>
  <si>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</si>
  <si>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</si>
  <si>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</si>
  <si>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</si>
  <si>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</si>
  <si>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</si>
  <si>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</si>
  <si>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</si>
  <si>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</si>
  <si>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</si>
  <si>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</si>
  <si>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</si>
  <si>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</si>
  <si>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</si>
  <si>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</si>
  <si>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</si>
  <si>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</si>
  <si>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</si>
  <si>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</si>
  <si>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</si>
  <si>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</si>
  <si>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</si>
  <si>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</si>
  <si>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</si>
  <si>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</si>
  <si>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</si>
  <si>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</si>
  <si>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</si>
  <si>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</si>
  <si>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</si>
  <si>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</si>
  <si>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</si>
  <si>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</si>
  <si>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</si>
  <si>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</si>
  <si>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</si>
  <si>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</si>
  <si>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</si>
  <si>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</si>
  <si>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</si>
  <si>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</si>
  <si>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</si>
  <si>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</si>
  <si>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</si>
  <si>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</si>
  <si>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</si>
  <si>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</si>
  <si>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</si>
  <si>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</si>
  <si>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</si>
  <si>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</si>
  <si>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</si>
  <si>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</si>
  <si>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</si>
  <si>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</si>
  <si>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</si>
  <si>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</si>
  <si>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</si>
  <si>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</si>
  <si>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</si>
  <si>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</si>
  <si>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</si>
  <si>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</si>
  <si>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</si>
  <si>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</si>
  <si>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</si>
  <si>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</si>
  <si>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</si>
  <si>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</si>
  <si>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</si>
  <si>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</si>
  <si>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</si>
  <si>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</si>
  <si>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</si>
  <si>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</si>
  <si>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</si>
  <si>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</si>
  <si>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</si>
  <si>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</si>
  <si>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</si>
  <si>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</si>
  <si>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</si>
  <si>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</si>
  <si>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</si>
  <si>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</si>
  <si>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</si>
  <si>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</si>
  <si>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</si>
  <si>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</si>
  <si>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</si>
  <si>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</si>
  <si>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</si>
  <si>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</si>
  <si>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</si>
  <si>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</si>
  <si>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</si>
  <si>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</si>
  <si>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</si>
  <si>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</si>
  <si>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</si>
  <si>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</si>
  <si>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</si>
  <si>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</si>
  <si>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</si>
  <si>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</si>
  <si>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</si>
  <si>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</si>
  <si>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</si>
  <si>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</si>
  <si>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</si>
  <si>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</si>
  <si>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</si>
  <si>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</si>
  <si>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</si>
  <si>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</si>
  <si>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</si>
  <si>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</si>
  <si>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</si>
  <si>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</si>
  <si>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</si>
  <si>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</si>
  <si>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</si>
  <si>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</si>
  <si>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</si>
  <si>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</si>
  <si>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</si>
  <si>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</si>
  <si>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</si>
  <si>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</si>
  <si>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</si>
  <si>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</si>
  <si>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</si>
  <si>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</si>
  <si>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</si>
  <si>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</si>
  <si>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</si>
  <si>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</si>
  <si>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</si>
  <si>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</si>
  <si>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</si>
  <si>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</si>
  <si>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</si>
  <si>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</si>
  <si>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</si>
  <si>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</si>
  <si>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</si>
  <si>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</si>
  <si>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</si>
  <si>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</si>
  <si>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</si>
  <si>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</si>
  <si>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</si>
  <si>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</si>
  <si>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</si>
  <si>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</si>
  <si>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</si>
  <si>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</si>
  <si>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</si>
  <si>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</si>
  <si>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</si>
  <si>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</si>
  <si>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</si>
  <si>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</si>
  <si>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</si>
  <si>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</si>
  <si>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</si>
  <si>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</si>
  <si>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</si>
  <si>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</si>
  <si>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</si>
  <si>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</si>
  <si>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</si>
  <si>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</si>
  <si>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</si>
  <si>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</si>
  <si>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</si>
  <si>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</si>
  <si>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</si>
  <si>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</si>
  <si>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</si>
  <si>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</si>
  <si>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</si>
  <si>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</si>
  <si>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</si>
  <si>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</si>
  <si>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</si>
  <si>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</si>
  <si>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</si>
  <si>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</si>
  <si>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</si>
  <si>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</si>
  <si>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</si>
  <si>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</si>
  <si>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</si>
  <si>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</si>
  <si>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</si>
  <si>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</si>
  <si>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</si>
  <si>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</si>
  <si>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</si>
  <si>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</si>
  <si>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</si>
  <si>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</si>
  <si>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</si>
  <si>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</si>
  <si>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</si>
  <si>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</si>
  <si>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</si>
  <si>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</si>
  <si>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</si>
  <si>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</si>
  <si>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</si>
  <si>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</si>
  <si>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</si>
  <si>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</si>
  <si>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</si>
  <si>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</si>
  <si>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</si>
  <si>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</si>
  <si>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</si>
  <si>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</si>
  <si>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</si>
  <si>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</si>
  <si>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</si>
  <si>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</si>
  <si>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</si>
  <si>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</si>
  <si>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</si>
  <si>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</si>
  <si>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</si>
  <si>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</si>
  <si>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</si>
  <si>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</si>
  <si>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</si>
  <si>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</si>
  <si>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</si>
  <si>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</si>
  <si>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</si>
  <si>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</si>
  <si>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</si>
  <si>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</si>
  <si>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</si>
  <si>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</si>
  <si>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</si>
  <si>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</si>
  <si>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</si>
  <si>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</si>
  <si>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</si>
  <si>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</si>
  <si>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</si>
  <si>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</si>
  <si>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</si>
  <si>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</si>
  <si>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</si>
  <si>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</si>
  <si>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</si>
  <si>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</si>
  <si>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</si>
  <si>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</si>
  <si>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</si>
  <si>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</si>
  <si>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</si>
  <si>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</si>
  <si>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</si>
  <si>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</si>
  <si>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</si>
  <si>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</si>
  <si>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</si>
  <si>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</si>
  <si>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</si>
  <si>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</si>
  <si>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</si>
  <si>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</si>
  <si>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</si>
  <si>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</si>
  <si>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</si>
  <si>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</si>
  <si>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</si>
  <si>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</si>
  <si>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</si>
  <si>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</si>
  <si>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</si>
  <si>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</si>
  <si>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</si>
  <si>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</si>
  <si>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</si>
  <si>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</si>
  <si>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</si>
  <si>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</si>
  <si>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</si>
  <si>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</si>
  <si>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</si>
  <si>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</si>
  <si>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</si>
  <si>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</si>
  <si>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</si>
  <si>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</si>
  <si>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</si>
  <si>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</si>
  <si>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</si>
  <si>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</si>
  <si>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</si>
  <si>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</si>
  <si>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</si>
  <si>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</si>
  <si>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</si>
  <si>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</si>
  <si>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</si>
  <si>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</si>
  <si>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</si>
  <si>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</si>
  <si>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</si>
  <si>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</si>
  <si>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</si>
  <si>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</si>
  <si>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</si>
  <si>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</si>
  <si>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</si>
  <si>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</si>
  <si>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</si>
  <si>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</si>
  <si>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</si>
  <si>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</si>
  <si>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</si>
  <si>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</si>
  <si>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</si>
  <si>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</si>
  <si>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</si>
  <si>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</si>
  <si>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</si>
  <si>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</si>
  <si>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</si>
  <si>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</si>
  <si>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</si>
  <si>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</si>
  <si>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</si>
  <si>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</si>
  <si>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</si>
  <si>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</si>
  <si>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</si>
  <si>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</si>
  <si>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</si>
  <si>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</si>
  <si>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</si>
  <si>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</si>
  <si>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</si>
  <si>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</si>
  <si>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</si>
  <si>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</si>
  <si>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</si>
  <si>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</si>
  <si>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</si>
  <si>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</si>
  <si>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</si>
  <si>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</si>
  <si>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</si>
  <si>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</si>
  <si>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</si>
  <si>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</si>
  <si>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</si>
  <si>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</si>
  <si>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</si>
  <si>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</si>
  <si>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</si>
  <si>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</si>
  <si>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</si>
  <si>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</si>
  <si>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</si>
  <si>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</si>
  <si>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</si>
  <si>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</si>
  <si>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</si>
  <si>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</si>
  <si>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</si>
  <si>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</si>
  <si>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</si>
  <si>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</si>
  <si>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</si>
  <si>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</si>
  <si>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</si>
  <si>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</si>
  <si>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</si>
  <si>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</si>
  <si>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</si>
  <si>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</si>
  <si>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</si>
  <si>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</si>
  <si>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</si>
  <si>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</si>
  <si>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</si>
  <si>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</si>
  <si>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</si>
  <si>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</si>
  <si>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</si>
  <si>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</si>
  <si>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</si>
  <si>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</si>
  <si>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</si>
  <si>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</si>
  <si>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</si>
  <si>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</si>
  <si>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</si>
  <si>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</si>
  <si>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</si>
  <si>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</si>
  <si>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</si>
  <si>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</si>
  <si>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</si>
  <si>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</si>
  <si>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</si>
  <si>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</si>
  <si>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</si>
  <si>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</si>
  <si>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</si>
  <si>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</si>
  <si>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</si>
  <si>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</si>
  <si>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</si>
  <si>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</si>
  <si>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</si>
  <si>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</si>
  <si>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</si>
  <si>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</si>
  <si>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</si>
  <si>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</si>
  <si>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</si>
  <si>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</si>
  <si>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</si>
  <si>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</si>
  <si>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</si>
  <si>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</si>
  <si>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</si>
  <si>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</si>
  <si>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</si>
  <si>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</si>
  <si>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</si>
  <si>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</si>
  <si>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</si>
  <si>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</si>
  <si>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</si>
  <si>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</si>
  <si>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</si>
  <si>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</si>
  <si>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</si>
  <si>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</si>
  <si>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</si>
  <si>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</si>
  <si>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</si>
  <si>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</si>
  <si>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</si>
  <si>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</si>
  <si>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</si>
  <si>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</si>
  <si>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</si>
  <si>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</si>
  <si>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</si>
  <si>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</si>
  <si>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</si>
  <si>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</si>
  <si>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</si>
  <si>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</si>
  <si>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</si>
  <si>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</si>
  <si>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</si>
  <si>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</si>
  <si>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</si>
  <si>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</si>
  <si>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</si>
  <si>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</si>
  <si>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</si>
  <si>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</si>
  <si>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</si>
  <si>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</si>
  <si>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</si>
  <si>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</si>
  <si>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</si>
  <si>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</si>
  <si>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</si>
  <si>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</si>
  <si>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</si>
  <si>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</si>
  <si>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</si>
  <si>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</si>
  <si>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</si>
  <si>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</si>
  <si>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</si>
  <si>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</si>
  <si>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</si>
  <si>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</si>
  <si>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</si>
  <si>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</si>
  <si>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</si>
  <si>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</si>
  <si>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</si>
  <si>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</si>
  <si>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</si>
  <si>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</si>
  <si>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</si>
  <si>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</si>
  <si>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</si>
  <si>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</si>
  <si>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</si>
  <si>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</si>
  <si>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</si>
  <si>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</si>
  <si>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</si>
  <si>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</si>
  <si>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</si>
  <si>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</si>
  <si>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</si>
  <si>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</si>
  <si>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</si>
  <si>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</si>
  <si>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</si>
  <si>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</si>
  <si>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</si>
  <si>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</si>
  <si>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</si>
  <si>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</si>
  <si>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</si>
  <si>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</si>
  <si>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</si>
  <si>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</si>
  <si>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</si>
  <si>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</si>
  <si>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</si>
  <si>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</si>
  <si>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</si>
  <si>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</si>
  <si>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</si>
  <si>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</si>
  <si>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</si>
  <si>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</si>
  <si>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</si>
  <si>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</si>
  <si>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</si>
  <si>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</si>
  <si>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</si>
  <si>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</si>
  <si>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</si>
  <si>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</si>
  <si>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</si>
  <si>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</si>
  <si>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</si>
  <si>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</si>
  <si>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</si>
  <si>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</si>
  <si>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</si>
  <si>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</si>
  <si>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</si>
  <si>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</si>
  <si>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</si>
  <si>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</si>
  <si>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</si>
  <si>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</si>
  <si>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</si>
  <si>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</si>
  <si>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</si>
  <si>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</si>
  <si>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</si>
  <si>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</si>
  <si>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</si>
  <si>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</si>
  <si>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</si>
  <si>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</si>
  <si>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</si>
  <si>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</si>
  <si>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</si>
  <si>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</si>
  <si>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</si>
  <si>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</si>
  <si>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</si>
  <si>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</si>
  <si>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</si>
  <si>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</si>
  <si>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</si>
  <si>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</si>
  <si>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</si>
  <si>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</si>
  <si>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</si>
  <si>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</si>
  <si>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</si>
  <si>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</si>
  <si>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</si>
  <si>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</si>
  <si>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</si>
  <si>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</si>
  <si>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</si>
  <si>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</si>
  <si>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</si>
  <si>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</si>
  <si>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</si>
  <si>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</si>
  <si>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</si>
  <si>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</si>
  <si>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</si>
  <si>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</si>
  <si>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</si>
  <si>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</si>
  <si>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</si>
  <si>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</si>
  <si>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</si>
  <si>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</si>
  <si>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</si>
  <si>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</si>
  <si>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</si>
  <si>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</si>
  <si>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</si>
  <si>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</si>
  <si>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</si>
  <si>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</si>
  <si>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</si>
  <si>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</si>
  <si>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</si>
  <si>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</si>
  <si>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</si>
  <si>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</si>
  <si>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</si>
  <si>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</si>
  <si>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</si>
  <si>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</si>
  <si>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</si>
  <si>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</si>
  <si>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</si>
  <si>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</si>
  <si>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</si>
  <si>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</si>
  <si>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</si>
  <si>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</si>
  <si>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</si>
  <si>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</si>
  <si>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</si>
  <si>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</si>
  <si>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</si>
  <si>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</si>
  <si>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</si>
  <si>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</si>
  <si>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</si>
  <si>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</si>
  <si>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</si>
  <si>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</si>
  <si>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</si>
  <si>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</si>
  <si>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</si>
  <si>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</si>
  <si>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</si>
  <si>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</si>
  <si>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</si>
  <si>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</si>
  <si>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</si>
  <si>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</si>
  <si>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</si>
  <si>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</si>
  <si>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</si>
  <si>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</si>
  <si>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</si>
  <si>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</si>
  <si>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</si>
  <si>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</si>
  <si>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</si>
  <si>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</si>
  <si>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</si>
  <si>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</si>
  <si>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</si>
  <si>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</si>
  <si>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</si>
  <si>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</si>
  <si>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</si>
  <si>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</si>
  <si>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</si>
  <si>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</si>
  <si>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</si>
  <si>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</si>
  <si>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</si>
  <si>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</si>
  <si>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</si>
  <si>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</si>
  <si>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</si>
  <si>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</si>
  <si>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</si>
  <si>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</si>
  <si>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</si>
  <si>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</si>
  <si>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</si>
  <si>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</si>
  <si>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</si>
  <si>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</si>
  <si>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</si>
  <si>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</si>
  <si>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</si>
  <si>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</si>
  <si>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</si>
  <si>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</si>
  <si>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</si>
  <si>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</si>
  <si>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</si>
  <si>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</si>
  <si>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</si>
  <si>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</si>
  <si>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</si>
  <si>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</si>
  <si>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</si>
  <si>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</si>
  <si>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</si>
  <si>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</si>
  <si>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</si>
  <si>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</si>
  <si>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</si>
  <si>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</si>
  <si>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</si>
  <si>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</si>
  <si>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</si>
  <si>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</si>
  <si>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</si>
  <si>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</si>
  <si>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</si>
  <si>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</si>
  <si>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</si>
  <si>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</si>
  <si>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</si>
  <si>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</si>
  <si>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</si>
  <si>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</si>
  <si>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</si>
  <si>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</si>
  <si>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</si>
  <si>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</si>
  <si>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</si>
  <si>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</si>
  <si>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</si>
  <si>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</si>
  <si>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</si>
  <si>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</si>
  <si>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</si>
  <si>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</si>
  <si>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</si>
  <si>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</si>
  <si>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</si>
  <si>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</si>
  <si>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</si>
  <si>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</si>
  <si>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</si>
  <si>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</si>
  <si>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</si>
  <si>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</si>
  <si>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</si>
  <si>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</si>
  <si>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</si>
  <si>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</si>
  <si>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</si>
  <si>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</si>
  <si>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</si>
  <si>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</si>
  <si>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</si>
  <si>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</si>
  <si>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</si>
  <si>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</si>
  <si>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</si>
  <si>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</si>
  <si>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</si>
  <si>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</si>
  <si>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</si>
  <si>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</si>
  <si>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</si>
  <si>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</si>
  <si>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</si>
  <si>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</si>
  <si>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</si>
  <si>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</si>
  <si>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</si>
  <si>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</si>
  <si>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</si>
  <si>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</si>
  <si>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</si>
  <si>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</si>
  <si>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</si>
  <si>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</si>
  <si>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</si>
  <si>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</si>
  <si>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</si>
  <si>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</si>
  <si>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</si>
  <si>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</si>
  <si>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</si>
  <si>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</si>
  <si>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</si>
  <si>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</si>
  <si>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</si>
  <si>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</si>
  <si>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</si>
  <si>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</si>
  <si>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</si>
  <si>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</si>
  <si>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</si>
  <si>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</si>
  <si>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</si>
  <si>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</si>
  <si>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</si>
  <si>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</si>
  <si>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</si>
  <si>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</si>
  <si>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</si>
  <si>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</si>
  <si>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</si>
  <si>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</si>
  <si>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</si>
  <si>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</si>
  <si>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</si>
  <si>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</si>
  <si>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</si>
  <si>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</si>
  <si>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</si>
  <si>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</si>
  <si>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</si>
  <si>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</si>
  <si>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</si>
  <si>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</si>
  <si>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</si>
  <si>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</si>
  <si>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</si>
  <si>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</si>
  <si>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</si>
  <si>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</si>
  <si>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</si>
  <si>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</si>
  <si>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</si>
  <si>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</si>
  <si>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</si>
  <si>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</si>
  <si>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</si>
  <si>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</si>
  <si>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</si>
  <si>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</si>
  <si>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</si>
  <si>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</si>
  <si>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</si>
  <si>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</si>
  <si>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</si>
  <si>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</si>
  <si>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</si>
  <si>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</si>
  <si>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</si>
  <si>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</si>
  <si>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</si>
  <si>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</si>
  <si>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</si>
  <si>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</si>
  <si>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</si>
  <si>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</si>
  <si>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</si>
  <si>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</si>
  <si>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</si>
  <si>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</si>
  <si>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</si>
  <si>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</si>
  <si>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</si>
  <si>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</si>
  <si>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</si>
  <si>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</si>
  <si>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</si>
  <si>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</si>
  <si>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</si>
  <si>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</si>
  <si>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</si>
  <si>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</si>
  <si>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</si>
  <si>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</si>
  <si>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</si>
  <si>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</si>
  <si>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</si>
  <si>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</si>
  <si>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</si>
  <si>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</si>
  <si>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</si>
  <si>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</si>
  <si>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</si>
  <si>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</si>
  <si>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</si>
  <si>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</si>
  <si>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</si>
  <si>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</si>
  <si>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</si>
  <si>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</si>
  <si>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</si>
  <si>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</si>
  <si>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</si>
  <si>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</si>
  <si>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</si>
  <si>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</si>
  <si>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</si>
  <si>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</si>
  <si>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</si>
  <si>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</si>
  <si>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</si>
  <si>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</si>
  <si>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</si>
  <si>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</si>
  <si>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</si>
  <si>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</si>
  <si>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</si>
  <si>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</si>
  <si>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</si>
  <si>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</si>
  <si>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</si>
  <si>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</si>
  <si>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</si>
  <si>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</si>
  <si>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</si>
  <si>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</si>
  <si>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</si>
  <si>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</si>
  <si>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</si>
  <si>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</si>
  <si>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</si>
  <si>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</si>
  <si>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</si>
  <si>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</si>
  <si>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</si>
  <si>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</si>
  <si>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</si>
  <si>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</si>
  <si>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</si>
  <si>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</si>
  <si>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</si>
  <si>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</si>
  <si>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</si>
  <si>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</si>
  <si>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</si>
  <si>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</si>
  <si>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</si>
  <si>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</si>
  <si>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</si>
  <si>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</si>
  <si>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</si>
  <si>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</si>
  <si>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</si>
  <si>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</si>
  <si>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</si>
  <si>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</si>
  <si>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</si>
  <si>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</si>
  <si>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</si>
  <si>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</si>
  <si>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</si>
  <si>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</si>
  <si>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</si>
  <si>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</si>
  <si>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</si>
  <si>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</si>
  <si>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</si>
  <si>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</si>
  <si>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</si>
  <si>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</si>
  <si>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</si>
  <si>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</si>
  <si>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</si>
  <si>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</si>
  <si>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</si>
  <si>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</si>
  <si>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</si>
  <si>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</si>
  <si>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</si>
  <si>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</si>
  <si>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</si>
  <si>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</si>
  <si>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</si>
  <si>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</si>
  <si>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</si>
  <si>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</si>
  <si>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</si>
  <si>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</si>
  <si>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</si>
  <si>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</si>
  <si>
    <t>GR 13</t>
  </si>
  <si>
    <t>https://analytics.zoho.com/open-view/2395394000007327790</t>
  </si>
  <si>
    <t>https://analytics.zoho.com/open-view/2395394000007327564?ZOHO_CRITERIA=%22Trasposicion_27.4%22.%22Cod_Regi%C3%B3n%22%3D13</t>
  </si>
  <si>
    <t>https://analytics.zoho.com/open-view/2395394000007334023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</si>
</sst>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265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151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150"/>
    <tableColumn id="2" xr3:uid="{5ED27DE5-67BC-44CA-A77A-5C2FF37D4BDA}" name="Región"/>
    <tableColumn id="3" xr3:uid="{A6786D2D-C302-4A14-8AD8-1B90DD31F6BB}" name="Aux 1" dataDxfId="149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131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130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129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128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127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126"/>
    <tableColumn id="2" xr3:uid="{A9F2AA81-D299-422C-9CB0-25F9CB7CBE22}" name="Región"/>
    <tableColumn id="3" xr3:uid="{A9FFE74F-7C1A-41D9-BF42-0F1585D68482}" name="Aux 1" dataDxfId="125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124" tableBorderDxfId="123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122" tableBorderDxfId="121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120" tableBorderDxfId="119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118"/>
    <tableColumn id="3" xr3:uid="{014049A9-751B-4A9C-A685-7A2AA7669E09}" uniqueName="3" name="Cod_Sector" queryTableFieldId="3"/>
    <tableColumn id="4" xr3:uid="{14D36E9D-6E73-4007-AE52-C6D377A205DC}" uniqueName="4" name="Región/Sector" queryTableFieldId="4" dataDxfId="117"/>
    <tableColumn id="20" xr3:uid="{2A8D8542-5740-4D3A-8046-E5CF558AC790}" uniqueName="20" name="id_sexo" queryTableFieldId="20" dataDxfId="116"/>
    <tableColumn id="5" xr3:uid="{054A677A-D7A2-48A6-B118-517ECD81349A}" uniqueName="5" name="Sexo Víctima" queryTableFieldId="5" dataDxfId="115"/>
    <tableColumn id="21" xr3:uid="{7AA25004-C4A8-40BF-B852-003FEEE73759}" uniqueName="21" name="id_edad" queryTableFieldId="21" dataDxfId="114"/>
    <tableColumn id="6" xr3:uid="{9CBC8B9C-FFC1-41C6-9857-9B74739F3BAC}" uniqueName="6" name="Edad Víctima" queryTableFieldId="6" dataDxfId="113"/>
    <tableColumn id="7" xr3:uid="{D397F0F5-2C93-4876-B9F4-FA91A13D81D8}" uniqueName="7" name="Id_producto" queryTableFieldId="7"/>
    <tableColumn id="8" xr3:uid="{ED39DCDB-79E4-4255-B2CE-5B03F879DC10}" uniqueName="8" name="Producto" queryTableFieldId="8" dataDxfId="112"/>
    <tableColumn id="9" xr3:uid="{64EB0367-061F-41D7-BFCE-83371BE2545E}" uniqueName="9" name="Id_categoría" queryTableFieldId="9"/>
    <tableColumn id="10" xr3:uid="{1D5D509A-A16F-47E9-ADA4-8F7E09AC7315}" uniqueName="10" name="Categoría" queryTableFieldId="10" dataDxfId="111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110"/>
    <tableColumn id="3" xr3:uid="{C3068E04-FB23-4E70-A879-E69A9AB862D6}" uniqueName="3" name="descripcion" queryTableFieldId="3"/>
    <tableColumn id="4" xr3:uid="{588A68F9-BF4D-48D8-8C7B-3A93C4902BC1}" uniqueName="4" name="auxiliar" queryTableFieldId="4" dataDxfId="109"/>
    <tableColumn id="5" xr3:uid="{5AB17CBE-107C-4A8E-A05D-81EE2520FE75}" uniqueName="5" name="parametro" queryTableFieldId="5" dataDxfId="108"/>
    <tableColumn id="6" xr3:uid="{C4EF5471-F86F-4750-917B-AEF2D9B80FEE}" uniqueName="6" name="Columna1" queryTableFieldId="6" dataDxfId="107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106"/>
    <tableColumn id="4" xr3:uid="{700B12AE-4E7C-4189-8E59-EF210F95B414}" uniqueName="4" name="auxiliar" queryTableFieldId="4" dataDxfId="105"/>
    <tableColumn id="5" xr3:uid="{0E332B85-18DA-4833-8E98-DF6283AB4B90}" uniqueName="5" name="fecha_inicio" queryTableFieldId="5" dataDxfId="104"/>
    <tableColumn id="6" xr3:uid="{10B55D18-C2D1-4845-934C-754F561CA644}" uniqueName="6" name="fecha_termino" queryTableFieldId="6" dataDxfId="103"/>
    <tableColumn id="7" xr3:uid="{C226911F-716F-43BC-973B-6B9F7FA4888F}" uniqueName="7" name="temporalidad" queryTableFieldId="7" dataDxfId="102"/>
    <tableColumn id="8" xr3:uid="{522A6B4E-5CA7-4D1D-84FF-E6CB70D37CB8}" uniqueName="8" name="Columna1" queryTableFieldId="8" dataDxfId="101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00"/>
    <tableColumn id="3" xr3:uid="{22D30F4E-D1B3-410D-B0CF-1FE8EAEC55F3}" uniqueName="3" name="descripcion" queryTableFieldId="3" dataDxfId="99"/>
    <tableColumn id="4" xr3:uid="{7F5D3703-2D9F-4923-BF91-40C0C2BE8218}" uniqueName="4" name="auxiliar" queryTableFieldId="4" dataDxfId="98"/>
    <tableColumn id="5" xr3:uid="{C30C6A65-A83C-47E0-AD38-2562BEE51B7A}" uniqueName="5" name="iso_pais" queryTableFieldId="5" dataDxfId="97"/>
    <tableColumn id="6" xr3:uid="{27EF0653-983E-49AA-8E69-760F58B44179}" uniqueName="6" name="nivel_administrativo" queryTableFieldId="6" dataDxfId="96"/>
    <tableColumn id="7" xr3:uid="{4F02F62A-55C5-4159-8E89-404E2CF21410}" uniqueName="7" name="territorio" queryTableFieldId="7" dataDxfId="95"/>
    <tableColumn id="8" xr3:uid="{BCAB60B8-01B7-49AC-AB7F-291CE5D9DE8D}" uniqueName="8" name="Columna1" queryTableFieldId="8" dataDxfId="94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148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147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93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92"/>
    <tableColumn id="3" xr3:uid="{2E7CB18B-5465-49F9-900E-3B2E3A41FB4F}" uniqueName="3" name="descripcion" queryTableFieldId="3" dataDxfId="91"/>
    <tableColumn id="4" xr3:uid="{25D3DE9F-C87A-4AF2-BDE2-3FC56D2627B3}" uniqueName="4" name="auxiliar" queryTableFieldId="4" dataDxfId="90"/>
    <tableColumn id="5" xr3:uid="{AC12715A-3FE3-4E96-B0D7-E45ACBB89D43}" uniqueName="5" name="unidad_medida" queryTableFieldId="5" dataDxfId="89"/>
    <tableColumn id="6" xr3:uid="{4BEA197A-7C33-4492-A455-FC45301EC0BF}" uniqueName="6" name="Columna1" queryTableFieldId="6" dataDxfId="88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87"/>
    <tableColumn id="3" xr3:uid="{AB314A36-2E4D-4D08-927C-60F217AB003C}" uniqueName="3" name="Id_sector" queryTableFieldId="3"/>
    <tableColumn id="4" xr3:uid="{67547EC7-6434-42E3-8A61-176E47B1CE5B}" uniqueName="4" name="Sector" queryTableFieldId="4" dataDxfId="86"/>
    <tableColumn id="5" xr3:uid="{1462F023-38AB-4340-BD9F-16058BFF6A02}" uniqueName="5" name="Id_producto" queryTableFieldId="5"/>
    <tableColumn id="6" xr3:uid="{EE9810DD-D554-429B-B13D-64C30AAA3BD2}" uniqueName="6" name="Producto" queryTableFieldId="6" dataDxfId="85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84"/>
    <tableColumn id="10" xr3:uid="{6315F050-DF7A-4A62-8D20-0A681D06FF63}" uniqueName="10" name="Descripcion" queryTableFieldId="10" dataDxfId="83"/>
    <tableColumn id="11" xr3:uid="{A9ADA349-0DAC-4FFC-A1B6-2FD40DB0218E}" uniqueName="11" name="Auxiliar" queryTableFieldId="11" dataDxfId="82"/>
    <tableColumn id="12" xr3:uid="{3C35DC8D-D9F0-4574-900E-4A7FF050A206}" uniqueName="12" name="Carpeta GITHUB" queryTableFieldId="12" dataDxfId="81"/>
    <tableColumn id="13" xr3:uid="{2AE60936-6FA8-452F-B5A8-C34B4314B9B0}" uniqueName="13" name="Codigo" queryTableFieldId="13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79"/>
    <tableColumn id="2" xr3:uid="{477F9CF4-E7D2-4202-9E71-5E9AED7F97A3}" uniqueName="2" name="Responsable" queryTableFieldId="2" dataDxfId="78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146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145"/>
    <tableColumn id="2" xr3:uid="{D7247E34-E8BD-4BB5-90B3-F851BF420661}" name="Región/Sector"/>
    <tableColumn id="3" xr3:uid="{BB9A7BC0-B719-44A7-AAB8-0062F068C7C9}" name="Aux 2" dataDxfId="14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143">
  <autoFilter ref="K2:L12" xr:uid="{443FAC90-EE1F-4131-A0A4-5A30E75C04A3}"/>
  <tableColumns count="2">
    <tableColumn id="1" xr3:uid="{4876B7B9-7BFB-4D8D-A4E1-7DDEC9563EBC}" name="id_sexo" dataDxfId="142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141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140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139">
  <autoFilter ref="W2:Y13" xr:uid="{2CE39735-33FF-4D4E-A398-F080BD322D0B}"/>
  <tableColumns count="3">
    <tableColumn id="1" xr3:uid="{26DCF823-F3D3-423C-A759-4CF6F9FB57F5}" name="Id_categoría" dataDxfId="138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137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136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135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134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133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132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2"/>
  <sheetViews>
    <sheetView showGridLines="0" tabSelected="1" zoomScale="90" zoomScaleNormal="90"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Z19" sqref="Z19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SUM(C4:C24)</f>
        <v>105</v>
      </c>
      <c r="G1" s="69"/>
      <c r="J1" s="23"/>
      <c r="Q1" s="72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5" t="s">
        <v>10688</v>
      </c>
      <c r="B3" s="44" t="s">
        <v>10689</v>
      </c>
      <c r="C3" s="46" t="s">
        <v>13384</v>
      </c>
      <c r="D3" s="66" t="s">
        <v>28</v>
      </c>
      <c r="E3" s="46" t="s">
        <v>10663</v>
      </c>
      <c r="F3" s="45" t="s">
        <v>10661</v>
      </c>
      <c r="G3" s="45" t="s">
        <v>10662</v>
      </c>
      <c r="H3" s="46" t="s">
        <v>10683</v>
      </c>
      <c r="I3" s="45" t="s">
        <v>10684</v>
      </c>
      <c r="J3" s="67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0" t="s">
        <v>10451</v>
      </c>
      <c r="S3" s="27" t="s">
        <v>10425</v>
      </c>
      <c r="T3" s="54" t="s">
        <v>10426</v>
      </c>
      <c r="U3" s="54" t="s">
        <v>10428</v>
      </c>
      <c r="V3" s="54" t="s">
        <v>10429</v>
      </c>
      <c r="W3" s="54" t="s">
        <v>10430</v>
      </c>
      <c r="X3" s="51" t="s">
        <v>13391</v>
      </c>
      <c r="Y3" s="51" t="s">
        <v>10431</v>
      </c>
      <c r="Z3" s="56" t="s">
        <v>10432</v>
      </c>
      <c r="AA3" s="50" t="s">
        <v>10433</v>
      </c>
      <c r="AB3" s="50" t="s">
        <v>13387</v>
      </c>
      <c r="AC3" s="50" t="s">
        <v>13386</v>
      </c>
      <c r="AD3" s="50" t="s">
        <v>13388</v>
      </c>
      <c r="AE3" s="50" t="s">
        <v>13389</v>
      </c>
      <c r="AF3" s="50" t="s">
        <v>13390</v>
      </c>
      <c r="AG3" s="52" t="s">
        <v>10435</v>
      </c>
      <c r="AH3" s="52" t="s">
        <v>10436</v>
      </c>
      <c r="AI3" s="52" t="s">
        <v>10437</v>
      </c>
      <c r="AJ3" s="52" t="s">
        <v>10438</v>
      </c>
      <c r="AK3" s="52" t="s">
        <v>10439</v>
      </c>
      <c r="AL3" s="51" t="s">
        <v>10440</v>
      </c>
      <c r="AM3" s="51" t="s">
        <v>10441</v>
      </c>
      <c r="AN3" s="51" t="s">
        <v>10442</v>
      </c>
      <c r="AO3" s="27" t="s">
        <v>10443</v>
      </c>
      <c r="AP3" s="53" t="s">
        <v>10444</v>
      </c>
      <c r="AQ3" s="53" t="s">
        <v>10445</v>
      </c>
    </row>
    <row r="4" spans="1:43" ht="33.75" x14ac:dyDescent="0.25">
      <c r="A4" s="48" t="str">
        <f>+D4&amp;"|FILT:"&amp;E4&amp;"| MUES: "&amp;G4&amp;"|"&amp;F4&amp;"|"&amp;H4</f>
        <v>GR 01|FILT:Región| MUES: Sexo|Casos|</v>
      </c>
      <c r="B4" s="68" t="s">
        <v>13782</v>
      </c>
      <c r="C4" s="39">
        <v>16</v>
      </c>
      <c r="D4" s="42" t="s">
        <v>13379</v>
      </c>
      <c r="E4" s="47" t="s">
        <v>755</v>
      </c>
      <c r="F4" s="43" t="s">
        <v>9334</v>
      </c>
      <c r="G4" s="70" t="s">
        <v>13775</v>
      </c>
      <c r="H4" s="43"/>
      <c r="I4" s="41"/>
      <c r="J4" t="s">
        <v>1782</v>
      </c>
      <c r="K4" s="49"/>
      <c r="L4" s="49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5" t="s">
        <v>13778</v>
      </c>
      <c r="P4" s="84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1" t="s">
        <v>13377</v>
      </c>
      <c r="S4" s="36" t="str">
        <f>+"Casos de  Violencia Intrafamiliar en la región de "&amp;J4</f>
        <v>Casos de  Violencia Intrafamiliar en la región de O'Higgins</v>
      </c>
      <c r="T4" s="63" t="str">
        <f>+S4</f>
        <v>Casos de  Violencia Intrafamiliar en la región de O'Higgins</v>
      </c>
      <c r="U4" s="65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8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59">
        <v>44369</v>
      </c>
      <c r="AB4" s="58" t="s">
        <v>10446</v>
      </c>
      <c r="AC4" s="58" t="s">
        <v>10461</v>
      </c>
      <c r="AD4" s="57" t="s">
        <v>24</v>
      </c>
      <c r="AE4" s="57" t="s">
        <v>24</v>
      </c>
      <c r="AF4" s="57" t="s">
        <v>24</v>
      </c>
      <c r="AG4" s="61">
        <f>+VLOOKUP($P4,Parametros[[nombre]:[Columna1]],5,0)</f>
        <v>11</v>
      </c>
      <c r="AH4" s="61">
        <v>1</v>
      </c>
      <c r="AI4" s="61">
        <f>+VLOOKUP($N4,Territorio[[nombre]:[Columna1]],7,0)</f>
        <v>585</v>
      </c>
      <c r="AJ4" s="61">
        <f>+VLOOKUP(O4,Temporalidad[[nombre]:[Columna1]],7,0)</f>
        <v>1778</v>
      </c>
      <c r="AK4" s="61">
        <f>+VLOOKUP(LEFT($D4,2),Tipo_Gráfico[[id2]:[Tipo Gráfico]],3,0)</f>
        <v>1</v>
      </c>
      <c r="AL4" s="85" t="s">
        <v>13779</v>
      </c>
      <c r="AM4" s="57" t="s">
        <v>24</v>
      </c>
      <c r="AN4" s="57" t="s">
        <v>24</v>
      </c>
      <c r="AO4" s="57" t="s">
        <v>24</v>
      </c>
      <c r="AP4" s="62">
        <f>VLOOKUP($AC4,Responsables[],3,0)</f>
        <v>4</v>
      </c>
      <c r="AQ4" s="62">
        <f>VLOOKUP($R4,unidad_medida[[#All],[nombre]:[Columna1]],5,0)</f>
        <v>74</v>
      </c>
    </row>
    <row r="5" spans="1:43" ht="33.75" x14ac:dyDescent="0.25">
      <c r="A5" s="48" t="str">
        <f>+D5&amp;"|FILT:"&amp;E5&amp;"| MUES: "&amp;G5&amp;"|"&amp;F5&amp;"|"&amp;H5</f>
        <v>GR 02|FILT:Región| MUES: Edad|Casos|</v>
      </c>
      <c r="B5" s="68" t="s">
        <v>13783</v>
      </c>
      <c r="C5" s="39">
        <v>16</v>
      </c>
      <c r="D5" s="40" t="s">
        <v>13380</v>
      </c>
      <c r="E5" s="47" t="s">
        <v>755</v>
      </c>
      <c r="F5" s="43" t="s">
        <v>9334</v>
      </c>
      <c r="G5" s="70" t="s">
        <v>13776</v>
      </c>
      <c r="H5" s="43"/>
      <c r="I5" s="38"/>
      <c r="J5" t="str">
        <f>J4</f>
        <v>O'Higgins</v>
      </c>
      <c r="K5" s="49"/>
      <c r="L5" s="49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5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3" t="str">
        <f t="shared" ref="T5" si="2">+S5</f>
        <v>Casos de  Violencia Intrafamiliar en la región de O'Higgins</v>
      </c>
      <c r="U5" s="64" t="str">
        <f t="shared" ref="U5:U18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7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0">
        <f t="shared" ref="AA5:AF5" si="4">+AA4</f>
        <v>44369</v>
      </c>
      <c r="AB5" s="57" t="str">
        <f t="shared" si="4"/>
        <v>Español</v>
      </c>
      <c r="AC5" s="57" t="str">
        <f t="shared" si="4"/>
        <v>Fer</v>
      </c>
      <c r="AD5" s="57" t="str">
        <f t="shared" si="4"/>
        <v>No Aplica</v>
      </c>
      <c r="AE5" s="57" t="str">
        <f t="shared" si="4"/>
        <v>No Aplica</v>
      </c>
      <c r="AF5" s="57" t="str">
        <f t="shared" si="4"/>
        <v>No Aplica</v>
      </c>
      <c r="AG5" s="61">
        <f>+VLOOKUP($P5,Parametros[[nombre]:[Columna1]],5,0)</f>
        <v>11</v>
      </c>
      <c r="AH5" s="61">
        <f>AH4</f>
        <v>1</v>
      </c>
      <c r="AI5" s="61">
        <f>+VLOOKUP($N5,Territorio[[nombre]:[Columna1]],7,0)</f>
        <v>585</v>
      </c>
      <c r="AJ5" s="61">
        <f>+VLOOKUP(O5,Temporalidad[[nombre]:[Columna1]],7,0)</f>
        <v>1778</v>
      </c>
      <c r="AK5" s="61">
        <f>+VLOOKUP(LEFT($D5,2),Tipo_Gráfico[[id2]:[Tipo Gráfico]],3,0)</f>
        <v>1</v>
      </c>
      <c r="AL5" s="36" t="str">
        <f>AL4</f>
        <v>Fiscalia de Chile</v>
      </c>
      <c r="AM5" s="57" t="str">
        <f>+AM4</f>
        <v>No Aplica</v>
      </c>
      <c r="AN5" s="57" t="str">
        <f>+AN4</f>
        <v>No Aplica</v>
      </c>
      <c r="AO5" s="57" t="str">
        <f>+AO4</f>
        <v>No Aplica</v>
      </c>
      <c r="AP5" s="62">
        <f>VLOOKUP($AC5,Responsables[],3,0)</f>
        <v>4</v>
      </c>
      <c r="AQ5" s="62">
        <f>VLOOKUP($R5,unidad_medida[[#All],[nombre]:[Columna1]],5,0)</f>
        <v>74</v>
      </c>
    </row>
    <row r="6" spans="1:43" ht="33.75" x14ac:dyDescent="0.25">
      <c r="A6" s="48" t="str">
        <f t="shared" ref="A6:A16" si="5">+D6&amp;"|FILT:"&amp;E6&amp;"| MUES: "&amp;G6&amp;"|"&amp;F6&amp;"|"&amp;H6</f>
        <v>GR 03|FILT:Nacional| MUES: Edad|Casos|</v>
      </c>
      <c r="B6" s="68" t="s">
        <v>13789</v>
      </c>
      <c r="C6" s="39">
        <v>1</v>
      </c>
      <c r="D6" s="42" t="s">
        <v>13381</v>
      </c>
      <c r="E6" s="47" t="s">
        <v>13777</v>
      </c>
      <c r="F6" s="43" t="s">
        <v>9334</v>
      </c>
      <c r="G6" s="70" t="s">
        <v>13776</v>
      </c>
      <c r="H6" s="43"/>
      <c r="I6" s="38"/>
      <c r="J6" t="s">
        <v>152</v>
      </c>
      <c r="K6" s="49"/>
      <c r="L6" s="49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8" si="6">O5</f>
        <v>Periodo 2019-2021</v>
      </c>
      <c r="P6" s="21" t="str">
        <f t="shared" ref="P6:P18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8" si="8">+R5</f>
        <v>víctimas</v>
      </c>
      <c r="S6" s="36" t="s">
        <v>13780</v>
      </c>
      <c r="T6" s="63" t="str">
        <f t="shared" ref="T6:T8" si="9">+S6</f>
        <v>Casos de  Violencia Intrafamiliar a nivel nacional</v>
      </c>
      <c r="U6" s="64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7" t="str">
        <f t="shared" ref="X6:X18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0">
        <f t="shared" ref="AA6:AF6" si="13">+AA5</f>
        <v>44369</v>
      </c>
      <c r="AB6" s="57" t="str">
        <f t="shared" si="13"/>
        <v>Español</v>
      </c>
      <c r="AC6" s="57" t="str">
        <f t="shared" si="13"/>
        <v>Fer</v>
      </c>
      <c r="AD6" s="57" t="str">
        <f t="shared" si="13"/>
        <v>No Aplica</v>
      </c>
      <c r="AE6" s="57" t="str">
        <f t="shared" si="13"/>
        <v>No Aplica</v>
      </c>
      <c r="AF6" s="57" t="str">
        <f t="shared" si="13"/>
        <v>No Aplica</v>
      </c>
      <c r="AG6" s="61">
        <f>+VLOOKUP($P6,Parametros[[nombre]:[Columna1]],5,0)</f>
        <v>11</v>
      </c>
      <c r="AH6" s="61">
        <f t="shared" ref="AH6:AH18" si="14">AH5</f>
        <v>1</v>
      </c>
      <c r="AI6" s="61">
        <f>+VLOOKUP($N6,Territorio[[nombre]:[Columna1]],7,0)</f>
        <v>38</v>
      </c>
      <c r="AJ6" s="61">
        <f>+VLOOKUP(O6,Temporalidad[[nombre]:[Columna1]],7,0)</f>
        <v>1778</v>
      </c>
      <c r="AK6" s="61">
        <f>+VLOOKUP(LEFT($D6,2),Tipo_Gráfico[[id2]:[Tipo Gráfico]],3,0)</f>
        <v>1</v>
      </c>
      <c r="AL6" s="36" t="str">
        <f t="shared" ref="AL6:AL18" si="15">AL5</f>
        <v>Fiscalia de Chile</v>
      </c>
      <c r="AM6" s="57" t="str">
        <f t="shared" ref="AM6:AM18" si="16">+AM5</f>
        <v>No Aplica</v>
      </c>
      <c r="AN6" s="57" t="str">
        <f t="shared" ref="AN6:AN18" si="17">+AN5</f>
        <v>No Aplica</v>
      </c>
      <c r="AO6" s="57" t="str">
        <f t="shared" ref="AO6:AO18" si="18">+AO5</f>
        <v>No Aplica</v>
      </c>
      <c r="AP6" s="62">
        <f>VLOOKUP($AC6,Responsables[],3,0)</f>
        <v>4</v>
      </c>
      <c r="AQ6" s="62">
        <f>VLOOKUP($R6,unidad_medida[[#All],[nombre]:[Columna1]],5,0)</f>
        <v>74</v>
      </c>
    </row>
    <row r="7" spans="1:43" ht="33.75" x14ac:dyDescent="0.25">
      <c r="A7" s="48" t="str">
        <f t="shared" si="5"/>
        <v>GR 04|FILT:Nacional| MUES: Sexo|Casos|</v>
      </c>
      <c r="B7" s="68" t="s">
        <v>13790</v>
      </c>
      <c r="C7" s="39">
        <v>1</v>
      </c>
      <c r="D7" s="40" t="s">
        <v>13382</v>
      </c>
      <c r="E7" s="47" t="s">
        <v>13777</v>
      </c>
      <c r="F7" s="43" t="s">
        <v>9334</v>
      </c>
      <c r="G7" s="70" t="s">
        <v>13775</v>
      </c>
      <c r="H7" s="43"/>
      <c r="I7" s="38"/>
      <c r="J7" t="str">
        <f>J6</f>
        <v>Chile</v>
      </c>
      <c r="K7" s="49"/>
      <c r="L7" s="49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3" t="str">
        <f t="shared" si="9"/>
        <v>Casos de  Violencia Intrafamiliar a nivel nacional</v>
      </c>
      <c r="U7" s="64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7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0">
        <f t="shared" ref="AA7:AF7" si="19">+AA6</f>
        <v>44369</v>
      </c>
      <c r="AB7" s="57" t="str">
        <f t="shared" si="19"/>
        <v>Español</v>
      </c>
      <c r="AC7" s="57" t="str">
        <f t="shared" si="19"/>
        <v>Fer</v>
      </c>
      <c r="AD7" s="57" t="str">
        <f t="shared" si="19"/>
        <v>No Aplica</v>
      </c>
      <c r="AE7" s="57" t="str">
        <f t="shared" si="19"/>
        <v>No Aplica</v>
      </c>
      <c r="AF7" s="57" t="str">
        <f t="shared" si="19"/>
        <v>No Aplica</v>
      </c>
      <c r="AG7" s="61">
        <f>+VLOOKUP($P7,Parametros[[nombre]:[Columna1]],5,0)</f>
        <v>11</v>
      </c>
      <c r="AH7" s="61">
        <f t="shared" si="14"/>
        <v>1</v>
      </c>
      <c r="AI7" s="61">
        <f>+VLOOKUP($N7,Territorio[[nombre]:[Columna1]],7,0)</f>
        <v>38</v>
      </c>
      <c r="AJ7" s="61">
        <f>+VLOOKUP(O7,Temporalidad[[nombre]:[Columna1]],7,0)</f>
        <v>1778</v>
      </c>
      <c r="AK7" s="61">
        <f>+VLOOKUP(LEFT($D7,2),Tipo_Gráfico[[id2]:[Tipo Gráfico]],3,0)</f>
        <v>1</v>
      </c>
      <c r="AL7" s="36" t="str">
        <f t="shared" si="15"/>
        <v>Fiscalia de Chile</v>
      </c>
      <c r="AM7" s="57" t="str">
        <f t="shared" si="16"/>
        <v>No Aplica</v>
      </c>
      <c r="AN7" s="57" t="str">
        <f t="shared" si="17"/>
        <v>No Aplica</v>
      </c>
      <c r="AO7" s="57" t="str">
        <f t="shared" si="18"/>
        <v>No Aplica</v>
      </c>
      <c r="AP7" s="62">
        <f>VLOOKUP($AC7,Responsables[],3,0)</f>
        <v>4</v>
      </c>
      <c r="AQ7" s="62">
        <f>VLOOKUP($R7,unidad_medida[[#All],[nombre]:[Columna1]],5,0)</f>
        <v>74</v>
      </c>
    </row>
    <row r="8" spans="1:43" ht="33.75" x14ac:dyDescent="0.25">
      <c r="A8" s="48" t="str">
        <f t="shared" si="5"/>
        <v>GR 05|FILT:Nacional| MUES: Región|Casos|</v>
      </c>
      <c r="B8" s="68" t="s">
        <v>13791</v>
      </c>
      <c r="C8" s="39">
        <v>1</v>
      </c>
      <c r="D8" s="42" t="s">
        <v>13383</v>
      </c>
      <c r="E8" s="47" t="s">
        <v>13777</v>
      </c>
      <c r="F8" s="43" t="s">
        <v>9334</v>
      </c>
      <c r="G8" s="47" t="s">
        <v>755</v>
      </c>
      <c r="H8" s="43"/>
      <c r="I8" s="38"/>
      <c r="J8" t="str">
        <f>J7</f>
        <v>Chile</v>
      </c>
      <c r="K8" s="49"/>
      <c r="L8" s="49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3" t="str">
        <f t="shared" si="9"/>
        <v>Casos de  Violencia Intrafamiliar a nivel nacional</v>
      </c>
      <c r="U8" s="64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7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0">
        <f t="shared" ref="AA8:AF8" si="20">+AA7</f>
        <v>44369</v>
      </c>
      <c r="AB8" s="57" t="str">
        <f t="shared" si="20"/>
        <v>Español</v>
      </c>
      <c r="AC8" s="57" t="str">
        <f t="shared" si="20"/>
        <v>Fer</v>
      </c>
      <c r="AD8" s="57" t="str">
        <f t="shared" si="20"/>
        <v>No Aplica</v>
      </c>
      <c r="AE8" s="57" t="str">
        <f t="shared" si="20"/>
        <v>No Aplica</v>
      </c>
      <c r="AF8" s="57" t="str">
        <f t="shared" si="20"/>
        <v>No Aplica</v>
      </c>
      <c r="AG8" s="61">
        <f>+VLOOKUP($P8,Parametros[[nombre]:[Columna1]],5,0)</f>
        <v>11</v>
      </c>
      <c r="AH8" s="61">
        <f t="shared" si="14"/>
        <v>1</v>
      </c>
      <c r="AI8" s="61">
        <f>+VLOOKUP($N8,Territorio[[nombre]:[Columna1]],7,0)</f>
        <v>38</v>
      </c>
      <c r="AJ8" s="61">
        <f>+VLOOKUP(O8,Temporalidad[[nombre]:[Columna1]],7,0)</f>
        <v>1778</v>
      </c>
      <c r="AK8" s="61">
        <f>+VLOOKUP(LEFT($D8,2),Tipo_Gráfico[[id2]:[Tipo Gráfico]],3,0)</f>
        <v>1</v>
      </c>
      <c r="AL8" s="36" t="str">
        <f t="shared" si="15"/>
        <v>Fiscalia de Chile</v>
      </c>
      <c r="AM8" s="57" t="str">
        <f t="shared" si="16"/>
        <v>No Aplica</v>
      </c>
      <c r="AN8" s="57" t="str">
        <f t="shared" si="17"/>
        <v>No Aplica</v>
      </c>
      <c r="AO8" s="57" t="str">
        <f t="shared" si="18"/>
        <v>No Aplica</v>
      </c>
      <c r="AP8" s="62">
        <f>VLOOKUP($AC8,Responsables[],3,0)</f>
        <v>4</v>
      </c>
      <c r="AQ8" s="62">
        <f>VLOOKUP($R8,unidad_medida[[#All],[nombre]:[Columna1]],5,0)</f>
        <v>74</v>
      </c>
    </row>
    <row r="9" spans="1:43" ht="33.75" x14ac:dyDescent="0.25">
      <c r="A9" s="48" t="str">
        <f t="shared" si="5"/>
        <v>GR 06|FILT:Nacional| MUES: Sector|Casos|</v>
      </c>
      <c r="B9" s="68" t="s">
        <v>13792</v>
      </c>
      <c r="C9" s="39">
        <v>1</v>
      </c>
      <c r="D9" s="40" t="s">
        <v>13749</v>
      </c>
      <c r="E9" s="47" t="s">
        <v>13777</v>
      </c>
      <c r="F9" s="43" t="s">
        <v>9334</v>
      </c>
      <c r="G9" s="47" t="s">
        <v>9440</v>
      </c>
      <c r="H9" s="43"/>
      <c r="I9" s="38"/>
      <c r="J9" t="str">
        <f>J8</f>
        <v>Chile</v>
      </c>
      <c r="K9" s="49"/>
      <c r="L9" s="49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3" t="str">
        <f t="shared" ref="T9:T12" si="21">+S9</f>
        <v>Casos de  Violencia Intrafamiliar a nivel nacional</v>
      </c>
      <c r="U9" s="64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7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0">
        <f t="shared" ref="AA9:AF9" si="23">+AA8</f>
        <v>44369</v>
      </c>
      <c r="AB9" s="57" t="str">
        <f t="shared" si="23"/>
        <v>Español</v>
      </c>
      <c r="AC9" s="57" t="str">
        <f t="shared" si="23"/>
        <v>Fer</v>
      </c>
      <c r="AD9" s="57" t="str">
        <f t="shared" si="23"/>
        <v>No Aplica</v>
      </c>
      <c r="AE9" s="57" t="str">
        <f t="shared" si="23"/>
        <v>No Aplica</v>
      </c>
      <c r="AF9" s="57" t="str">
        <f t="shared" si="23"/>
        <v>No Aplica</v>
      </c>
      <c r="AG9" s="61">
        <f>+VLOOKUP($P9,Parametros[[nombre]:[Columna1]],5,0)</f>
        <v>11</v>
      </c>
      <c r="AH9" s="61">
        <f t="shared" si="14"/>
        <v>1</v>
      </c>
      <c r="AI9" s="61">
        <f>+VLOOKUP($N9,Territorio[[nombre]:[Columna1]],7,0)</f>
        <v>38</v>
      </c>
      <c r="AJ9" s="61">
        <f>+VLOOKUP(O9,Temporalidad[[nombre]:[Columna1]],7,0)</f>
        <v>1778</v>
      </c>
      <c r="AK9" s="61">
        <f>+VLOOKUP(LEFT($D9,2),Tipo_Gráfico[[id2]:[Tipo Gráfico]],3,0)</f>
        <v>1</v>
      </c>
      <c r="AL9" s="36" t="str">
        <f t="shared" si="15"/>
        <v>Fiscalia de Chile</v>
      </c>
      <c r="AM9" s="57" t="str">
        <f t="shared" si="16"/>
        <v>No Aplica</v>
      </c>
      <c r="AN9" s="57" t="str">
        <f t="shared" si="17"/>
        <v>No Aplica</v>
      </c>
      <c r="AO9" s="57" t="str">
        <f t="shared" si="18"/>
        <v>No Aplica</v>
      </c>
      <c r="AP9" s="62">
        <f>VLOOKUP($AC9,Responsables[],3,0)</f>
        <v>4</v>
      </c>
      <c r="AQ9" s="62">
        <f>VLOOKUP($R9,unidad_medida[[#All],[nombre]:[Columna1]],5,0)</f>
        <v>74</v>
      </c>
    </row>
    <row r="10" spans="1:43" ht="33.75" x14ac:dyDescent="0.25">
      <c r="A10" s="48" t="str">
        <f>+D10&amp;"|FILT:"&amp;E10&amp;"| MUES: "&amp;G10&amp;"|"&amp;F10&amp;"|"&amp;H10</f>
        <v>GR 07|FILT:Región| MUES: Trimestre|Casos|</v>
      </c>
      <c r="B10" s="68" t="s">
        <v>13793</v>
      </c>
      <c r="C10" s="39">
        <v>16</v>
      </c>
      <c r="D10" s="42" t="s">
        <v>13750</v>
      </c>
      <c r="E10" s="47" t="s">
        <v>755</v>
      </c>
      <c r="F10" s="43" t="s">
        <v>9334</v>
      </c>
      <c r="G10" s="47" t="s">
        <v>8469</v>
      </c>
      <c r="H10" s="43"/>
      <c r="I10" s="38"/>
      <c r="J10" t="str">
        <f>J5</f>
        <v>O'Higgins</v>
      </c>
      <c r="K10" s="49"/>
      <c r="L10" s="49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3" t="str">
        <f t="shared" si="21"/>
        <v>Casos de  Violencia Intrafamiliar a nivel nacional</v>
      </c>
      <c r="U10" s="64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7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0">
        <f t="shared" ref="AA10:AF10" si="24">+AA9</f>
        <v>44369</v>
      </c>
      <c r="AB10" s="57" t="str">
        <f t="shared" si="24"/>
        <v>Español</v>
      </c>
      <c r="AC10" s="57" t="str">
        <f t="shared" si="24"/>
        <v>Fer</v>
      </c>
      <c r="AD10" s="57" t="str">
        <f t="shared" si="24"/>
        <v>No Aplica</v>
      </c>
      <c r="AE10" s="57" t="str">
        <f t="shared" si="24"/>
        <v>No Aplica</v>
      </c>
      <c r="AF10" s="57" t="str">
        <f t="shared" si="24"/>
        <v>No Aplica</v>
      </c>
      <c r="AG10" s="61">
        <f>+VLOOKUP($P10,Parametros[[nombre]:[Columna1]],5,0)</f>
        <v>11</v>
      </c>
      <c r="AH10" s="61">
        <f t="shared" si="14"/>
        <v>1</v>
      </c>
      <c r="AI10" s="61">
        <f>+VLOOKUP($N10,Territorio[[nombre]:[Columna1]],7,0)</f>
        <v>585</v>
      </c>
      <c r="AJ10" s="61">
        <f>+VLOOKUP(O10,Temporalidad[[nombre]:[Columna1]],7,0)</f>
        <v>1778</v>
      </c>
      <c r="AK10" s="61">
        <f>+VLOOKUP(LEFT($D10,2),Tipo_Gráfico[[id2]:[Tipo Gráfico]],3,0)</f>
        <v>1</v>
      </c>
      <c r="AL10" s="36" t="str">
        <f t="shared" si="15"/>
        <v>Fiscalia de Chile</v>
      </c>
      <c r="AM10" s="57" t="str">
        <f t="shared" si="16"/>
        <v>No Aplica</v>
      </c>
      <c r="AN10" s="57" t="str">
        <f t="shared" si="17"/>
        <v>No Aplica</v>
      </c>
      <c r="AO10" s="57" t="str">
        <f t="shared" si="18"/>
        <v>No Aplica</v>
      </c>
      <c r="AP10" s="62">
        <f>VLOOKUP($AC10,Responsables[],3,0)</f>
        <v>4</v>
      </c>
      <c r="AQ10" s="62">
        <f>VLOOKUP($R10,unidad_medida[[#All],[nombre]:[Columna1]],5,0)</f>
        <v>74</v>
      </c>
    </row>
    <row r="11" spans="1:43" ht="33.75" x14ac:dyDescent="0.25">
      <c r="A11" s="48" t="str">
        <f t="shared" si="5"/>
        <v>GR 08|FILT:Nacional| MUES: Trimestre|Casos|</v>
      </c>
      <c r="B11" s="68" t="s">
        <v>13794</v>
      </c>
      <c r="C11" s="39">
        <v>1</v>
      </c>
      <c r="D11" s="40" t="s">
        <v>13784</v>
      </c>
      <c r="E11" s="47" t="s">
        <v>13777</v>
      </c>
      <c r="F11" s="43" t="s">
        <v>9334</v>
      </c>
      <c r="G11" s="47" t="s">
        <v>8469</v>
      </c>
      <c r="H11" s="43"/>
      <c r="I11" s="38"/>
      <c r="J11" t="str">
        <f>J9</f>
        <v>Chile</v>
      </c>
      <c r="K11" s="49"/>
      <c r="L11" s="49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3" t="str">
        <f t="shared" si="21"/>
        <v>Casos de  Violencia Intrafamiliar a nivel nacional</v>
      </c>
      <c r="U11" s="64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7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0">
        <f t="shared" ref="AA11:AF11" si="25">+AA10</f>
        <v>44369</v>
      </c>
      <c r="AB11" s="57" t="str">
        <f t="shared" si="25"/>
        <v>Español</v>
      </c>
      <c r="AC11" s="57" t="str">
        <f t="shared" si="25"/>
        <v>Fer</v>
      </c>
      <c r="AD11" s="57" t="str">
        <f t="shared" si="25"/>
        <v>No Aplica</v>
      </c>
      <c r="AE11" s="57" t="str">
        <f t="shared" si="25"/>
        <v>No Aplica</v>
      </c>
      <c r="AF11" s="57" t="str">
        <f t="shared" si="25"/>
        <v>No Aplica</v>
      </c>
      <c r="AG11" s="61">
        <f>+VLOOKUP($P11,Parametros[[nombre]:[Columna1]],5,0)</f>
        <v>11</v>
      </c>
      <c r="AH11" s="61">
        <f t="shared" si="14"/>
        <v>1</v>
      </c>
      <c r="AI11" s="61">
        <f>+VLOOKUP($N11,Territorio[[nombre]:[Columna1]],7,0)</f>
        <v>38</v>
      </c>
      <c r="AJ11" s="61">
        <f>+VLOOKUP(O11,Temporalidad[[nombre]:[Columna1]],7,0)</f>
        <v>1778</v>
      </c>
      <c r="AK11" s="61">
        <f>+VLOOKUP(LEFT($D11,2),Tipo_Gráfico[[id2]:[Tipo Gráfico]],3,0)</f>
        <v>1</v>
      </c>
      <c r="AL11" s="36" t="str">
        <f t="shared" si="15"/>
        <v>Fiscalia de Chile</v>
      </c>
      <c r="AM11" s="57" t="str">
        <f t="shared" si="16"/>
        <v>No Aplica</v>
      </c>
      <c r="AN11" s="57" t="str">
        <f t="shared" si="17"/>
        <v>No Aplica</v>
      </c>
      <c r="AO11" s="57" t="str">
        <f t="shared" si="18"/>
        <v>No Aplica</v>
      </c>
      <c r="AP11" s="62">
        <f>VLOOKUP($AC11,Responsables[],3,0)</f>
        <v>4</v>
      </c>
      <c r="AQ11" s="62">
        <f>VLOOKUP($R11,unidad_medida[[#All],[nombre]:[Columna1]],5,0)</f>
        <v>74</v>
      </c>
    </row>
    <row r="12" spans="1:43" ht="33.75" x14ac:dyDescent="0.25">
      <c r="A12" s="48" t="str">
        <f t="shared" si="5"/>
        <v>GR 09|FILT:Región| MUES: Trimestre|Casos|Sexo</v>
      </c>
      <c r="B12" s="68" t="s">
        <v>13795</v>
      </c>
      <c r="C12" s="39">
        <v>16</v>
      </c>
      <c r="D12" s="42" t="s">
        <v>13785</v>
      </c>
      <c r="E12" s="47" t="s">
        <v>755</v>
      </c>
      <c r="F12" s="43" t="s">
        <v>9334</v>
      </c>
      <c r="G12" s="47" t="s">
        <v>8469</v>
      </c>
      <c r="H12" s="43" t="s">
        <v>13775</v>
      </c>
      <c r="I12" s="38"/>
      <c r="J12" t="str">
        <f>J10</f>
        <v>O'Higgins</v>
      </c>
      <c r="K12" s="49"/>
      <c r="L12" s="49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3" t="str">
        <f t="shared" si="21"/>
        <v>Casos de  Violencia Intrafamiliar a nivel nacional</v>
      </c>
      <c r="U12" s="64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7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0">
        <f t="shared" ref="AA12:AF12" si="26">+AA11</f>
        <v>44369</v>
      </c>
      <c r="AB12" s="57" t="str">
        <f t="shared" si="26"/>
        <v>Español</v>
      </c>
      <c r="AC12" s="57" t="str">
        <f t="shared" si="26"/>
        <v>Fer</v>
      </c>
      <c r="AD12" s="57" t="str">
        <f t="shared" si="26"/>
        <v>No Aplica</v>
      </c>
      <c r="AE12" s="57" t="str">
        <f t="shared" si="26"/>
        <v>No Aplica</v>
      </c>
      <c r="AF12" s="57" t="str">
        <f t="shared" si="26"/>
        <v>No Aplica</v>
      </c>
      <c r="AG12" s="61">
        <f>+VLOOKUP($P12,Parametros[[nombre]:[Columna1]],5,0)</f>
        <v>11</v>
      </c>
      <c r="AH12" s="61">
        <f t="shared" si="14"/>
        <v>1</v>
      </c>
      <c r="AI12" s="61">
        <f>+VLOOKUP($N12,Territorio[[nombre]:[Columna1]],7,0)</f>
        <v>585</v>
      </c>
      <c r="AJ12" s="61">
        <f>+VLOOKUP(O12,Temporalidad[[nombre]:[Columna1]],7,0)</f>
        <v>1778</v>
      </c>
      <c r="AK12" s="61">
        <f>+VLOOKUP(LEFT($D12,2),Tipo_Gráfico[[id2]:[Tipo Gráfico]],3,0)</f>
        <v>1</v>
      </c>
      <c r="AL12" s="36" t="str">
        <f t="shared" si="15"/>
        <v>Fiscalia de Chile</v>
      </c>
      <c r="AM12" s="57" t="str">
        <f t="shared" si="16"/>
        <v>No Aplica</v>
      </c>
      <c r="AN12" s="57" t="str">
        <f t="shared" si="17"/>
        <v>No Aplica</v>
      </c>
      <c r="AO12" s="57" t="str">
        <f t="shared" si="18"/>
        <v>No Aplica</v>
      </c>
      <c r="AP12" s="62">
        <f>VLOOKUP($AC12,Responsables[],3,0)</f>
        <v>4</v>
      </c>
      <c r="AQ12" s="62">
        <f>VLOOKUP($R12,unidad_medida[[#All],[nombre]:[Columna1]],5,0)</f>
        <v>74</v>
      </c>
    </row>
    <row r="13" spans="1:43" ht="33.75" x14ac:dyDescent="0.25">
      <c r="A13" s="48" t="str">
        <f t="shared" si="5"/>
        <v>GR 10|FILT:Región| MUES: Trimestre|Casos|Edad</v>
      </c>
      <c r="B13" s="68" t="s">
        <v>13796</v>
      </c>
      <c r="C13" s="39">
        <v>16</v>
      </c>
      <c r="D13" s="40" t="s">
        <v>13786</v>
      </c>
      <c r="E13" s="47" t="s">
        <v>755</v>
      </c>
      <c r="F13" s="43" t="s">
        <v>9334</v>
      </c>
      <c r="G13" s="47" t="s">
        <v>8469</v>
      </c>
      <c r="H13" s="43" t="s">
        <v>13776</v>
      </c>
      <c r="I13" s="38"/>
      <c r="J13" t="str">
        <f>J12</f>
        <v>O'Higgins</v>
      </c>
      <c r="K13" s="49"/>
      <c r="L13" s="49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3" t="str">
        <f t="shared" ref="T13:T17" si="27">+S13</f>
        <v>Casos de  Violencia Intrafamiliar a nivel nacional</v>
      </c>
      <c r="U13" s="64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8" si="28">HYPERLINK(B13,B13)</f>
        <v>https://analytics.zoho.com/open-view/2395394000007062438?ZOHO_CRITERIA=%22Trasposicion_27.4%22.%22Cod_Regi%C3%B3n%22%3D13</v>
      </c>
      <c r="X13" s="57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0">
        <f t="shared" ref="AA13:AF13" si="29">+AA12</f>
        <v>44369</v>
      </c>
      <c r="AB13" s="57" t="str">
        <f t="shared" si="29"/>
        <v>Español</v>
      </c>
      <c r="AC13" s="57" t="str">
        <f t="shared" si="29"/>
        <v>Fer</v>
      </c>
      <c r="AD13" s="57" t="str">
        <f t="shared" si="29"/>
        <v>No Aplica</v>
      </c>
      <c r="AE13" s="57" t="str">
        <f t="shared" si="29"/>
        <v>No Aplica</v>
      </c>
      <c r="AF13" s="57" t="str">
        <f t="shared" si="29"/>
        <v>No Aplica</v>
      </c>
      <c r="AG13" s="61">
        <f>+VLOOKUP($P13,Parametros[[nombre]:[Columna1]],5,0)</f>
        <v>11</v>
      </c>
      <c r="AH13" s="61">
        <f t="shared" si="14"/>
        <v>1</v>
      </c>
      <c r="AI13" s="61">
        <f>+VLOOKUP($N13,Territorio[[nombre]:[Columna1]],7,0)</f>
        <v>585</v>
      </c>
      <c r="AJ13" s="61">
        <f>+VLOOKUP(O13,Temporalidad[[nombre]:[Columna1]],7,0)</f>
        <v>1778</v>
      </c>
      <c r="AK13" s="61">
        <f>+VLOOKUP(LEFT($D13,2),Tipo_Gráfico[[id2]:[Tipo Gráfico]],3,0)</f>
        <v>1</v>
      </c>
      <c r="AL13" s="36" t="str">
        <f t="shared" si="15"/>
        <v>Fiscalia de Chile</v>
      </c>
      <c r="AM13" s="57" t="str">
        <f t="shared" si="16"/>
        <v>No Aplica</v>
      </c>
      <c r="AN13" s="57" t="str">
        <f t="shared" si="17"/>
        <v>No Aplica</v>
      </c>
      <c r="AO13" s="57" t="str">
        <f t="shared" si="18"/>
        <v>No Aplica</v>
      </c>
      <c r="AP13" s="62">
        <f>VLOOKUP($AC13,Responsables[],3,0)</f>
        <v>4</v>
      </c>
      <c r="AQ13" s="62">
        <f>VLOOKUP($R13,unidad_medida[[#All],[nombre]:[Columna1]],5,0)</f>
        <v>74</v>
      </c>
    </row>
    <row r="14" spans="1:43" ht="33.75" x14ac:dyDescent="0.25">
      <c r="A14" s="48" t="str">
        <f>+D14&amp;"|FILT:"&amp;E14&amp;"| MUES: "&amp;G14&amp;"|"&amp;F14&amp;"|"&amp;H14</f>
        <v>GR 11|FILT:Nacional| MUES: Trimestre|Casos|Sexo</v>
      </c>
      <c r="B14" s="68" t="s">
        <v>13797</v>
      </c>
      <c r="C14" s="39">
        <v>1</v>
      </c>
      <c r="D14" s="42" t="s">
        <v>13787</v>
      </c>
      <c r="E14" s="47" t="s">
        <v>13777</v>
      </c>
      <c r="F14" s="43" t="s">
        <v>9334</v>
      </c>
      <c r="G14" s="47" t="s">
        <v>8469</v>
      </c>
      <c r="H14" s="43" t="s">
        <v>13775</v>
      </c>
      <c r="I14" s="38"/>
      <c r="J14" t="str">
        <f>J11</f>
        <v>Chile</v>
      </c>
      <c r="K14" s="49"/>
      <c r="L14" s="49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3" t="str">
        <f t="shared" si="27"/>
        <v>Casos de  Violencia Intrafamiliar a nivel nacional</v>
      </c>
      <c r="U14" s="64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7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0">
        <f t="shared" ref="AA14:AF14" si="30">+AA13</f>
        <v>44369</v>
      </c>
      <c r="AB14" s="57" t="str">
        <f t="shared" si="30"/>
        <v>Español</v>
      </c>
      <c r="AC14" s="57" t="str">
        <f t="shared" si="30"/>
        <v>Fer</v>
      </c>
      <c r="AD14" s="57" t="str">
        <f t="shared" si="30"/>
        <v>No Aplica</v>
      </c>
      <c r="AE14" s="57" t="str">
        <f t="shared" si="30"/>
        <v>No Aplica</v>
      </c>
      <c r="AF14" s="57" t="str">
        <f t="shared" si="30"/>
        <v>No Aplica</v>
      </c>
      <c r="AG14" s="61">
        <f>+VLOOKUP($P14,Parametros[[nombre]:[Columna1]],5,0)</f>
        <v>11</v>
      </c>
      <c r="AH14" s="61">
        <f t="shared" si="14"/>
        <v>1</v>
      </c>
      <c r="AI14" s="61">
        <f>+VLOOKUP($N14,Territorio[[nombre]:[Columna1]],7,0)</f>
        <v>38</v>
      </c>
      <c r="AJ14" s="61">
        <f>+VLOOKUP(O14,Temporalidad[[nombre]:[Columna1]],7,0)</f>
        <v>1778</v>
      </c>
      <c r="AK14" s="61">
        <f>+VLOOKUP(LEFT($D14,2),Tipo_Gráfico[[id2]:[Tipo Gráfico]],3,0)</f>
        <v>1</v>
      </c>
      <c r="AL14" s="36" t="str">
        <f t="shared" si="15"/>
        <v>Fiscalia de Chile</v>
      </c>
      <c r="AM14" s="57" t="str">
        <f t="shared" si="16"/>
        <v>No Aplica</v>
      </c>
      <c r="AN14" s="57" t="str">
        <f t="shared" si="17"/>
        <v>No Aplica</v>
      </c>
      <c r="AO14" s="57" t="str">
        <f t="shared" si="18"/>
        <v>No Aplica</v>
      </c>
      <c r="AP14" s="62">
        <f>VLOOKUP($AC14,Responsables[],3,0)</f>
        <v>4</v>
      </c>
      <c r="AQ14" s="62">
        <f>VLOOKUP($R14,unidad_medida[[#All],[nombre]:[Columna1]],5,0)</f>
        <v>74</v>
      </c>
    </row>
    <row r="15" spans="1:43" ht="33.75" x14ac:dyDescent="0.25">
      <c r="A15" s="48" t="str">
        <f t="shared" si="5"/>
        <v>GR 12|FILT:Nacional| MUES: Trimestre|Casos|Edad</v>
      </c>
      <c r="B15" s="68" t="s">
        <v>13798</v>
      </c>
      <c r="C15" s="39">
        <v>1</v>
      </c>
      <c r="D15" s="40" t="s">
        <v>13788</v>
      </c>
      <c r="E15" s="47" t="s">
        <v>13777</v>
      </c>
      <c r="F15" s="43" t="s">
        <v>9334</v>
      </c>
      <c r="G15" s="47" t="s">
        <v>8469</v>
      </c>
      <c r="H15" s="43" t="s">
        <v>13776</v>
      </c>
      <c r="I15" s="38"/>
      <c r="J15" t="str">
        <f>J14</f>
        <v>Chile</v>
      </c>
      <c r="K15" s="49"/>
      <c r="L15" s="49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3" t="str">
        <f t="shared" si="27"/>
        <v>Casos de  Violencia Intrafamiliar a nivel nacional</v>
      </c>
      <c r="U15" s="64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7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0">
        <f t="shared" ref="AA15:AF16" si="31">+AA14</f>
        <v>44369</v>
      </c>
      <c r="AB15" s="57" t="str">
        <f t="shared" si="31"/>
        <v>Español</v>
      </c>
      <c r="AC15" s="57" t="str">
        <f t="shared" si="31"/>
        <v>Fer</v>
      </c>
      <c r="AD15" s="57" t="str">
        <f t="shared" si="31"/>
        <v>No Aplica</v>
      </c>
      <c r="AE15" s="57" t="str">
        <f t="shared" si="31"/>
        <v>No Aplica</v>
      </c>
      <c r="AF15" s="57" t="str">
        <f t="shared" si="31"/>
        <v>No Aplica</v>
      </c>
      <c r="AG15" s="61">
        <f>+VLOOKUP($P15,Parametros[[nombre]:[Columna1]],5,0)</f>
        <v>11</v>
      </c>
      <c r="AH15" s="61">
        <f t="shared" si="14"/>
        <v>1</v>
      </c>
      <c r="AI15" s="61">
        <f>+VLOOKUP($N15,Territorio[[nombre]:[Columna1]],7,0)</f>
        <v>38</v>
      </c>
      <c r="AJ15" s="61">
        <f>+VLOOKUP(O15,Temporalidad[[nombre]:[Columna1]],7,0)</f>
        <v>1778</v>
      </c>
      <c r="AK15" s="61">
        <f>+VLOOKUP(LEFT($D15,2),Tipo_Gráfico[[id2]:[Tipo Gráfico]],3,0)</f>
        <v>1</v>
      </c>
      <c r="AL15" s="36" t="str">
        <f t="shared" si="15"/>
        <v>Fiscalia de Chile</v>
      </c>
      <c r="AM15" s="57" t="str">
        <f t="shared" si="16"/>
        <v>No Aplica</v>
      </c>
      <c r="AN15" s="57" t="str">
        <f t="shared" si="17"/>
        <v>No Aplica</v>
      </c>
      <c r="AO15" s="57" t="str">
        <f t="shared" si="18"/>
        <v>No Aplica</v>
      </c>
      <c r="AP15" s="62">
        <f>VLOOKUP($AC15,Responsables[],3,0)</f>
        <v>4</v>
      </c>
      <c r="AQ15" s="62">
        <f>VLOOKUP($R15,unidad_medida[[#All],[nombre]:[Columna1]],5,0)</f>
        <v>74</v>
      </c>
    </row>
    <row r="16" spans="1:43" ht="33.75" x14ac:dyDescent="0.25">
      <c r="A16" s="48" t="str">
        <f t="shared" si="5"/>
        <v>GR 13|FILT:Nacional| MUES: Región|Casos|</v>
      </c>
      <c r="B16" s="68" t="s">
        <v>13820</v>
      </c>
      <c r="C16" s="39">
        <v>1</v>
      </c>
      <c r="D16" s="42" t="s">
        <v>13819</v>
      </c>
      <c r="E16" s="47" t="s">
        <v>13777</v>
      </c>
      <c r="F16" s="43" t="s">
        <v>9334</v>
      </c>
      <c r="G16" s="47" t="s">
        <v>755</v>
      </c>
      <c r="H16" s="43"/>
      <c r="I16" s="41"/>
      <c r="J16" t="str">
        <f>J15</f>
        <v>Chile</v>
      </c>
      <c r="K16" s="49"/>
      <c r="L16" s="49"/>
      <c r="M16" s="37" t="str">
        <f>"Cantidad de Casos de Violencia Intrafamiliar a nivel nacional por región según datos recopilados el "&amp;O16</f>
        <v>Cantidad de Casos de Violencia Intrafamiliar a nivel nacional por región según datos recopilados el Periodo 2019-2021</v>
      </c>
      <c r="N16" s="36" t="str">
        <f t="shared" ref="N16:N18" si="32">IF(E16="Región",J16,IF(E16="Comuna",J16,"Chile"))</f>
        <v>Chile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3" t="str">
        <f t="shared" si="27"/>
        <v>Casos de  Violencia Intrafamiliar a nivel nacional</v>
      </c>
      <c r="U16" s="64" t="str">
        <f t="shared" ref="U16" si="33">+E16&amp;": "&amp;J16</f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https://analytics.zoho.com/open-view/2395394000007327790</v>
      </c>
      <c r="X16" s="57" t="str">
        <f t="shared" si="12"/>
        <v>CHL</v>
      </c>
      <c r="Y16" s="21" t="s">
        <v>13375</v>
      </c>
      <c r="Z16" s="36" t="str">
        <f>"Gráfico que muestra la cantidad de casos de Violencia Intrafamiliar a nivel nacional según la región, presentados frente a la Fiscalía de Chile durante el "&amp;O16&amp;" ."</f>
        <v>Gráfico que muestra la cantidad de casos de Violencia Intrafamiliar a nivel nacional según la región, presentados frente a la Fiscalía de Chile durante el Periodo 2019-2021 .</v>
      </c>
      <c r="AA16" s="60">
        <f t="shared" si="31"/>
        <v>44369</v>
      </c>
      <c r="AB16" s="57" t="str">
        <f t="shared" si="31"/>
        <v>Español</v>
      </c>
      <c r="AC16" s="57" t="str">
        <f t="shared" si="31"/>
        <v>Fer</v>
      </c>
      <c r="AD16" s="57" t="str">
        <f t="shared" si="31"/>
        <v>No Aplica</v>
      </c>
      <c r="AE16" s="57" t="str">
        <f t="shared" si="31"/>
        <v>No Aplica</v>
      </c>
      <c r="AF16" s="57" t="str">
        <f t="shared" si="31"/>
        <v>No Aplica</v>
      </c>
      <c r="AG16" s="61">
        <f>+VLOOKUP($P16,Parametros[[nombre]:[Columna1]],5,0)</f>
        <v>11</v>
      </c>
      <c r="AH16" s="61">
        <f t="shared" si="14"/>
        <v>1</v>
      </c>
      <c r="AI16" s="61">
        <f>+VLOOKUP($N16,Territorio[[nombre]:[Columna1]],7,0)</f>
        <v>38</v>
      </c>
      <c r="AJ16" s="61">
        <f>+VLOOKUP(O16,Temporalidad[[nombre]:[Columna1]],7,0)</f>
        <v>1778</v>
      </c>
      <c r="AK16" s="61">
        <f>+VLOOKUP(LEFT($D16,2),Tipo_Gráfico[[id2]:[Tipo Gráfico]],3,0)</f>
        <v>1</v>
      </c>
      <c r="AL16" s="36" t="str">
        <f t="shared" si="15"/>
        <v>Fiscalia de Chile</v>
      </c>
      <c r="AM16" s="57" t="str">
        <f t="shared" si="16"/>
        <v>No Aplica</v>
      </c>
      <c r="AN16" s="57" t="str">
        <f t="shared" si="17"/>
        <v>No Aplica</v>
      </c>
      <c r="AO16" s="57" t="str">
        <f t="shared" si="18"/>
        <v>No Aplica</v>
      </c>
      <c r="AP16" s="62">
        <f>VLOOKUP($AC16,Responsables[],3,0)</f>
        <v>4</v>
      </c>
      <c r="AQ16" s="62">
        <f>VLOOKUP($R16,unidad_medida[[#All],[nombre]:[Columna1]],5,0)</f>
        <v>74</v>
      </c>
    </row>
    <row r="17" spans="1:43" ht="33.75" x14ac:dyDescent="0.25">
      <c r="A17" s="48" t="str">
        <f t="shared" ref="A17:A18" si="34">+D17&amp;"|FILT:"&amp;E17&amp;"| MUES: "&amp;G17&amp;"|"&amp;F17&amp;"|"&amp;H17</f>
        <v>II 01|FILT:Región| MUES: Todo|Casos|</v>
      </c>
      <c r="B17" s="68" t="s">
        <v>13821</v>
      </c>
      <c r="C17" s="39">
        <v>16</v>
      </c>
      <c r="D17" s="42" t="s">
        <v>13721</v>
      </c>
      <c r="E17" s="47" t="s">
        <v>755</v>
      </c>
      <c r="F17" s="43" t="s">
        <v>9334</v>
      </c>
      <c r="G17" s="47" t="s">
        <v>13818</v>
      </c>
      <c r="H17" s="43"/>
      <c r="I17" s="43"/>
      <c r="J17" t="str">
        <f>J13</f>
        <v>O'Higgins</v>
      </c>
      <c r="K17" s="49" t="str">
        <f>"Casos de Violencia Intrafamilia presentados a fiscalía por región || "&amp;O17</f>
        <v>Casos de Violencia Intrafamilia presentados a fiscalía por región || Periodo 2019-2021</v>
      </c>
      <c r="L17" s="49" t="str">
        <f>"Casos de Violencia Intrafamilia presentados a fiscalía en la región "&amp;J17&amp;" || "&amp;P17</f>
        <v>Casos de Violencia Intrafamilia presentados a fiscalía en la región O'Higgins || Casos</v>
      </c>
      <c r="M17" s="37" t="str">
        <f>"Cantidad de Casos de Violencia Intrafamiliar en la región de "&amp;J17&amp;" por sexo y edad de la víctima según datos recopilados el "&amp;O17</f>
        <v>Cantidad de Casos de Violencia Intrafamiliar en la región de O'Higgins por sexo y edad de la víctima según datos recopilados el Periodo 2019-2021</v>
      </c>
      <c r="N17" s="36" t="str">
        <f t="shared" si="32"/>
        <v>O'Higgins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3" t="str">
        <f t="shared" si="27"/>
        <v>Casos de  Violencia Intrafamiliar a nivel nacional</v>
      </c>
      <c r="U17" s="64" t="str">
        <f t="shared" si="3"/>
        <v>Región: O'Higgins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https://analytics.zoho.com/open-view/2395394000007327564?ZOHO_CRITERIA=%22Trasposicion_27.4%22.%22Cod_Regi%C3%B3n%22%3D13</v>
      </c>
      <c r="X17" s="57" t="str">
        <f t="shared" si="12"/>
        <v>CHL</v>
      </c>
      <c r="Y17" s="21" t="s">
        <v>13375</v>
      </c>
      <c r="Z17" s="36" t="str">
        <f>"Informe Interactivo que muestra la cantidad de casos de Violencia Intrafamiliar en la región "&amp;N17&amp;", según la edad y sexo de la víctima presentados frente a la Fiscalía de Chile durante el "&amp;O17&amp;" ."</f>
        <v>Informe Interactivo que muestra la cantidad de casos de Violencia Intrafamiliar en la región O'Higgins, según la edad y sexo de la víctima presentados frente a la Fiscalía de Chile durante el Periodo 2019-2021 .</v>
      </c>
      <c r="AA17" s="60">
        <f t="shared" ref="AA17:AF17" si="35">+AA16</f>
        <v>44369</v>
      </c>
      <c r="AB17" s="57" t="str">
        <f t="shared" si="35"/>
        <v>Español</v>
      </c>
      <c r="AC17" s="57" t="str">
        <f t="shared" si="35"/>
        <v>Fer</v>
      </c>
      <c r="AD17" s="57" t="str">
        <f t="shared" si="35"/>
        <v>No Aplica</v>
      </c>
      <c r="AE17" s="57" t="str">
        <f t="shared" si="35"/>
        <v>No Aplica</v>
      </c>
      <c r="AF17" s="57" t="str">
        <f t="shared" si="35"/>
        <v>No Aplica</v>
      </c>
      <c r="AG17" s="61">
        <f>+VLOOKUP($P17,Parametros[[nombre]:[Columna1]],5,0)</f>
        <v>11</v>
      </c>
      <c r="AH17" s="61">
        <f>AH15</f>
        <v>1</v>
      </c>
      <c r="AI17" s="61">
        <f>+VLOOKUP($N17,Territorio[[nombre]:[Columna1]],7,0)</f>
        <v>585</v>
      </c>
      <c r="AJ17" s="61">
        <f>+VLOOKUP(O17,Temporalidad[[nombre]:[Columna1]],7,0)</f>
        <v>1778</v>
      </c>
      <c r="AK17" s="61">
        <f>+VLOOKUP(LEFT($D17,2),Tipo_Gráfico[[id2]:[Tipo Gráfico]],3,0)</f>
        <v>3</v>
      </c>
      <c r="AL17" s="36" t="str">
        <f t="shared" si="15"/>
        <v>Fiscalia de Chile</v>
      </c>
      <c r="AM17" s="57" t="str">
        <f t="shared" si="16"/>
        <v>No Aplica</v>
      </c>
      <c r="AN17" s="57" t="str">
        <f t="shared" si="17"/>
        <v>No Aplica</v>
      </c>
      <c r="AO17" s="57" t="str">
        <f t="shared" si="18"/>
        <v>No Aplica</v>
      </c>
      <c r="AP17" s="62">
        <f>VLOOKUP($AC17,Responsables[],3,0)</f>
        <v>4</v>
      </c>
      <c r="AQ17" s="62">
        <f>VLOOKUP($R17,unidad_medida[[#All],[nombre]:[Columna1]],5,0)</f>
        <v>74</v>
      </c>
    </row>
    <row r="18" spans="1:43" ht="33.75" x14ac:dyDescent="0.25">
      <c r="A18" s="48" t="str">
        <f t="shared" si="34"/>
        <v>R360|FILT:Nacional| MUES: Todo|Casos|</v>
      </c>
      <c r="B18" s="68" t="s">
        <v>13822</v>
      </c>
      <c r="C18" s="39">
        <v>1</v>
      </c>
      <c r="D18" s="42" t="s">
        <v>34</v>
      </c>
      <c r="E18" s="47" t="s">
        <v>13777</v>
      </c>
      <c r="F18" s="43" t="s">
        <v>9334</v>
      </c>
      <c r="G18" s="47" t="s">
        <v>13818</v>
      </c>
      <c r="H18" s="43"/>
      <c r="I18" s="43"/>
      <c r="J18" t="str">
        <f>J15</f>
        <v>Chile</v>
      </c>
      <c r="K18" s="49" t="str">
        <f>"Casos de Violencia Intrafamilia presentados a fiscalía nacional || "&amp;O18</f>
        <v>Casos de Violencia Intrafamilia presentados a fiscalía nacional || Periodo 2019-2021</v>
      </c>
      <c r="L18" s="49" t="str">
        <f>"Casos de Violencia Intrafamilia presentados a fiscalía nacional || "&amp;P18</f>
        <v>Casos de Violencia Intrafamilia presentados a fiscalía nacional || Casos</v>
      </c>
      <c r="M18" s="37" t="str">
        <f>"Cantidad de Casos de Violencia Intrafamiliar a nivel nacional por región, sector, sexo y edad de la víctima, según datos recopilados el "&amp;O18</f>
        <v>Cantidad de Casos de Violencia Intrafamiliar a nivel nacional por región, sector, sexo y edad de la víctima, según datos recopilados el Periodo 2019-2021</v>
      </c>
      <c r="N18" s="36" t="str">
        <f t="shared" si="32"/>
        <v>Chile</v>
      </c>
      <c r="O18" s="21" t="str">
        <f t="shared" si="6"/>
        <v>Periodo 2019-2021</v>
      </c>
      <c r="P18" s="21" t="str">
        <f t="shared" si="7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8"/>
        <v>víctimas</v>
      </c>
      <c r="S18" s="36" t="s">
        <v>13780</v>
      </c>
      <c r="T18" s="63" t="str">
        <f t="shared" ref="T18" si="36">+S18</f>
        <v>Casos de  Violencia Intrafamiliar a nivel nacional</v>
      </c>
      <c r="U18" s="64" t="str">
        <f t="shared" si="3"/>
        <v>Nacional: Chile</v>
      </c>
      <c r="V18" s="36" t="str">
        <f t="shared" si="10"/>
        <v>Delitos, Género, Violencia, mujer, mujeres, casos, víctimas, intrafamiliar, familiar, fisica, fiscalía</v>
      </c>
      <c r="W18" s="22" t="str">
        <f t="shared" si="28"/>
        <v>https://analytics.zoho.com/open-view/2395394000007334023</v>
      </c>
      <c r="X18" s="57" t="str">
        <f t="shared" si="12"/>
        <v>CHL</v>
      </c>
      <c r="Y18" s="21" t="s">
        <v>13375</v>
      </c>
      <c r="Z18" s="36" t="str">
        <f>"Reporte 360 que muestra la cantidad de casos de Violencia Intrafamiliar a nivel nacional según la región y sector en que se cometió el delito y sexo y edad de la víctima, presentados frente a la Fiscalía de Chile durante el "&amp;O18&amp;" ."</f>
        <v>Reporte 360 que muestra la cantidad de casos de Violencia Intrafamiliar a nivel nacional según la región y sector en que se cometió el delito y sexo y edad de la víctima, presentados frente a la Fiscalía de Chile durante el Periodo 2019-2021 .</v>
      </c>
      <c r="AA18" s="60">
        <f t="shared" ref="AA18:AF18" si="37">+AA17</f>
        <v>44369</v>
      </c>
      <c r="AB18" s="57" t="str">
        <f t="shared" si="37"/>
        <v>Español</v>
      </c>
      <c r="AC18" s="57" t="str">
        <f t="shared" si="37"/>
        <v>Fer</v>
      </c>
      <c r="AD18" s="57" t="str">
        <f t="shared" si="37"/>
        <v>No Aplica</v>
      </c>
      <c r="AE18" s="57" t="str">
        <f t="shared" si="37"/>
        <v>No Aplica</v>
      </c>
      <c r="AF18" s="57" t="str">
        <f t="shared" si="37"/>
        <v>No Aplica</v>
      </c>
      <c r="AG18" s="61">
        <f>+VLOOKUP($P18,Parametros[[nombre]:[Columna1]],5,0)</f>
        <v>11</v>
      </c>
      <c r="AH18" s="61">
        <f t="shared" si="14"/>
        <v>1</v>
      </c>
      <c r="AI18" s="61">
        <f>+VLOOKUP($N18,Territorio[[nombre]:[Columna1]],7,0)</f>
        <v>38</v>
      </c>
      <c r="AJ18" s="61">
        <f>+VLOOKUP(O18,Temporalidad[[nombre]:[Columna1]],7,0)</f>
        <v>1778</v>
      </c>
      <c r="AK18" s="61">
        <v>4</v>
      </c>
      <c r="AL18" s="36" t="str">
        <f t="shared" si="15"/>
        <v>Fiscalia de Chile</v>
      </c>
      <c r="AM18" s="57" t="str">
        <f t="shared" si="16"/>
        <v>No Aplica</v>
      </c>
      <c r="AN18" s="57" t="str">
        <f t="shared" si="17"/>
        <v>No Aplica</v>
      </c>
      <c r="AO18" s="57" t="str">
        <f t="shared" si="18"/>
        <v>No Aplica</v>
      </c>
      <c r="AP18" s="62">
        <f>VLOOKUP($AC18,Responsables[],3,0)</f>
        <v>4</v>
      </c>
      <c r="AQ18" s="62">
        <f>VLOOKUP($R18,unidad_medida[[#All],[nombre]:[Columna1]],5,0)</f>
        <v>74</v>
      </c>
    </row>
    <row r="33" spans="6:6" x14ac:dyDescent="0.25">
      <c r="F33" s="3"/>
    </row>
    <row r="34" spans="6:6" x14ac:dyDescent="0.25">
      <c r="F34"/>
    </row>
    <row r="35" spans="6:6" x14ac:dyDescent="0.25">
      <c r="F35" s="3"/>
    </row>
    <row r="36" spans="6:6" x14ac:dyDescent="0.25">
      <c r="F36"/>
    </row>
    <row r="37" spans="6:6" x14ac:dyDescent="0.25">
      <c r="F37" s="3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phoneticPr fontId="9" type="noConversion"/>
  <conditionalFormatting sqref="V4:W4 M4:T4 AL5:AL15 Y4:Z15 M5:W15 S17:U18 N16:R18 W17:W18 V17 AL17 M17 Y17:Z17 Y18">
    <cfRule type="expression" dxfId="264" priority="14959">
      <formula>$Z4="Reporte 2"</formula>
    </cfRule>
    <cfRule type="expression" dxfId="263" priority="14960">
      <formula>$Z4="Reporte 1"</formula>
    </cfRule>
    <cfRule type="expression" dxfId="262" priority="14961">
      <formula>$Z4="Informe 10"</formula>
    </cfRule>
    <cfRule type="expression" dxfId="261" priority="14962">
      <formula>$Z4="Informe 9"</formula>
    </cfRule>
    <cfRule type="expression" dxfId="260" priority="14963">
      <formula>$Z4="Informe 8"</formula>
    </cfRule>
    <cfRule type="expression" dxfId="259" priority="14964">
      <formula>$Z4="Informe 7"</formula>
    </cfRule>
    <cfRule type="expression" dxfId="258" priority="14965">
      <formula>$Z4="Informe 6"</formula>
    </cfRule>
    <cfRule type="expression" dxfId="257" priority="14966">
      <formula>$Z4="Informe 5"</formula>
    </cfRule>
    <cfRule type="expression" dxfId="256" priority="14967">
      <formula>$Z4="Informe 4"</formula>
    </cfRule>
    <cfRule type="expression" dxfId="255" priority="14968">
      <formula>$Z4="Informe 3"</formula>
    </cfRule>
    <cfRule type="expression" dxfId="254" priority="14969">
      <formula>$Z4="Informe 2"</formula>
    </cfRule>
    <cfRule type="expression" dxfId="253" priority="14970">
      <formula>$Z4="Informe 1"</formula>
    </cfRule>
    <cfRule type="expression" dxfId="252" priority="14971">
      <formula>$Z4="Gráfico 10"</formula>
    </cfRule>
    <cfRule type="expression" dxfId="251" priority="14972">
      <formula>$Z4="Gráfico 25"</formula>
    </cfRule>
    <cfRule type="expression" dxfId="250" priority="14973">
      <formula>$Z4="Gráfico 24"</formula>
    </cfRule>
    <cfRule type="expression" dxfId="249" priority="14974">
      <formula>$Z4="Gráfico 23"</formula>
    </cfRule>
    <cfRule type="expression" dxfId="248" priority="14975">
      <formula>$Z4="Gráfico 22"</formula>
    </cfRule>
    <cfRule type="expression" dxfId="247" priority="14976">
      <formula>$Z4="Gráfico 21"</formula>
    </cfRule>
    <cfRule type="expression" dxfId="246" priority="14977">
      <formula>$Z4="Gráfico 20"</formula>
    </cfRule>
    <cfRule type="expression" dxfId="245" priority="14978">
      <formula>$Z4="Gráfico 18"</formula>
    </cfRule>
    <cfRule type="expression" dxfId="244" priority="14979">
      <formula>$Z4="Gráfico 19"</formula>
    </cfRule>
    <cfRule type="expression" dxfId="243" priority="14980">
      <formula>$Z4="Gráfico 17"</formula>
    </cfRule>
    <cfRule type="expression" dxfId="242" priority="14981">
      <formula>$Z4="Gráfico 16"</formula>
    </cfRule>
    <cfRule type="expression" dxfId="241" priority="14982">
      <formula>$Z4="Gráfico 15"</formula>
    </cfRule>
    <cfRule type="expression" dxfId="240" priority="14983">
      <formula>$Z4="Gráfico 14"</formula>
    </cfRule>
    <cfRule type="expression" dxfId="239" priority="14984">
      <formula>$Z4="Gráfico 12"</formula>
    </cfRule>
    <cfRule type="expression" dxfId="238" priority="14985">
      <formula>$Z4="Gráfico 13"</formula>
    </cfRule>
    <cfRule type="expression" dxfId="237" priority="14986">
      <formula>$Z4="Gráfico 11"</formula>
    </cfRule>
    <cfRule type="expression" dxfId="236" priority="14987">
      <formula>$Z4="Gráfico 9"</formula>
    </cfRule>
    <cfRule type="expression" dxfId="235" priority="14988">
      <formula>$Z4="Gráfico 8"</formula>
    </cfRule>
    <cfRule type="expression" dxfId="234" priority="14989">
      <formula>$Z4="Gráfico 7"</formula>
    </cfRule>
    <cfRule type="expression" dxfId="233" priority="14990">
      <formula>$Z4="Gráfico 6"</formula>
    </cfRule>
    <cfRule type="expression" dxfId="232" priority="14991">
      <formula>$Z4="Gráfico 4"</formula>
    </cfRule>
    <cfRule type="expression" dxfId="231" priority="14992">
      <formula>$Z4="Gráfico 3"</formula>
    </cfRule>
    <cfRule type="expression" dxfId="230" priority="14993">
      <formula>$Z4="Gráfico 2"</formula>
    </cfRule>
    <cfRule type="expression" dxfId="229" priority="14994">
      <formula>$Z4="Gráfico 1"</formula>
    </cfRule>
    <cfRule type="expression" dxfId="228" priority="14995">
      <formula>$Z4="Gráfico 5"</formula>
    </cfRule>
  </conditionalFormatting>
  <conditionalFormatting sqref="AL4">
    <cfRule type="expression" dxfId="227" priority="381">
      <formula>$Z4="Reporte 2"</formula>
    </cfRule>
    <cfRule type="expression" dxfId="226" priority="382">
      <formula>$Z4="Reporte 1"</formula>
    </cfRule>
    <cfRule type="expression" dxfId="225" priority="383">
      <formula>$Z4="Informe 10"</formula>
    </cfRule>
    <cfRule type="expression" dxfId="224" priority="384">
      <formula>$Z4="Informe 9"</formula>
    </cfRule>
    <cfRule type="expression" dxfId="223" priority="385">
      <formula>$Z4="Informe 8"</formula>
    </cfRule>
    <cfRule type="expression" dxfId="222" priority="386">
      <formula>$Z4="Informe 7"</formula>
    </cfRule>
    <cfRule type="expression" dxfId="221" priority="387">
      <formula>$Z4="Informe 6"</formula>
    </cfRule>
    <cfRule type="expression" dxfId="220" priority="388">
      <formula>$Z4="Informe 5"</formula>
    </cfRule>
    <cfRule type="expression" dxfId="219" priority="389">
      <formula>$Z4="Informe 4"</formula>
    </cfRule>
    <cfRule type="expression" dxfId="218" priority="390">
      <formula>$Z4="Informe 3"</formula>
    </cfRule>
    <cfRule type="expression" dxfId="217" priority="391">
      <formula>$Z4="Informe 2"</formula>
    </cfRule>
    <cfRule type="expression" dxfId="216" priority="392">
      <formula>$Z4="Informe 1"</formula>
    </cfRule>
    <cfRule type="expression" dxfId="215" priority="393">
      <formula>$Z4="Gráfico 10"</formula>
    </cfRule>
    <cfRule type="expression" dxfId="214" priority="394">
      <formula>$Z4="Gráfico 25"</formula>
    </cfRule>
    <cfRule type="expression" dxfId="213" priority="395">
      <formula>$Z4="Gráfico 24"</formula>
    </cfRule>
    <cfRule type="expression" dxfId="212" priority="396">
      <formula>$Z4="Gráfico 23"</formula>
    </cfRule>
    <cfRule type="expression" dxfId="211" priority="397">
      <formula>$Z4="Gráfico 22"</formula>
    </cfRule>
    <cfRule type="expression" dxfId="210" priority="398">
      <formula>$Z4="Gráfico 21"</formula>
    </cfRule>
    <cfRule type="expression" dxfId="209" priority="399">
      <formula>$Z4="Gráfico 20"</formula>
    </cfRule>
    <cfRule type="expression" dxfId="208" priority="400">
      <formula>$Z4="Gráfico 18"</formula>
    </cfRule>
    <cfRule type="expression" dxfId="207" priority="401">
      <formula>$Z4="Gráfico 19"</formula>
    </cfRule>
    <cfRule type="expression" dxfId="206" priority="402">
      <formula>$Z4="Gráfico 17"</formula>
    </cfRule>
    <cfRule type="expression" dxfId="205" priority="403">
      <formula>$Z4="Gráfico 16"</formula>
    </cfRule>
    <cfRule type="expression" dxfId="204" priority="404">
      <formula>$Z4="Gráfico 15"</formula>
    </cfRule>
    <cfRule type="expression" dxfId="203" priority="405">
      <formula>$Z4="Gráfico 14"</formula>
    </cfRule>
    <cfRule type="expression" dxfId="202" priority="406">
      <formula>$Z4="Gráfico 12"</formula>
    </cfRule>
    <cfRule type="expression" dxfId="201" priority="407">
      <formula>$Z4="Gráfico 13"</formula>
    </cfRule>
    <cfRule type="expression" dxfId="200" priority="408">
      <formula>$Z4="Gráfico 11"</formula>
    </cfRule>
    <cfRule type="expression" dxfId="199" priority="409">
      <formula>$Z4="Gráfico 9"</formula>
    </cfRule>
    <cfRule type="expression" dxfId="198" priority="410">
      <formula>$Z4="Gráfico 8"</formula>
    </cfRule>
    <cfRule type="expression" dxfId="197" priority="411">
      <formula>$Z4="Gráfico 7"</formula>
    </cfRule>
    <cfRule type="expression" dxfId="196" priority="412">
      <formula>$Z4="Gráfico 6"</formula>
    </cfRule>
    <cfRule type="expression" dxfId="195" priority="413">
      <formula>$Z4="Gráfico 4"</formula>
    </cfRule>
    <cfRule type="expression" dxfId="194" priority="414">
      <formula>$Z4="Gráfico 3"</formula>
    </cfRule>
    <cfRule type="expression" dxfId="193" priority="415">
      <formula>$Z4="Gráfico 2"</formula>
    </cfRule>
    <cfRule type="expression" dxfId="192" priority="416">
      <formula>$Z4="Gráfico 1"</formula>
    </cfRule>
    <cfRule type="expression" dxfId="191" priority="417">
      <formula>$Z4="Gráfico 5"</formula>
    </cfRule>
  </conditionalFormatting>
  <conditionalFormatting sqref="K4:K16">
    <cfRule type="expression" dxfId="190" priority="380">
      <formula>+LEFT(D4,2)="GR"</formula>
    </cfRule>
  </conditionalFormatting>
  <conditionalFormatting sqref="L4:L16">
    <cfRule type="expression" dxfId="189" priority="379">
      <formula>+LEFT(D4,2)="GR"</formula>
    </cfRule>
  </conditionalFormatting>
  <conditionalFormatting sqref="AL16 Y16:Z16 M16 S16:W16 V18 AL18">
    <cfRule type="expression" dxfId="188" priority="79">
      <formula>$Z16="Reporte 2"</formula>
    </cfRule>
    <cfRule type="expression" dxfId="187" priority="80">
      <formula>$Z16="Reporte 1"</formula>
    </cfRule>
    <cfRule type="expression" dxfId="186" priority="81">
      <formula>$Z16="Informe 10"</formula>
    </cfRule>
    <cfRule type="expression" dxfId="185" priority="82">
      <formula>$Z16="Informe 9"</formula>
    </cfRule>
    <cfRule type="expression" dxfId="184" priority="83">
      <formula>$Z16="Informe 8"</formula>
    </cfRule>
    <cfRule type="expression" dxfId="183" priority="84">
      <formula>$Z16="Informe 7"</formula>
    </cfRule>
    <cfRule type="expression" dxfId="182" priority="85">
      <formula>$Z16="Informe 6"</formula>
    </cfRule>
    <cfRule type="expression" dxfId="181" priority="86">
      <formula>$Z16="Informe 5"</formula>
    </cfRule>
    <cfRule type="expression" dxfId="180" priority="87">
      <formula>$Z16="Informe 4"</formula>
    </cfRule>
    <cfRule type="expression" dxfId="179" priority="88">
      <formula>$Z16="Informe 3"</formula>
    </cfRule>
    <cfRule type="expression" dxfId="178" priority="89">
      <formula>$Z16="Informe 2"</formula>
    </cfRule>
    <cfRule type="expression" dxfId="177" priority="90">
      <formula>$Z16="Informe 1"</formula>
    </cfRule>
    <cfRule type="expression" dxfId="176" priority="91">
      <formula>$Z16="Gráfico 10"</formula>
    </cfRule>
    <cfRule type="expression" dxfId="175" priority="92">
      <formula>$Z16="Gráfico 25"</formula>
    </cfRule>
    <cfRule type="expression" dxfId="174" priority="93">
      <formula>$Z16="Gráfico 24"</formula>
    </cfRule>
    <cfRule type="expression" dxfId="173" priority="94">
      <formula>$Z16="Gráfico 23"</formula>
    </cfRule>
    <cfRule type="expression" dxfId="172" priority="95">
      <formula>$Z16="Gráfico 22"</formula>
    </cfRule>
    <cfRule type="expression" dxfId="171" priority="96">
      <formula>$Z16="Gráfico 21"</formula>
    </cfRule>
    <cfRule type="expression" dxfId="170" priority="97">
      <formula>$Z16="Gráfico 20"</formula>
    </cfRule>
    <cfRule type="expression" dxfId="169" priority="98">
      <formula>$Z16="Gráfico 18"</formula>
    </cfRule>
    <cfRule type="expression" dxfId="168" priority="99">
      <formula>$Z16="Gráfico 19"</formula>
    </cfRule>
    <cfRule type="expression" dxfId="167" priority="100">
      <formula>$Z16="Gráfico 17"</formula>
    </cfRule>
    <cfRule type="expression" dxfId="166" priority="101">
      <formula>$Z16="Gráfico 16"</formula>
    </cfRule>
    <cfRule type="expression" dxfId="165" priority="102">
      <formula>$Z16="Gráfico 15"</formula>
    </cfRule>
    <cfRule type="expression" dxfId="164" priority="103">
      <formula>$Z16="Gráfico 14"</formula>
    </cfRule>
    <cfRule type="expression" dxfId="163" priority="104">
      <formula>$Z16="Gráfico 12"</formula>
    </cfRule>
    <cfRule type="expression" dxfId="162" priority="105">
      <formula>$Z16="Gráfico 13"</formula>
    </cfRule>
    <cfRule type="expression" dxfId="161" priority="106">
      <formula>$Z16="Gráfico 11"</formula>
    </cfRule>
    <cfRule type="expression" dxfId="160" priority="107">
      <formula>$Z16="Gráfico 9"</formula>
    </cfRule>
    <cfRule type="expression" dxfId="159" priority="108">
      <formula>$Z16="Gráfico 8"</formula>
    </cfRule>
    <cfRule type="expression" dxfId="158" priority="109">
      <formula>$Z16="Gráfico 7"</formula>
    </cfRule>
    <cfRule type="expression" dxfId="157" priority="110">
      <formula>$Z16="Gráfico 6"</formula>
    </cfRule>
    <cfRule type="expression" dxfId="156" priority="111">
      <formula>$Z16="Gráfico 4"</formula>
    </cfRule>
    <cfRule type="expression" dxfId="155" priority="112">
      <formula>$Z16="Gráfico 3"</formula>
    </cfRule>
    <cfRule type="expression" dxfId="154" priority="113">
      <formula>$Z16="Gráfico 2"</formula>
    </cfRule>
    <cfRule type="expression" dxfId="153" priority="114">
      <formula>$Z16="Gráfico 1"</formula>
    </cfRule>
    <cfRule type="expression" dxfId="152" priority="115">
      <formula>$Z16="Gráfico 5"</formula>
    </cfRule>
  </conditionalFormatting>
  <conditionalFormatting sqref="K17">
    <cfRule type="expression" dxfId="77" priority="78">
      <formula>+LEFT(D17,2)="GR"</formula>
    </cfRule>
  </conditionalFormatting>
  <conditionalFormatting sqref="L17">
    <cfRule type="expression" dxfId="76" priority="77">
      <formula>+LEFT(E17,2)="GR"</formula>
    </cfRule>
  </conditionalFormatting>
  <conditionalFormatting sqref="K18">
    <cfRule type="expression" dxfId="75" priority="76">
      <formula>+LEFT(D18,2)="GR"</formula>
    </cfRule>
  </conditionalFormatting>
  <conditionalFormatting sqref="L18">
    <cfRule type="expression" dxfId="74" priority="75">
      <formula>+LEFT(E18,2)="GR"</formula>
    </cfRule>
  </conditionalFormatting>
  <conditionalFormatting sqref="M18">
    <cfRule type="expression" dxfId="73" priority="38">
      <formula>$Z18="Reporte 2"</formula>
    </cfRule>
    <cfRule type="expression" dxfId="72" priority="39">
      <formula>$Z18="Reporte 1"</formula>
    </cfRule>
    <cfRule type="expression" dxfId="71" priority="40">
      <formula>$Z18="Informe 10"</formula>
    </cfRule>
    <cfRule type="expression" dxfId="70" priority="41">
      <formula>$Z18="Informe 9"</formula>
    </cfRule>
    <cfRule type="expression" dxfId="69" priority="42">
      <formula>$Z18="Informe 8"</formula>
    </cfRule>
    <cfRule type="expression" dxfId="68" priority="43">
      <formula>$Z18="Informe 7"</formula>
    </cfRule>
    <cfRule type="expression" dxfId="67" priority="44">
      <formula>$Z18="Informe 6"</formula>
    </cfRule>
    <cfRule type="expression" dxfId="66" priority="45">
      <formula>$Z18="Informe 5"</formula>
    </cfRule>
    <cfRule type="expression" dxfId="65" priority="46">
      <formula>$Z18="Informe 4"</formula>
    </cfRule>
    <cfRule type="expression" dxfId="64" priority="47">
      <formula>$Z18="Informe 3"</formula>
    </cfRule>
    <cfRule type="expression" dxfId="63" priority="48">
      <formula>$Z18="Informe 2"</formula>
    </cfRule>
    <cfRule type="expression" dxfId="62" priority="49">
      <formula>$Z18="Informe 1"</formula>
    </cfRule>
    <cfRule type="expression" dxfId="61" priority="50">
      <formula>$Z18="Gráfico 10"</formula>
    </cfRule>
    <cfRule type="expression" dxfId="60" priority="51">
      <formula>$Z18="Gráfico 25"</formula>
    </cfRule>
    <cfRule type="expression" dxfId="59" priority="52">
      <formula>$Z18="Gráfico 24"</formula>
    </cfRule>
    <cfRule type="expression" dxfId="58" priority="53">
      <formula>$Z18="Gráfico 23"</formula>
    </cfRule>
    <cfRule type="expression" dxfId="57" priority="54">
      <formula>$Z18="Gráfico 22"</formula>
    </cfRule>
    <cfRule type="expression" dxfId="56" priority="55">
      <formula>$Z18="Gráfico 21"</formula>
    </cfRule>
    <cfRule type="expression" dxfId="55" priority="56">
      <formula>$Z18="Gráfico 20"</formula>
    </cfRule>
    <cfRule type="expression" dxfId="54" priority="57">
      <formula>$Z18="Gráfico 18"</formula>
    </cfRule>
    <cfRule type="expression" dxfId="53" priority="58">
      <formula>$Z18="Gráfico 19"</formula>
    </cfRule>
    <cfRule type="expression" dxfId="52" priority="59">
      <formula>$Z18="Gráfico 17"</formula>
    </cfRule>
    <cfRule type="expression" dxfId="51" priority="60">
      <formula>$Z18="Gráfico 16"</formula>
    </cfRule>
    <cfRule type="expression" dxfId="50" priority="61">
      <formula>$Z18="Gráfico 15"</formula>
    </cfRule>
    <cfRule type="expression" dxfId="49" priority="62">
      <formula>$Z18="Gráfico 14"</formula>
    </cfRule>
    <cfRule type="expression" dxfId="48" priority="63">
      <formula>$Z18="Gráfico 12"</formula>
    </cfRule>
    <cfRule type="expression" dxfId="47" priority="64">
      <formula>$Z18="Gráfico 13"</formula>
    </cfRule>
    <cfRule type="expression" dxfId="46" priority="65">
      <formula>$Z18="Gráfico 11"</formula>
    </cfRule>
    <cfRule type="expression" dxfId="45" priority="66">
      <formula>$Z18="Gráfico 9"</formula>
    </cfRule>
    <cfRule type="expression" dxfId="44" priority="67">
      <formula>$Z18="Gráfico 8"</formula>
    </cfRule>
    <cfRule type="expression" dxfId="43" priority="68">
      <formula>$Z18="Gráfico 7"</formula>
    </cfRule>
    <cfRule type="expression" dxfId="42" priority="69">
      <formula>$Z18="Gráfico 6"</formula>
    </cfRule>
    <cfRule type="expression" dxfId="41" priority="70">
      <formula>$Z18="Gráfico 4"</formula>
    </cfRule>
    <cfRule type="expression" dxfId="40" priority="71">
      <formula>$Z18="Gráfico 3"</formula>
    </cfRule>
    <cfRule type="expression" dxfId="39" priority="72">
      <formula>$Z18="Gráfico 2"</formula>
    </cfRule>
    <cfRule type="expression" dxfId="38" priority="73">
      <formula>$Z18="Gráfico 1"</formula>
    </cfRule>
    <cfRule type="expression" dxfId="37" priority="74">
      <formula>$Z18="Gráfico 5"</formula>
    </cfRule>
  </conditionalFormatting>
  <conditionalFormatting sqref="Z18">
    <cfRule type="expression" dxfId="36" priority="1">
      <formula>$Z18="Reporte 2"</formula>
    </cfRule>
    <cfRule type="expression" dxfId="35" priority="2">
      <formula>$Z18="Reporte 1"</formula>
    </cfRule>
    <cfRule type="expression" dxfId="34" priority="3">
      <formula>$Z18="Informe 10"</formula>
    </cfRule>
    <cfRule type="expression" dxfId="33" priority="4">
      <formula>$Z18="Informe 9"</formula>
    </cfRule>
    <cfRule type="expression" dxfId="32" priority="5">
      <formula>$Z18="Informe 8"</formula>
    </cfRule>
    <cfRule type="expression" dxfId="31" priority="6">
      <formula>$Z18="Informe 7"</formula>
    </cfRule>
    <cfRule type="expression" dxfId="30" priority="7">
      <formula>$Z18="Informe 6"</formula>
    </cfRule>
    <cfRule type="expression" dxfId="29" priority="8">
      <formula>$Z18="Informe 5"</formula>
    </cfRule>
    <cfRule type="expression" dxfId="28" priority="9">
      <formula>$Z18="Informe 4"</formula>
    </cfRule>
    <cfRule type="expression" dxfId="27" priority="10">
      <formula>$Z18="Informe 3"</formula>
    </cfRule>
    <cfRule type="expression" dxfId="26" priority="11">
      <formula>$Z18="Informe 2"</formula>
    </cfRule>
    <cfRule type="expression" dxfId="25" priority="12">
      <formula>$Z18="Informe 1"</formula>
    </cfRule>
    <cfRule type="expression" dxfId="24" priority="13">
      <formula>$Z18="Gráfico 10"</formula>
    </cfRule>
    <cfRule type="expression" dxfId="23" priority="14">
      <formula>$Z18="Gráfico 25"</formula>
    </cfRule>
    <cfRule type="expression" dxfId="22" priority="15">
      <formula>$Z18="Gráfico 24"</formula>
    </cfRule>
    <cfRule type="expression" dxfId="21" priority="16">
      <formula>$Z18="Gráfico 23"</formula>
    </cfRule>
    <cfRule type="expression" dxfId="20" priority="17">
      <formula>$Z18="Gráfico 22"</formula>
    </cfRule>
    <cfRule type="expression" dxfId="19" priority="18">
      <formula>$Z18="Gráfico 21"</formula>
    </cfRule>
    <cfRule type="expression" dxfId="18" priority="19">
      <formula>$Z18="Gráfico 20"</formula>
    </cfRule>
    <cfRule type="expression" dxfId="17" priority="20">
      <formula>$Z18="Gráfico 18"</formula>
    </cfRule>
    <cfRule type="expression" dxfId="16" priority="21">
      <formula>$Z18="Gráfico 19"</formula>
    </cfRule>
    <cfRule type="expression" dxfId="15" priority="22">
      <formula>$Z18="Gráfico 17"</formula>
    </cfRule>
    <cfRule type="expression" dxfId="14" priority="23">
      <formula>$Z18="Gráfico 16"</formula>
    </cfRule>
    <cfRule type="expression" dxfId="13" priority="24">
      <formula>$Z18="Gráfico 15"</formula>
    </cfRule>
    <cfRule type="expression" dxfId="12" priority="25">
      <formula>$Z18="Gráfico 14"</formula>
    </cfRule>
    <cfRule type="expression" dxfId="11" priority="26">
      <formula>$Z18="Gráfico 12"</formula>
    </cfRule>
    <cfRule type="expression" dxfId="10" priority="27">
      <formula>$Z18="Gráfico 13"</formula>
    </cfRule>
    <cfRule type="expression" dxfId="9" priority="28">
      <formula>$Z18="Gráfico 11"</formula>
    </cfRule>
    <cfRule type="expression" dxfId="8" priority="29">
      <formula>$Z18="Gráfico 9"</formula>
    </cfRule>
    <cfRule type="expression" dxfId="7" priority="30">
      <formula>$Z18="Gráfico 8"</formula>
    </cfRule>
    <cfRule type="expression" dxfId="6" priority="31">
      <formula>$Z18="Gráfico 7"</formula>
    </cfRule>
    <cfRule type="expression" dxfId="5" priority="32">
      <formula>$Z18="Gráfico 6"</formula>
    </cfRule>
    <cfRule type="expression" dxfId="4" priority="33">
      <formula>$Z18="Gráfico 4"</formula>
    </cfRule>
    <cfRule type="expression" dxfId="3" priority="34">
      <formula>$Z18="Gráfico 3"</formula>
    </cfRule>
    <cfRule type="expression" dxfId="2" priority="35">
      <formula>$Z18="Gráfico 2"</formula>
    </cfRule>
    <cfRule type="expression" dxfId="1" priority="36">
      <formula>$Z18="Gráfico 1"</formula>
    </cfRule>
    <cfRule type="expression" dxfId="0" priority="37">
      <formula>$Z18="Gráfico 5"</formula>
    </cfRule>
  </conditionalFormatting>
  <pageMargins left="0.7" right="0.7" top="0.75" bottom="0.75" header="0.3" footer="0.3"/>
  <ignoredErrors>
    <ignoredError sqref="M1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T1" sqref="T1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6"/>
      <c r="B3" s="87"/>
      <c r="C3" s="88"/>
    </row>
    <row r="4" spans="1:3" x14ac:dyDescent="0.25">
      <c r="A4" s="89"/>
      <c r="B4" s="90"/>
      <c r="C4" s="91"/>
    </row>
    <row r="5" spans="1:3" x14ac:dyDescent="0.25">
      <c r="A5" s="89"/>
      <c r="B5" s="90"/>
      <c r="C5" s="91"/>
    </row>
    <row r="6" spans="1:3" x14ac:dyDescent="0.25">
      <c r="A6" s="89"/>
      <c r="B6" s="90"/>
      <c r="C6" s="91"/>
    </row>
    <row r="7" spans="1:3" x14ac:dyDescent="0.25">
      <c r="A7" s="89"/>
      <c r="B7" s="90"/>
      <c r="C7" s="91"/>
    </row>
    <row r="8" spans="1:3" x14ac:dyDescent="0.25">
      <c r="A8" s="89"/>
      <c r="B8" s="90"/>
      <c r="C8" s="91"/>
    </row>
    <row r="9" spans="1:3" x14ac:dyDescent="0.25">
      <c r="A9" s="89"/>
      <c r="B9" s="90"/>
      <c r="C9" s="91"/>
    </row>
    <row r="10" spans="1:3" x14ac:dyDescent="0.25">
      <c r="A10" s="89"/>
      <c r="B10" s="90"/>
      <c r="C10" s="91"/>
    </row>
    <row r="11" spans="1:3" x14ac:dyDescent="0.25">
      <c r="A11" s="89"/>
      <c r="B11" s="90"/>
      <c r="C11" s="91"/>
    </row>
    <row r="12" spans="1:3" x14ac:dyDescent="0.25">
      <c r="A12" s="89"/>
      <c r="B12" s="90"/>
      <c r="C12" s="91"/>
    </row>
    <row r="13" spans="1:3" x14ac:dyDescent="0.25">
      <c r="A13" s="89"/>
      <c r="B13" s="90"/>
      <c r="C13" s="91"/>
    </row>
    <row r="14" spans="1:3" x14ac:dyDescent="0.25">
      <c r="A14" s="89"/>
      <c r="B14" s="90"/>
      <c r="C14" s="91"/>
    </row>
    <row r="15" spans="1:3" x14ac:dyDescent="0.25">
      <c r="A15" s="89"/>
      <c r="B15" s="90"/>
      <c r="C15" s="91"/>
    </row>
    <row r="16" spans="1:3" x14ac:dyDescent="0.25">
      <c r="A16" s="89"/>
      <c r="B16" s="90"/>
      <c r="C16" s="91"/>
    </row>
    <row r="17" spans="1:3" x14ac:dyDescent="0.25">
      <c r="A17" s="89"/>
      <c r="B17" s="90"/>
      <c r="C17" s="91"/>
    </row>
    <row r="18" spans="1:3" x14ac:dyDescent="0.25">
      <c r="A18" s="89"/>
      <c r="B18" s="90"/>
      <c r="C18" s="91"/>
    </row>
    <row r="19" spans="1:3" x14ac:dyDescent="0.25">
      <c r="A19" s="89"/>
      <c r="B19" s="90"/>
      <c r="C19" s="91"/>
    </row>
    <row r="20" spans="1:3" x14ac:dyDescent="0.25">
      <c r="A20" s="92"/>
      <c r="B20" s="93"/>
      <c r="C20" s="9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6" t="s">
        <v>13773</v>
      </c>
      <c r="B1" s="77" t="s">
        <v>13753</v>
      </c>
    </row>
    <row r="2" spans="1:2" x14ac:dyDescent="0.25">
      <c r="A2" s="72">
        <v>1</v>
      </c>
      <c r="B2" s="74" t="s">
        <v>13764</v>
      </c>
    </row>
    <row r="3" spans="1:2" x14ac:dyDescent="0.25">
      <c r="A3" s="72">
        <v>2</v>
      </c>
      <c r="B3" s="74" t="s">
        <v>13768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8" t="s">
        <v>13774</v>
      </c>
      <c r="B1" s="79" t="s">
        <v>13754</v>
      </c>
    </row>
    <row r="2" spans="1:2" x14ac:dyDescent="0.25">
      <c r="A2" s="72">
        <v>1</v>
      </c>
      <c r="B2" s="74" t="s">
        <v>13765</v>
      </c>
    </row>
    <row r="3" spans="1:2" x14ac:dyDescent="0.25">
      <c r="A3" s="72">
        <v>2</v>
      </c>
      <c r="B3" s="74" t="s">
        <v>13766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0" t="s">
        <v>9441</v>
      </c>
      <c r="B1" s="81" t="s">
        <v>9442</v>
      </c>
    </row>
    <row r="2" spans="1:2" x14ac:dyDescent="0.25">
      <c r="A2" s="72">
        <v>270104</v>
      </c>
      <c r="B2" s="74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2" t="s">
        <v>9443</v>
      </c>
      <c r="B1" s="83" t="s">
        <v>9445</v>
      </c>
    </row>
    <row r="2" spans="1:2" x14ac:dyDescent="0.25">
      <c r="A2" s="72">
        <v>270104001</v>
      </c>
      <c r="B2" s="73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T3" sqref="T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2021-06-23T14:26:57Z</dcterms:modified>
</cp:coreProperties>
</file>