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mo/Desktop/"/>
    </mc:Choice>
  </mc:AlternateContent>
  <xr:revisionPtr revIDLastSave="6" documentId="13_ncr:1_{26F82A03-6358-4F42-97F7-6F160A01BDF6}" xr6:coauthVersionLast="43" xr6:coauthVersionMax="43" xr10:uidLastSave="{E0E25D34-8C4F-4EF3-9FB5-3F6EFC2ECA77}"/>
  <bookViews>
    <workbookView xWindow="-40" yWindow="460" windowWidth="25040" windowHeight="14500" firstSheet="3" activeTab="6" xr2:uid="{91D37433-D9CF-FB4A-A5FF-E683848C042B}"/>
  </bookViews>
  <sheets>
    <sheet name="DB COS y MOMCastellanos" sheetId="5" r:id="rId1"/>
    <sheet name="DB MLC" sheetId="4" r:id="rId2"/>
    <sheet name="MOM" sheetId="3" r:id="rId3"/>
    <sheet name="COS" sheetId="2" r:id="rId4"/>
    <sheet name="Incendios" sheetId="1" r:id="rId5"/>
    <sheet name="Comparativo" sheetId="6" r:id="rId6"/>
    <sheet name="Nueva Hoja" sheetId="7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3" l="1"/>
  <c r="B11" i="6"/>
  <c r="C10" i="6"/>
  <c r="C9" i="6"/>
  <c r="C8" i="6"/>
  <c r="C7" i="6"/>
  <c r="E96" i="5"/>
  <c r="B96" i="5"/>
  <c r="G84" i="5"/>
  <c r="E84" i="5"/>
  <c r="D84" i="5"/>
  <c r="B84" i="5"/>
  <c r="G72" i="5"/>
  <c r="E72" i="5"/>
  <c r="D72" i="5"/>
  <c r="B72" i="5"/>
  <c r="G18" i="4"/>
  <c r="G17" i="4"/>
  <c r="G16" i="4"/>
  <c r="G15" i="4"/>
  <c r="G14" i="4"/>
  <c r="G13" i="4"/>
  <c r="G12" i="4"/>
  <c r="G11" i="4"/>
  <c r="G10" i="4"/>
  <c r="G9" i="4"/>
  <c r="K8" i="4"/>
  <c r="G8" i="4"/>
  <c r="K7" i="4"/>
  <c r="G7" i="4"/>
  <c r="K6" i="4"/>
  <c r="G6" i="4"/>
  <c r="K5" i="4"/>
  <c r="G5" i="4"/>
  <c r="K4" i="4"/>
  <c r="G4" i="4"/>
  <c r="M3" i="4"/>
  <c r="K3" i="4"/>
  <c r="G3" i="4"/>
  <c r="M2" i="4"/>
  <c r="P6" i="3"/>
  <c r="G6" i="3"/>
  <c r="E6" i="3"/>
  <c r="I6" i="3"/>
  <c r="D6" i="3"/>
  <c r="J6" i="3"/>
  <c r="Q6" i="3"/>
  <c r="P5" i="3"/>
  <c r="G5" i="3"/>
  <c r="E5" i="3"/>
  <c r="I5" i="3"/>
  <c r="D5" i="3"/>
  <c r="J5" i="3"/>
  <c r="W6" i="3"/>
  <c r="T1" i="3"/>
  <c r="E8" i="2"/>
  <c r="B8" i="2"/>
  <c r="C8" i="2"/>
  <c r="F8" i="2"/>
  <c r="G8" i="2"/>
  <c r="G3" i="2"/>
  <c r="I9" i="1"/>
  <c r="I27" i="1"/>
  <c r="E9" i="1"/>
  <c r="E27" i="1"/>
  <c r="N9" i="1"/>
  <c r="N26" i="1"/>
  <c r="H9" i="1"/>
  <c r="H26" i="1"/>
  <c r="D9" i="1"/>
  <c r="D26" i="1"/>
  <c r="N23" i="1"/>
  <c r="K23" i="1"/>
  <c r="J23" i="1"/>
  <c r="I23" i="1"/>
  <c r="H23" i="1"/>
  <c r="G23" i="1"/>
  <c r="F23" i="1"/>
  <c r="E23" i="1"/>
  <c r="D23" i="1"/>
  <c r="C23" i="1"/>
  <c r="B23" i="1"/>
  <c r="N22" i="1"/>
  <c r="K22" i="1"/>
  <c r="J22" i="1"/>
  <c r="I22" i="1"/>
  <c r="H22" i="1"/>
  <c r="G22" i="1"/>
  <c r="F22" i="1"/>
  <c r="E22" i="1"/>
  <c r="D22" i="1"/>
  <c r="C22" i="1"/>
  <c r="B22" i="1"/>
  <c r="N7" i="1"/>
  <c r="N19" i="1"/>
  <c r="K7" i="1"/>
  <c r="K19" i="1"/>
  <c r="H7" i="1"/>
  <c r="H19" i="1"/>
  <c r="G7" i="1"/>
  <c r="G19" i="1"/>
  <c r="D7" i="1"/>
  <c r="D19" i="1"/>
  <c r="C7" i="1"/>
  <c r="C19" i="1"/>
  <c r="N18" i="1"/>
  <c r="N30" i="1"/>
  <c r="N33" i="1"/>
  <c r="K18" i="1"/>
  <c r="K9" i="1"/>
  <c r="K26" i="1"/>
  <c r="K30" i="1"/>
  <c r="K33" i="1"/>
  <c r="H18" i="1"/>
  <c r="H30" i="1"/>
  <c r="H33" i="1"/>
  <c r="G18" i="1"/>
  <c r="D18" i="1"/>
  <c r="D30" i="1"/>
  <c r="D33" i="1"/>
  <c r="C18" i="1"/>
  <c r="C9" i="1"/>
  <c r="C26" i="1"/>
  <c r="C30" i="1"/>
  <c r="C33" i="1"/>
  <c r="N27" i="1"/>
  <c r="J9" i="1"/>
  <c r="J26" i="1"/>
  <c r="I26" i="1"/>
  <c r="H27" i="1"/>
  <c r="G9" i="1"/>
  <c r="G26" i="1"/>
  <c r="F9" i="1"/>
  <c r="F26" i="1"/>
  <c r="E26" i="1"/>
  <c r="D27" i="1"/>
  <c r="B9" i="1"/>
  <c r="B26" i="1"/>
  <c r="J7" i="1"/>
  <c r="J18" i="1"/>
  <c r="I7" i="1"/>
  <c r="I19" i="1"/>
  <c r="I31" i="1"/>
  <c r="I34" i="1"/>
  <c r="F7" i="1"/>
  <c r="F18" i="1"/>
  <c r="E7" i="1"/>
  <c r="E18" i="1"/>
  <c r="E30" i="1"/>
  <c r="E33" i="1"/>
  <c r="B7" i="1"/>
  <c r="B18" i="1"/>
  <c r="Y7" i="3"/>
  <c r="R6" i="3"/>
  <c r="Z7" i="3"/>
  <c r="S6" i="3"/>
  <c r="W8" i="3"/>
  <c r="X6" i="3"/>
  <c r="X7" i="3"/>
  <c r="X8" i="3"/>
  <c r="H8" i="2"/>
  <c r="I8" i="2"/>
  <c r="J8" i="2"/>
  <c r="K8" i="2"/>
  <c r="L8" i="2"/>
  <c r="M8" i="2"/>
  <c r="N8" i="2"/>
  <c r="O8" i="2"/>
  <c r="P8" i="2"/>
  <c r="Q8" i="2"/>
  <c r="R8" i="2"/>
  <c r="F5" i="3"/>
  <c r="F6" i="3"/>
  <c r="C6" i="6"/>
  <c r="K5" i="3"/>
  <c r="K6" i="3"/>
  <c r="Q5" i="3"/>
  <c r="D31" i="1"/>
  <c r="D34" i="1"/>
  <c r="N31" i="1"/>
  <c r="N34" i="1"/>
  <c r="E19" i="1"/>
  <c r="E31" i="1"/>
  <c r="E34" i="1"/>
  <c r="E35" i="1"/>
  <c r="H31" i="1"/>
  <c r="H34" i="1"/>
  <c r="H35" i="1"/>
  <c r="D35" i="1"/>
  <c r="N35" i="1"/>
  <c r="B30" i="1"/>
  <c r="B33" i="1"/>
  <c r="F30" i="1"/>
  <c r="F33" i="1"/>
  <c r="J30" i="1"/>
  <c r="J33" i="1"/>
  <c r="G30" i="1"/>
  <c r="G33" i="1"/>
  <c r="I18" i="1"/>
  <c r="I30" i="1"/>
  <c r="I33" i="1"/>
  <c r="I35" i="1"/>
  <c r="B19" i="1"/>
  <c r="B27" i="1"/>
  <c r="B31" i="1"/>
  <c r="B34" i="1"/>
  <c r="F19" i="1"/>
  <c r="J19" i="1"/>
  <c r="F27" i="1"/>
  <c r="J27" i="1"/>
  <c r="C27" i="1"/>
  <c r="C31" i="1"/>
  <c r="C34" i="1"/>
  <c r="C35" i="1"/>
  <c r="G27" i="1"/>
  <c r="G31" i="1"/>
  <c r="G34" i="1"/>
  <c r="K27" i="1"/>
  <c r="K31" i="1"/>
  <c r="K34" i="1"/>
  <c r="K35" i="1"/>
  <c r="AA7" i="3"/>
  <c r="T6" i="3"/>
  <c r="AB7" i="3"/>
  <c r="Y6" i="3"/>
  <c r="Y8" i="3"/>
  <c r="R5" i="3"/>
  <c r="Z6" i="3"/>
  <c r="Z8" i="3"/>
  <c r="S5" i="3"/>
  <c r="F31" i="1"/>
  <c r="F34" i="1"/>
  <c r="F35" i="1"/>
  <c r="G35" i="1"/>
  <c r="J31" i="1"/>
  <c r="J34" i="1"/>
  <c r="J35" i="1"/>
  <c r="B35" i="1"/>
  <c r="AA6" i="3"/>
  <c r="AA8" i="3"/>
  <c r="T5" i="3"/>
  <c r="AB6" i="3"/>
  <c r="L35" i="1"/>
  <c r="AB8" i="3"/>
  <c r="AC7" i="3"/>
  <c r="AC6" i="3"/>
  <c r="AC8" i="3"/>
</calcChain>
</file>

<file path=xl/sharedStrings.xml><?xml version="1.0" encoding="utf-8"?>
<sst xmlns="http://schemas.openxmlformats.org/spreadsheetml/2006/main" count="259" uniqueCount="191">
  <si>
    <t>Reservorios de Materia Organica Muerta y Carbono Orgánico en Suelos minerales</t>
  </si>
  <si>
    <t>IPCC</t>
  </si>
  <si>
    <t>Cuadro 2.2 VALORES POR DEFECTO DEL NIVEL 1 PARA EXISTENCIAS DE CARBONO EN HOJARASCA Y MADERA
MUERTA</t>
  </si>
  <si>
    <t>BOSQUE</t>
  </si>
  <si>
    <t>HO (tC/ha)</t>
  </si>
  <si>
    <t>DesvEst</t>
  </si>
  <si>
    <t>No parcelas</t>
  </si>
  <si>
    <t>Suelo (tC/ha)</t>
  </si>
  <si>
    <t>Año</t>
  </si>
  <si>
    <t>Sistemas agroforestales</t>
  </si>
  <si>
    <t>Deciduo Latifoliado</t>
  </si>
  <si>
    <t>Perene Acicular</t>
  </si>
  <si>
    <t>Las Ventanas</t>
  </si>
  <si>
    <t>Guadalupe</t>
  </si>
  <si>
    <t>Txemuj</t>
  </si>
  <si>
    <t>Cebollín</t>
  </si>
  <si>
    <t>Ojo de Agua</t>
  </si>
  <si>
    <t>Los Leones</t>
  </si>
  <si>
    <t>Xebé</t>
  </si>
  <si>
    <t>Chuipac</t>
  </si>
  <si>
    <t>Leoncitos</t>
  </si>
  <si>
    <t>San Rafael 1</t>
  </si>
  <si>
    <t>San Rafael 2</t>
  </si>
  <si>
    <t>Tocanaqué</t>
  </si>
  <si>
    <t>Sanajabá 1</t>
  </si>
  <si>
    <t>Sanajabá 2</t>
  </si>
  <si>
    <t>Paxoj</t>
  </si>
  <si>
    <t>Cucuná</t>
  </si>
  <si>
    <t>Chemealon</t>
  </si>
  <si>
    <t>Tuichapzé</t>
  </si>
  <si>
    <t>Toninchincalaj</t>
  </si>
  <si>
    <t>Sutquim</t>
  </si>
  <si>
    <t>La Cumbre</t>
  </si>
  <si>
    <t>La Libertad</t>
  </si>
  <si>
    <t>El Grande Comunal</t>
  </si>
  <si>
    <t>Coscopik</t>
  </si>
  <si>
    <t>El Zapatillo</t>
  </si>
  <si>
    <t>El Astillero</t>
  </si>
  <si>
    <t>Las Nubes</t>
  </si>
  <si>
    <t>El Grande Municipal</t>
  </si>
  <si>
    <t>El Herrador</t>
  </si>
  <si>
    <t>Chimulaj</t>
  </si>
  <si>
    <t>Sandoval</t>
  </si>
  <si>
    <t>Jovi</t>
  </si>
  <si>
    <t>Tuyá</t>
  </si>
  <si>
    <t>El Progreso Uno</t>
  </si>
  <si>
    <t>El Progreso Dos</t>
  </si>
  <si>
    <t>El Espinero</t>
  </si>
  <si>
    <t>La Avanzada</t>
  </si>
  <si>
    <t>El Gavilucho</t>
  </si>
  <si>
    <t>El Chalum</t>
  </si>
  <si>
    <t>La Sombra</t>
  </si>
  <si>
    <t>Coop. Chicoj </t>
  </si>
  <si>
    <t>Municipalidad Cobán </t>
  </si>
  <si>
    <t>PNL. Lachua </t>
  </si>
  <si>
    <t>Salinas Nueve Cerros </t>
  </si>
  <si>
    <t>Cooperativa Samac </t>
  </si>
  <si>
    <t>San José Fray </t>
  </si>
  <si>
    <t>Finca Santa Isabel </t>
  </si>
  <si>
    <t>Sierra de las Minas 1 </t>
  </si>
  <si>
    <t>Sierra de las Minas 2</t>
  </si>
  <si>
    <t>Sierra de las Minas 3</t>
  </si>
  <si>
    <t>Sierra de las Minas 4</t>
  </si>
  <si>
    <t>CAMPUS URL</t>
  </si>
  <si>
    <t>PROMEDIO</t>
  </si>
  <si>
    <t>plantaciones coníferas</t>
  </si>
  <si>
    <t>edad</t>
  </si>
  <si>
    <t>Coop. Samac</t>
  </si>
  <si>
    <t>Coop. Chirripec</t>
  </si>
  <si>
    <t>Plantaciones latifoliadas</t>
  </si>
  <si>
    <t>Agrocanguinic (Palo Blanco)</t>
  </si>
  <si>
    <t>nd</t>
  </si>
  <si>
    <t>Finca La Pantanosa (Teca)</t>
  </si>
  <si>
    <t>Finca Sepur (Teca)</t>
  </si>
  <si>
    <t>Panamá</t>
  </si>
  <si>
    <t>Costa Rica</t>
  </si>
  <si>
    <t>México</t>
  </si>
  <si>
    <t>Promedio</t>
  </si>
  <si>
    <t>Carbono Madera muerta (tC/ha)</t>
  </si>
  <si>
    <t>Parcelas</t>
  </si>
  <si>
    <t xml:space="preserve">CO2 </t>
  </si>
  <si>
    <t>C</t>
  </si>
  <si>
    <t>LDWM (Biomas/ha)</t>
  </si>
  <si>
    <t>N</t>
  </si>
  <si>
    <t>Bosque Maduro</t>
  </si>
  <si>
    <t>Wet and Rain Forest</t>
  </si>
  <si>
    <t>P</t>
  </si>
  <si>
    <t>Conifer forest</t>
  </si>
  <si>
    <t>Bosque maduro intervenido</t>
  </si>
  <si>
    <t>Oak Forest</t>
  </si>
  <si>
    <t>Bosque Secundario</t>
  </si>
  <si>
    <t>Mountain cloud forest</t>
  </si>
  <si>
    <t>Pastizal</t>
  </si>
  <si>
    <t>Evergreen Tropical forest</t>
  </si>
  <si>
    <t>Rastrojos</t>
  </si>
  <si>
    <t>Moist forest</t>
  </si>
  <si>
    <t>Semi deciduos tropical forest</t>
  </si>
  <si>
    <t>Cultivos</t>
  </si>
  <si>
    <t>Tropical dry forest</t>
  </si>
  <si>
    <t>Dry forest</t>
  </si>
  <si>
    <t>Mangroves</t>
  </si>
  <si>
    <t>Región</t>
  </si>
  <si>
    <t>Puntos de Muestreo</t>
  </si>
  <si>
    <r>
      <t>Conversión C a CO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</si>
  <si>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FactorCO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=</t>
    </r>
  </si>
  <si>
    <t>Progrma REDD+</t>
  </si>
  <si>
    <t>Superficie total del territorio del programa (ha) =</t>
  </si>
  <si>
    <t xml:space="preserve"> Puntos de muestreo totales=</t>
  </si>
  <si>
    <t>Periodo NREF (Deforestación e Incrementos)=</t>
  </si>
  <si>
    <t>años</t>
  </si>
  <si>
    <t>Periodo NREF (Degradación)=</t>
  </si>
  <si>
    <t xml:space="preserve">Región </t>
  </si>
  <si>
    <t>Actividad</t>
  </si>
  <si>
    <t>Clase</t>
  </si>
  <si>
    <t>Area (ha)</t>
  </si>
  <si>
    <t>Intervalo de Confianza</t>
  </si>
  <si>
    <t>Error %</t>
  </si>
  <si>
    <t>Wi</t>
  </si>
  <si>
    <t xml:space="preserve">No.Puntos </t>
  </si>
  <si>
    <t>Error estándar</t>
  </si>
  <si>
    <r>
      <t>IC</t>
    </r>
    <r>
      <rPr>
        <b/>
        <i/>
        <vertAlign val="subscript"/>
        <sz val="18"/>
        <color theme="1"/>
        <rFont val="Calibri"/>
        <family val="2"/>
        <scheme val="minor"/>
      </rPr>
      <t>inf</t>
    </r>
  </si>
  <si>
    <r>
      <t>IC</t>
    </r>
    <r>
      <rPr>
        <b/>
        <i/>
        <vertAlign val="subscript"/>
        <sz val="18"/>
        <color theme="1"/>
        <rFont val="Calibri"/>
        <family val="2"/>
        <scheme val="minor"/>
      </rPr>
      <t>sup</t>
    </r>
  </si>
  <si>
    <t>Emisiones/Actividad</t>
  </si>
  <si>
    <t>Previo-2001 (TonC/ha)</t>
  </si>
  <si>
    <t>Post-2016 (TonC/ha</t>
  </si>
  <si>
    <t>Factor de emisión/ absorción (TonC/ha)</t>
  </si>
  <si>
    <t>Emisiones(+)/Absorciones(-)                          TonC</t>
  </si>
  <si>
    <t>Emisiones(+)/Absorciones(-)       TonC/año</t>
  </si>
  <si>
    <r>
      <t>Emisiones(+)/Absorciones(-)                          TonCO</t>
    </r>
    <r>
      <rPr>
        <b/>
        <vertAlign val="subscript"/>
        <sz val="16"/>
        <color theme="1"/>
        <rFont val="Calibri"/>
        <family val="2"/>
        <scheme val="minor"/>
      </rPr>
      <t>2</t>
    </r>
  </si>
  <si>
    <t>Nacional</t>
  </si>
  <si>
    <t>Programa</t>
  </si>
  <si>
    <t>Deforestación</t>
  </si>
  <si>
    <t>Materia Orgánica Muerta (Hojarasca)</t>
  </si>
  <si>
    <t>Materia Orgánica Muerta (HO)</t>
  </si>
  <si>
    <t>Tipo de Cambio/Actividad</t>
  </si>
  <si>
    <t>Ha</t>
  </si>
  <si>
    <t>Ha/año</t>
  </si>
  <si>
    <t>TonC</t>
  </si>
  <si>
    <t>TonC/año</t>
  </si>
  <si>
    <r>
      <t>TonCO</t>
    </r>
    <r>
      <rPr>
        <vertAlign val="subscript"/>
        <sz val="16"/>
        <color theme="1"/>
        <rFont val="Calibri"/>
        <family val="2"/>
        <scheme val="minor"/>
      </rPr>
      <t>2</t>
    </r>
  </si>
  <si>
    <r>
      <t>TonCO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/año</t>
    </r>
  </si>
  <si>
    <t>%</t>
  </si>
  <si>
    <t>MOM (Material Leñoso Caído)</t>
  </si>
  <si>
    <t>MOM (MLC)</t>
  </si>
  <si>
    <t>MOM (Hojarasca)</t>
  </si>
  <si>
    <t>MOM (hojaradca) total</t>
  </si>
  <si>
    <t>Deforestación total</t>
  </si>
  <si>
    <t>Deforestación anual ha</t>
  </si>
  <si>
    <t>Contenido de C/ha</t>
  </si>
  <si>
    <t>Pérdida por ha/ año</t>
  </si>
  <si>
    <t>Emisiones/año</t>
  </si>
  <si>
    <t>Año1</t>
  </si>
  <si>
    <t>Año2</t>
  </si>
  <si>
    <t>Año3</t>
  </si>
  <si>
    <t>Año4</t>
  </si>
  <si>
    <t>Año5</t>
  </si>
  <si>
    <t>Año6</t>
  </si>
  <si>
    <t>Año7</t>
  </si>
  <si>
    <t>Año8</t>
  </si>
  <si>
    <t>Año9</t>
  </si>
  <si>
    <t>Año10</t>
  </si>
  <si>
    <t>TC/año</t>
  </si>
  <si>
    <t>TCO2</t>
  </si>
  <si>
    <t>Prom Hist 2001-2010 a partir de cicatrices</t>
  </si>
  <si>
    <t xml:space="preserve">Rastrero </t>
  </si>
  <si>
    <t>Cicatrices</t>
  </si>
  <si>
    <t xml:space="preserve">De Copas </t>
  </si>
  <si>
    <t xml:space="preserve">Subterráneo </t>
  </si>
  <si>
    <t>MB R</t>
  </si>
  <si>
    <t>Hojarasca y MLC convertida a biomasa</t>
  </si>
  <si>
    <t>MB C</t>
  </si>
  <si>
    <t>Arbolado convertido a biomasa</t>
  </si>
  <si>
    <t>MB S</t>
  </si>
  <si>
    <t>Raices convertido a biomasa</t>
  </si>
  <si>
    <t>Cf(Cuadro 2.6 Bosque tropical primario humedo</t>
  </si>
  <si>
    <t>Gf (CH4)</t>
  </si>
  <si>
    <t>Gf (N2O)</t>
  </si>
  <si>
    <t>RGf (CH4)</t>
  </si>
  <si>
    <t>RGf (N2O)</t>
  </si>
  <si>
    <t>CGf (CH4)</t>
  </si>
  <si>
    <t>CGf (N2O)</t>
  </si>
  <si>
    <t>Total CH4</t>
  </si>
  <si>
    <t>Total N2O</t>
  </si>
  <si>
    <t>CO2e</t>
  </si>
  <si>
    <t>Total</t>
  </si>
  <si>
    <t>Dforestación</t>
  </si>
  <si>
    <t>Degradación</t>
  </si>
  <si>
    <t>COS</t>
  </si>
  <si>
    <t>MOM</t>
  </si>
  <si>
    <t>Otros GEI (incendios)</t>
  </si>
  <si>
    <t>No 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</si>
</sst>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_-* #,##0.00_-;\-* #,##0.00_-;_-* &quot;-&quot;??_-;_-@_-"/>
    <numFmt numFmtId="165" formatCode="_(* #,##0.00_);_(* \(#,##0.00\);_(* &quot;-&quot;??_);_(@_)"/>
    <numFmt numFmtId="166" formatCode="_(* #,##0_);_(* \(#,##0\);_(* &quot;-&quot;??_);_(@_)"/>
    <numFmt numFmtId="167" formatCode="0.0000"/>
    <numFmt numFmtId="168" formatCode="0.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vertAlign val="subscript"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62">
    <xf numFmtId="0" fontId="0" fillId="0" borderId="0" xfId="0"/>
    <xf numFmtId="0" fontId="0" fillId="0" borderId="0" xfId="0" applyFont="1" applyAlignment="1"/>
    <xf numFmtId="4" fontId="0" fillId="0" borderId="0" xfId="0" applyNumberFormat="1" applyFont="1" applyAlignment="1"/>
    <xf numFmtId="4" fontId="0" fillId="0" borderId="0" xfId="0" applyNumberFormat="1"/>
    <xf numFmtId="165" fontId="0" fillId="0" borderId="0" xfId="1" applyFont="1"/>
    <xf numFmtId="0" fontId="3" fillId="0" borderId="0" xfId="0" applyFont="1" applyAlignment="1"/>
    <xf numFmtId="0" fontId="0" fillId="0" borderId="0" xfId="0" applyAlignment="1"/>
    <xf numFmtId="4" fontId="3" fillId="0" borderId="0" xfId="0" applyNumberFormat="1" applyFont="1" applyAlignment="1"/>
    <xf numFmtId="2" fontId="0" fillId="0" borderId="0" xfId="0" applyNumberFormat="1" applyFont="1" applyAlignment="1"/>
    <xf numFmtId="2" fontId="0" fillId="0" borderId="0" xfId="0" applyNumberFormat="1"/>
    <xf numFmtId="0" fontId="2" fillId="0" borderId="0" xfId="0" applyFont="1"/>
    <xf numFmtId="165" fontId="2" fillId="0" borderId="0" xfId="1" applyFont="1"/>
    <xf numFmtId="165" fontId="2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166" fontId="5" fillId="0" borderId="0" xfId="1" applyNumberFormat="1" applyFont="1"/>
    <xf numFmtId="0" fontId="5" fillId="0" borderId="1" xfId="0" applyFont="1" applyBorder="1"/>
    <xf numFmtId="0" fontId="4" fillId="0" borderId="1" xfId="0" applyFont="1" applyBorder="1" applyAlignment="1">
      <alignment horizontal="right" wrapText="1"/>
    </xf>
    <xf numFmtId="166" fontId="5" fillId="0" borderId="1" xfId="1" applyNumberFormat="1" applyFont="1" applyBorder="1"/>
    <xf numFmtId="0" fontId="4" fillId="0" borderId="1" xfId="0" applyFont="1" applyBorder="1"/>
    <xf numFmtId="0" fontId="0" fillId="0" borderId="1" xfId="0" applyBorder="1"/>
    <xf numFmtId="0" fontId="2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43" fontId="11" fillId="0" borderId="6" xfId="0" applyNumberFormat="1" applyFont="1" applyBorder="1" applyAlignment="1">
      <alignment vertical="center"/>
    </xf>
    <xf numFmtId="166" fontId="11" fillId="0" borderId="6" xfId="0" applyNumberFormat="1" applyFont="1" applyBorder="1" applyAlignment="1">
      <alignment vertical="center"/>
    </xf>
    <xf numFmtId="9" fontId="11" fillId="0" borderId="6" xfId="2" applyFont="1" applyBorder="1" applyAlignment="1">
      <alignment vertical="center"/>
    </xf>
    <xf numFmtId="167" fontId="11" fillId="0" borderId="6" xfId="0" applyNumberFormat="1" applyFont="1" applyBorder="1" applyAlignment="1">
      <alignment vertical="center"/>
    </xf>
    <xf numFmtId="0" fontId="11" fillId="0" borderId="6" xfId="3" applyFont="1" applyBorder="1"/>
    <xf numFmtId="165" fontId="11" fillId="0" borderId="6" xfId="0" applyNumberFormat="1" applyFont="1" applyBorder="1" applyAlignment="1">
      <alignment vertical="center"/>
    </xf>
    <xf numFmtId="166" fontId="11" fillId="0" borderId="7" xfId="0" applyNumberFormat="1" applyFont="1" applyBorder="1" applyAlignment="1">
      <alignment vertical="center"/>
    </xf>
    <xf numFmtId="43" fontId="11" fillId="0" borderId="0" xfId="0" applyNumberFormat="1" applyFont="1"/>
    <xf numFmtId="0" fontId="11" fillId="0" borderId="6" xfId="0" applyFont="1" applyBorder="1"/>
    <xf numFmtId="43" fontId="11" fillId="0" borderId="6" xfId="0" applyNumberFormat="1" applyFont="1" applyBorder="1"/>
    <xf numFmtId="166" fontId="11" fillId="0" borderId="7" xfId="1" applyNumberFormat="1" applyFont="1" applyBorder="1"/>
    <xf numFmtId="43" fontId="0" fillId="0" borderId="0" xfId="0" applyNumberFormat="1"/>
    <xf numFmtId="43" fontId="4" fillId="0" borderId="8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11" fillId="0" borderId="9" xfId="0" applyNumberFormat="1" applyFont="1" applyBorder="1"/>
    <xf numFmtId="1" fontId="11" fillId="0" borderId="10" xfId="0" applyNumberFormat="1" applyFont="1" applyBorder="1"/>
    <xf numFmtId="43" fontId="9" fillId="0" borderId="11" xfId="0" applyNumberFormat="1" applyFont="1" applyBorder="1"/>
    <xf numFmtId="43" fontId="9" fillId="0" borderId="12" xfId="0" applyNumberFormat="1" applyFont="1" applyBorder="1"/>
    <xf numFmtId="166" fontId="0" fillId="0" borderId="0" xfId="1" applyNumberFormat="1" applyFont="1"/>
    <xf numFmtId="168" fontId="0" fillId="0" borderId="0" xfId="0" applyNumberFormat="1"/>
  </cellXfs>
  <cellStyles count="4">
    <cellStyle name="Millares" xfId="1" builtinId="3"/>
    <cellStyle name="Normal" xfId="0" builtinId="0"/>
    <cellStyle name="Normal 3 2 4" xfId="3" xr:uid="{E7B3074B-94E6-6648-BAD5-6D316B6F6319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Drive/Guate/ERPD/Borrador%20final/Actualizaci&#243;n%20Marzo/Malla%20nacional/Estimacion%20Emisiones%20Guatemala%20V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inámica"/>
      <sheetName val="BASE_COMPLETA_FINAL_CORR_VBB"/>
      <sheetName val="Nacional"/>
      <sheetName val="Área Programa (NREF)"/>
      <sheetName val="Área de Implementación"/>
      <sheetName val="Incendios"/>
      <sheetName val="COS"/>
      <sheetName val="MOM"/>
      <sheetName val="DB MLC"/>
      <sheetName val="DB COS y MOMCastellanos"/>
      <sheetName val="Comparativo"/>
    </sheetNames>
    <sheetDataSet>
      <sheetData sheetId="0"/>
      <sheetData sheetId="1"/>
      <sheetData sheetId="2"/>
      <sheetData sheetId="3">
        <row r="15">
          <cell r="W15">
            <v>325065.31737250392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BE16-9742-4B40-B2D0-B74284D7155C}">
  <dimension ref="A1:N96"/>
  <sheetViews>
    <sheetView zoomScale="130" zoomScaleNormal="130" workbookViewId="0" xr3:uid="{BAD7CB65-2AD6-5684-9AFE-637A410CA263}">
      <selection activeCell="N24" sqref="N24"/>
    </sheetView>
  </sheetViews>
  <sheetFormatPr defaultColWidth="11" defaultRowHeight="15.95"/>
  <cols>
    <col min="1" max="1" width="17.625" customWidth="1"/>
    <col min="5" max="5" width="12.125" bestFit="1" customWidth="1"/>
    <col min="10" max="10" width="14.625" customWidth="1"/>
    <col min="13" max="13" width="17.625" customWidth="1"/>
    <col min="14" max="14" width="14.625" customWidth="1"/>
  </cols>
  <sheetData>
    <row r="1" spans="1:14">
      <c r="A1" t="s">
        <v>0</v>
      </c>
      <c r="B1" s="10"/>
      <c r="C1" s="10"/>
      <c r="D1" s="10"/>
      <c r="E1" s="10"/>
      <c r="F1" s="10"/>
      <c r="G1" s="10"/>
      <c r="M1" t="s">
        <v>1</v>
      </c>
      <c r="N1" t="s">
        <v>2</v>
      </c>
    </row>
    <row r="2" spans="1:14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5</v>
      </c>
      <c r="G2" s="10" t="s">
        <v>6</v>
      </c>
      <c r="H2" s="10" t="s">
        <v>8</v>
      </c>
      <c r="K2" t="s">
        <v>9</v>
      </c>
      <c r="M2" t="s">
        <v>10</v>
      </c>
      <c r="N2" t="s">
        <v>11</v>
      </c>
    </row>
    <row r="3" spans="1:14">
      <c r="A3" t="s">
        <v>12</v>
      </c>
      <c r="B3">
        <v>1.82</v>
      </c>
      <c r="C3">
        <v>1.85</v>
      </c>
      <c r="D3">
        <v>23</v>
      </c>
      <c r="E3">
        <v>35.49</v>
      </c>
      <c r="F3">
        <v>16.45</v>
      </c>
      <c r="G3">
        <v>5</v>
      </c>
      <c r="H3">
        <v>2008</v>
      </c>
      <c r="K3">
        <v>3.58</v>
      </c>
      <c r="M3">
        <v>2.1</v>
      </c>
      <c r="N3">
        <v>5.2</v>
      </c>
    </row>
    <row r="4" spans="1:14">
      <c r="A4" t="s">
        <v>13</v>
      </c>
      <c r="B4">
        <v>2.4</v>
      </c>
      <c r="C4">
        <v>1.37</v>
      </c>
      <c r="D4">
        <v>13</v>
      </c>
      <c r="E4">
        <v>21.94</v>
      </c>
      <c r="F4">
        <v>14</v>
      </c>
      <c r="G4">
        <v>3</v>
      </c>
      <c r="H4">
        <v>2008</v>
      </c>
    </row>
    <row r="5" spans="1:14">
      <c r="A5" t="s">
        <v>14</v>
      </c>
      <c r="B5">
        <v>4.58</v>
      </c>
      <c r="C5">
        <v>7.36</v>
      </c>
      <c r="D5">
        <v>20</v>
      </c>
      <c r="E5">
        <v>45.59</v>
      </c>
      <c r="F5">
        <v>13.93</v>
      </c>
      <c r="G5">
        <v>4</v>
      </c>
      <c r="H5">
        <v>2008</v>
      </c>
    </row>
    <row r="6" spans="1:14">
      <c r="A6" t="s">
        <v>15</v>
      </c>
      <c r="B6">
        <v>3.23</v>
      </c>
      <c r="C6">
        <v>1.1000000000000001</v>
      </c>
      <c r="D6">
        <v>12</v>
      </c>
      <c r="E6">
        <v>16.21</v>
      </c>
      <c r="F6">
        <v>4.12</v>
      </c>
      <c r="G6">
        <v>2</v>
      </c>
      <c r="H6">
        <v>2008</v>
      </c>
    </row>
    <row r="7" spans="1:14">
      <c r="A7" t="s">
        <v>16</v>
      </c>
      <c r="B7">
        <v>6.17</v>
      </c>
      <c r="C7">
        <v>3.55</v>
      </c>
      <c r="D7">
        <v>14</v>
      </c>
      <c r="E7">
        <v>36.39</v>
      </c>
      <c r="F7">
        <v>17.54</v>
      </c>
      <c r="G7">
        <v>3</v>
      </c>
      <c r="H7">
        <v>2008</v>
      </c>
    </row>
    <row r="8" spans="1:14">
      <c r="A8" t="s">
        <v>17</v>
      </c>
      <c r="B8">
        <v>7.4</v>
      </c>
      <c r="C8">
        <v>6.29</v>
      </c>
      <c r="D8">
        <v>62</v>
      </c>
      <c r="E8">
        <v>28.15</v>
      </c>
      <c r="F8">
        <v>11.04</v>
      </c>
      <c r="G8">
        <v>8</v>
      </c>
      <c r="H8">
        <v>2008</v>
      </c>
    </row>
    <row r="9" spans="1:14">
      <c r="A9" t="s">
        <v>18</v>
      </c>
      <c r="B9">
        <v>2.74</v>
      </c>
      <c r="C9">
        <v>3.45</v>
      </c>
      <c r="D9">
        <v>82</v>
      </c>
      <c r="E9">
        <v>37.93</v>
      </c>
      <c r="F9">
        <v>14.22</v>
      </c>
      <c r="G9">
        <v>12</v>
      </c>
      <c r="H9">
        <v>2008</v>
      </c>
    </row>
    <row r="10" spans="1:14">
      <c r="A10" t="s">
        <v>19</v>
      </c>
      <c r="B10">
        <v>1.69</v>
      </c>
      <c r="C10">
        <v>1.8</v>
      </c>
      <c r="D10">
        <v>46</v>
      </c>
      <c r="E10">
        <v>17.850000000000001</v>
      </c>
      <c r="F10">
        <v>18.28</v>
      </c>
      <c r="G10">
        <v>8</v>
      </c>
      <c r="H10">
        <v>2008</v>
      </c>
    </row>
    <row r="11" spans="1:14">
      <c r="A11" t="s">
        <v>20</v>
      </c>
      <c r="B11">
        <v>6.51</v>
      </c>
      <c r="C11">
        <v>7.74</v>
      </c>
      <c r="D11">
        <v>33</v>
      </c>
      <c r="E11">
        <v>25.57</v>
      </c>
      <c r="F11">
        <v>9.35</v>
      </c>
      <c r="G11">
        <v>7</v>
      </c>
      <c r="H11">
        <v>2008</v>
      </c>
    </row>
    <row r="12" spans="1:14">
      <c r="A12" t="s">
        <v>21</v>
      </c>
      <c r="B12">
        <v>1.64</v>
      </c>
      <c r="C12">
        <v>2.46</v>
      </c>
      <c r="D12">
        <v>55</v>
      </c>
      <c r="E12">
        <v>26.49</v>
      </c>
      <c r="F12">
        <v>7.71</v>
      </c>
      <c r="G12">
        <v>7</v>
      </c>
      <c r="H12">
        <v>2008</v>
      </c>
    </row>
    <row r="13" spans="1:14">
      <c r="A13" t="s">
        <v>22</v>
      </c>
      <c r="B13">
        <v>0.38</v>
      </c>
      <c r="C13">
        <v>1.17</v>
      </c>
      <c r="D13">
        <v>81</v>
      </c>
      <c r="E13">
        <v>25.8</v>
      </c>
      <c r="F13">
        <v>12.3</v>
      </c>
      <c r="G13">
        <v>8</v>
      </c>
      <c r="H13">
        <v>2008</v>
      </c>
    </row>
    <row r="14" spans="1:14">
      <c r="A14" t="s">
        <v>23</v>
      </c>
      <c r="B14">
        <v>5.96</v>
      </c>
      <c r="C14">
        <v>4.29</v>
      </c>
      <c r="D14">
        <v>18</v>
      </c>
      <c r="E14">
        <v>36.03</v>
      </c>
      <c r="F14">
        <v>21.1</v>
      </c>
      <c r="G14">
        <v>4</v>
      </c>
      <c r="H14">
        <v>2008</v>
      </c>
    </row>
    <row r="15" spans="1:14">
      <c r="A15" t="s">
        <v>24</v>
      </c>
      <c r="B15">
        <v>1.57</v>
      </c>
      <c r="C15">
        <v>2.98</v>
      </c>
      <c r="D15">
        <v>46</v>
      </c>
      <c r="E15">
        <v>36.020000000000003</v>
      </c>
      <c r="F15">
        <v>16.059999999999999</v>
      </c>
      <c r="G15">
        <v>5</v>
      </c>
      <c r="H15">
        <v>2008</v>
      </c>
    </row>
    <row r="16" spans="1:14">
      <c r="A16" t="s">
        <v>25</v>
      </c>
      <c r="B16">
        <v>0.14000000000000001</v>
      </c>
      <c r="C16">
        <v>0.74</v>
      </c>
      <c r="D16">
        <v>29</v>
      </c>
      <c r="E16">
        <v>34.090000000000003</v>
      </c>
      <c r="F16">
        <v>18.8</v>
      </c>
      <c r="G16">
        <v>3</v>
      </c>
      <c r="H16">
        <v>2008</v>
      </c>
    </row>
    <row r="17" spans="1:8">
      <c r="A17" t="s">
        <v>26</v>
      </c>
      <c r="B17">
        <v>9.93</v>
      </c>
      <c r="C17">
        <v>6.25</v>
      </c>
      <c r="D17">
        <v>35</v>
      </c>
      <c r="E17">
        <v>33.31</v>
      </c>
      <c r="F17">
        <v>8.66</v>
      </c>
      <c r="G17">
        <v>5</v>
      </c>
      <c r="H17">
        <v>2008</v>
      </c>
    </row>
    <row r="18" spans="1:8">
      <c r="A18" t="s">
        <v>27</v>
      </c>
      <c r="B18">
        <v>1.9</v>
      </c>
      <c r="C18">
        <v>2</v>
      </c>
      <c r="D18">
        <v>5</v>
      </c>
      <c r="E18">
        <v>13.2</v>
      </c>
      <c r="F18">
        <v>9.5</v>
      </c>
      <c r="G18">
        <v>5</v>
      </c>
      <c r="H18">
        <v>2006</v>
      </c>
    </row>
    <row r="19" spans="1:8">
      <c r="A19" t="s">
        <v>28</v>
      </c>
      <c r="B19">
        <v>5.8</v>
      </c>
      <c r="C19">
        <v>3.8</v>
      </c>
      <c r="D19">
        <v>9</v>
      </c>
      <c r="E19">
        <v>24.8</v>
      </c>
      <c r="F19">
        <v>6.3</v>
      </c>
      <c r="G19">
        <v>7</v>
      </c>
      <c r="H19">
        <v>2006</v>
      </c>
    </row>
    <row r="20" spans="1:8">
      <c r="A20" t="s">
        <v>29</v>
      </c>
      <c r="B20">
        <v>1.1000000000000001</v>
      </c>
      <c r="C20">
        <v>0.4</v>
      </c>
      <c r="D20">
        <v>5</v>
      </c>
      <c r="E20">
        <v>40.700000000000003</v>
      </c>
      <c r="F20">
        <v>5.4</v>
      </c>
      <c r="G20">
        <v>5</v>
      </c>
      <c r="H20">
        <v>2006</v>
      </c>
    </row>
    <row r="21" spans="1:8">
      <c r="A21" t="s">
        <v>29</v>
      </c>
      <c r="B21">
        <v>4</v>
      </c>
      <c r="C21">
        <v>1.5</v>
      </c>
      <c r="D21">
        <v>5</v>
      </c>
      <c r="E21">
        <v>38.799999999999997</v>
      </c>
      <c r="F21">
        <v>11.8</v>
      </c>
      <c r="G21">
        <v>5</v>
      </c>
      <c r="H21">
        <v>2006</v>
      </c>
    </row>
    <row r="22" spans="1:8">
      <c r="A22" t="s">
        <v>29</v>
      </c>
      <c r="B22">
        <v>1.7</v>
      </c>
      <c r="C22">
        <v>0.9</v>
      </c>
      <c r="D22">
        <v>8</v>
      </c>
      <c r="E22">
        <v>21.5</v>
      </c>
      <c r="F22">
        <v>13.1</v>
      </c>
      <c r="G22">
        <v>8</v>
      </c>
      <c r="H22">
        <v>2006</v>
      </c>
    </row>
    <row r="23" spans="1:8">
      <c r="A23" t="s">
        <v>29</v>
      </c>
      <c r="B23">
        <v>2.1</v>
      </c>
      <c r="C23">
        <v>2.2000000000000002</v>
      </c>
      <c r="D23">
        <v>8</v>
      </c>
      <c r="E23">
        <v>37.5</v>
      </c>
      <c r="F23">
        <v>12.1</v>
      </c>
      <c r="G23">
        <v>8</v>
      </c>
      <c r="H23">
        <v>2006</v>
      </c>
    </row>
    <row r="24" spans="1:8">
      <c r="A24" t="s">
        <v>30</v>
      </c>
      <c r="B24">
        <v>1.5</v>
      </c>
      <c r="C24">
        <v>0.8</v>
      </c>
      <c r="D24">
        <v>6</v>
      </c>
      <c r="E24">
        <v>23.2</v>
      </c>
      <c r="F24">
        <v>7</v>
      </c>
      <c r="G24">
        <v>6</v>
      </c>
      <c r="H24">
        <v>2006</v>
      </c>
    </row>
    <row r="25" spans="1:8">
      <c r="A25" t="s">
        <v>30</v>
      </c>
      <c r="B25">
        <v>1.6</v>
      </c>
      <c r="C25">
        <v>0.4</v>
      </c>
      <c r="D25">
        <v>3</v>
      </c>
      <c r="E25">
        <v>30.5</v>
      </c>
      <c r="F25">
        <v>10.7</v>
      </c>
      <c r="G25">
        <v>3</v>
      </c>
      <c r="H25">
        <v>2006</v>
      </c>
    </row>
    <row r="26" spans="1:8">
      <c r="A26" t="s">
        <v>30</v>
      </c>
      <c r="B26">
        <v>4.9000000000000004</v>
      </c>
      <c r="C26">
        <v>4.0999999999999996</v>
      </c>
      <c r="D26">
        <v>5</v>
      </c>
      <c r="E26">
        <v>17.899999999999999</v>
      </c>
      <c r="F26">
        <v>4.9000000000000004</v>
      </c>
      <c r="G26">
        <v>5</v>
      </c>
      <c r="H26">
        <v>2006</v>
      </c>
    </row>
    <row r="27" spans="1:8">
      <c r="A27" t="s">
        <v>30</v>
      </c>
      <c r="B27">
        <v>4.0999999999999996</v>
      </c>
      <c r="C27">
        <v>4.5</v>
      </c>
      <c r="D27">
        <v>6</v>
      </c>
      <c r="E27">
        <v>24.1</v>
      </c>
      <c r="F27">
        <v>5.9</v>
      </c>
      <c r="G27">
        <v>6</v>
      </c>
      <c r="H27">
        <v>2006</v>
      </c>
    </row>
    <row r="28" spans="1:8">
      <c r="A28" t="s">
        <v>31</v>
      </c>
      <c r="B28">
        <v>0.5</v>
      </c>
      <c r="C28">
        <v>0.4</v>
      </c>
      <c r="D28">
        <v>8</v>
      </c>
      <c r="E28">
        <v>23.7</v>
      </c>
      <c r="F28">
        <v>12.8</v>
      </c>
      <c r="G28">
        <v>8</v>
      </c>
      <c r="H28">
        <v>2006</v>
      </c>
    </row>
    <row r="29" spans="1:8">
      <c r="A29" t="s">
        <v>31</v>
      </c>
      <c r="B29">
        <v>0.3</v>
      </c>
      <c r="C29">
        <v>0.5</v>
      </c>
      <c r="D29">
        <v>7</v>
      </c>
      <c r="H29">
        <v>2006</v>
      </c>
    </row>
    <row r="30" spans="1:8">
      <c r="A30" t="s">
        <v>31</v>
      </c>
      <c r="B30">
        <v>1.6</v>
      </c>
      <c r="C30">
        <v>2.2999999999999998</v>
      </c>
      <c r="D30">
        <v>8</v>
      </c>
      <c r="E30">
        <v>10.5</v>
      </c>
      <c r="F30">
        <v>9</v>
      </c>
      <c r="G30">
        <v>8</v>
      </c>
      <c r="H30">
        <v>2006</v>
      </c>
    </row>
    <row r="31" spans="1:8">
      <c r="A31" t="s">
        <v>32</v>
      </c>
      <c r="B31">
        <v>1.4</v>
      </c>
      <c r="C31">
        <v>1.1000000000000001</v>
      </c>
      <c r="D31">
        <v>25</v>
      </c>
      <c r="E31">
        <v>35.200000000000003</v>
      </c>
      <c r="F31">
        <v>23.3</v>
      </c>
      <c r="G31">
        <v>25</v>
      </c>
      <c r="H31">
        <v>2006</v>
      </c>
    </row>
    <row r="32" spans="1:8">
      <c r="A32" t="s">
        <v>32</v>
      </c>
      <c r="B32">
        <v>2.7</v>
      </c>
      <c r="C32">
        <v>2.7</v>
      </c>
      <c r="D32">
        <v>15</v>
      </c>
      <c r="E32">
        <v>36.299999999999997</v>
      </c>
      <c r="F32">
        <v>12.1</v>
      </c>
      <c r="G32">
        <v>15</v>
      </c>
      <c r="H32">
        <v>2006</v>
      </c>
    </row>
    <row r="33" spans="1:8">
      <c r="A33" t="s">
        <v>33</v>
      </c>
      <c r="B33">
        <v>2.7</v>
      </c>
      <c r="C33">
        <v>0.8</v>
      </c>
      <c r="D33">
        <v>5</v>
      </c>
      <c r="E33">
        <v>25.2</v>
      </c>
      <c r="F33">
        <v>15.3</v>
      </c>
      <c r="G33">
        <v>5</v>
      </c>
      <c r="H33">
        <v>2006</v>
      </c>
    </row>
    <row r="34" spans="1:8">
      <c r="A34" t="s">
        <v>34</v>
      </c>
      <c r="B34">
        <v>14.6</v>
      </c>
      <c r="C34">
        <v>10.3</v>
      </c>
      <c r="D34">
        <v>7</v>
      </c>
      <c r="E34">
        <v>44.8</v>
      </c>
      <c r="F34">
        <v>18.600000000000001</v>
      </c>
      <c r="G34">
        <v>7</v>
      </c>
      <c r="H34">
        <v>2006</v>
      </c>
    </row>
    <row r="35" spans="1:8">
      <c r="A35" t="s">
        <v>35</v>
      </c>
      <c r="B35">
        <v>1</v>
      </c>
      <c r="C35">
        <v>0.9</v>
      </c>
      <c r="D35">
        <v>6</v>
      </c>
      <c r="E35">
        <v>46.1</v>
      </c>
      <c r="F35">
        <v>9.6</v>
      </c>
      <c r="G35">
        <v>6</v>
      </c>
      <c r="H35">
        <v>2006</v>
      </c>
    </row>
    <row r="36" spans="1:8">
      <c r="A36" t="s">
        <v>36</v>
      </c>
      <c r="B36">
        <v>6</v>
      </c>
      <c r="C36">
        <v>3</v>
      </c>
      <c r="D36">
        <v>6</v>
      </c>
      <c r="E36">
        <v>52.2</v>
      </c>
      <c r="F36">
        <v>11.2</v>
      </c>
      <c r="G36">
        <v>6</v>
      </c>
      <c r="H36">
        <v>2006</v>
      </c>
    </row>
    <row r="37" spans="1:8">
      <c r="A37" t="s">
        <v>37</v>
      </c>
      <c r="B37">
        <v>5.2</v>
      </c>
      <c r="C37">
        <v>3.5</v>
      </c>
      <c r="D37">
        <v>4</v>
      </c>
      <c r="E37">
        <v>38.799999999999997</v>
      </c>
      <c r="F37">
        <v>20.6</v>
      </c>
      <c r="G37">
        <v>4</v>
      </c>
      <c r="H37">
        <v>2006</v>
      </c>
    </row>
    <row r="38" spans="1:8">
      <c r="A38" t="s">
        <v>38</v>
      </c>
      <c r="B38">
        <v>1.7</v>
      </c>
      <c r="C38">
        <v>1.6</v>
      </c>
      <c r="D38">
        <v>11</v>
      </c>
      <c r="E38">
        <v>80.900000000000006</v>
      </c>
      <c r="F38">
        <v>30.3</v>
      </c>
      <c r="G38">
        <v>11</v>
      </c>
      <c r="H38">
        <v>2006</v>
      </c>
    </row>
    <row r="39" spans="1:8">
      <c r="A39" t="s">
        <v>38</v>
      </c>
      <c r="B39">
        <v>1.1000000000000001</v>
      </c>
      <c r="C39">
        <v>2.2999999999999998</v>
      </c>
      <c r="D39">
        <v>6</v>
      </c>
      <c r="E39">
        <v>43.4</v>
      </c>
      <c r="F39">
        <v>29.5</v>
      </c>
      <c r="G39">
        <v>6</v>
      </c>
      <c r="H39">
        <v>2006</v>
      </c>
    </row>
    <row r="40" spans="1:8">
      <c r="A40" t="s">
        <v>39</v>
      </c>
      <c r="B40">
        <v>5.8</v>
      </c>
      <c r="C40">
        <v>16</v>
      </c>
      <c r="D40">
        <v>20</v>
      </c>
      <c r="E40">
        <v>74.900000000000006</v>
      </c>
      <c r="F40">
        <v>24.6</v>
      </c>
      <c r="G40">
        <v>20</v>
      </c>
      <c r="H40">
        <v>2006</v>
      </c>
    </row>
    <row r="41" spans="1:8">
      <c r="A41" t="s">
        <v>40</v>
      </c>
      <c r="B41">
        <v>3.7</v>
      </c>
      <c r="C41">
        <v>2.7</v>
      </c>
      <c r="D41">
        <v>11</v>
      </c>
      <c r="E41">
        <v>22.8</v>
      </c>
      <c r="F41">
        <v>15.3</v>
      </c>
      <c r="G41">
        <v>11</v>
      </c>
      <c r="H41">
        <v>2006</v>
      </c>
    </row>
    <row r="42" spans="1:8">
      <c r="A42" t="s">
        <v>40</v>
      </c>
      <c r="B42">
        <v>2.5</v>
      </c>
      <c r="C42">
        <v>1.8</v>
      </c>
      <c r="D42">
        <v>11</v>
      </c>
      <c r="E42">
        <v>18.3</v>
      </c>
      <c r="F42">
        <v>12.9</v>
      </c>
      <c r="G42">
        <v>11</v>
      </c>
      <c r="H42">
        <v>2006</v>
      </c>
    </row>
    <row r="43" spans="1:8">
      <c r="A43" t="s">
        <v>40</v>
      </c>
      <c r="B43">
        <v>2.4</v>
      </c>
      <c r="C43">
        <v>0.9</v>
      </c>
      <c r="D43">
        <v>11</v>
      </c>
      <c r="E43">
        <v>19.100000000000001</v>
      </c>
      <c r="F43">
        <v>19</v>
      </c>
      <c r="G43">
        <v>10</v>
      </c>
      <c r="H43">
        <v>2006</v>
      </c>
    </row>
    <row r="44" spans="1:8">
      <c r="A44" t="s">
        <v>40</v>
      </c>
      <c r="B44">
        <v>0.9</v>
      </c>
      <c r="C44">
        <v>0.5</v>
      </c>
      <c r="D44">
        <v>3</v>
      </c>
      <c r="E44">
        <v>3.7</v>
      </c>
      <c r="F44">
        <v>2</v>
      </c>
      <c r="G44">
        <v>3</v>
      </c>
      <c r="H44">
        <v>2006</v>
      </c>
    </row>
    <row r="45" spans="1:8">
      <c r="A45" t="s">
        <v>41</v>
      </c>
      <c r="B45">
        <v>4.9000000000000004</v>
      </c>
      <c r="C45">
        <v>6.7</v>
      </c>
      <c r="D45">
        <v>8</v>
      </c>
      <c r="E45">
        <v>10.6</v>
      </c>
      <c r="F45">
        <v>8.5</v>
      </c>
      <c r="G45">
        <v>8</v>
      </c>
      <c r="H45">
        <v>2006</v>
      </c>
    </row>
    <row r="46" spans="1:8">
      <c r="A46" t="s">
        <v>42</v>
      </c>
      <c r="B46">
        <v>3.1</v>
      </c>
      <c r="C46">
        <v>1.6</v>
      </c>
      <c r="D46">
        <v>10</v>
      </c>
      <c r="E46">
        <v>11.1</v>
      </c>
      <c r="F46">
        <v>6.7</v>
      </c>
      <c r="G46">
        <v>10</v>
      </c>
      <c r="H46">
        <v>2006</v>
      </c>
    </row>
    <row r="47" spans="1:8">
      <c r="A47" t="s">
        <v>43</v>
      </c>
      <c r="B47">
        <v>8.3000000000000007</v>
      </c>
      <c r="C47">
        <v>9.6</v>
      </c>
      <c r="D47">
        <v>36</v>
      </c>
      <c r="E47">
        <v>37.1</v>
      </c>
      <c r="F47">
        <v>35.1</v>
      </c>
      <c r="G47">
        <v>35</v>
      </c>
      <c r="H47">
        <v>2006</v>
      </c>
    </row>
    <row r="48" spans="1:8">
      <c r="A48" t="s">
        <v>44</v>
      </c>
      <c r="B48">
        <v>0.6</v>
      </c>
      <c r="C48">
        <v>0.2</v>
      </c>
      <c r="D48">
        <v>20</v>
      </c>
      <c r="E48">
        <v>18.100000000000001</v>
      </c>
      <c r="F48">
        <v>10.7</v>
      </c>
      <c r="G48">
        <v>19</v>
      </c>
      <c r="H48">
        <v>2006</v>
      </c>
    </row>
    <row r="49" spans="1:8">
      <c r="A49" t="s">
        <v>44</v>
      </c>
      <c r="B49">
        <v>0.9</v>
      </c>
      <c r="C49">
        <v>0.2</v>
      </c>
      <c r="D49">
        <v>3</v>
      </c>
      <c r="E49">
        <v>12.2</v>
      </c>
      <c r="F49">
        <v>16.100000000000001</v>
      </c>
      <c r="G49">
        <v>3</v>
      </c>
      <c r="H49">
        <v>2006</v>
      </c>
    </row>
    <row r="50" spans="1:8">
      <c r="A50" t="s">
        <v>44</v>
      </c>
      <c r="B50">
        <v>1</v>
      </c>
      <c r="C50">
        <v>0.5</v>
      </c>
      <c r="D50">
        <v>8</v>
      </c>
      <c r="E50">
        <v>9.4</v>
      </c>
      <c r="F50">
        <v>9.1999999999999993</v>
      </c>
      <c r="G50">
        <v>8</v>
      </c>
      <c r="H50">
        <v>2006</v>
      </c>
    </row>
    <row r="51" spans="1:8">
      <c r="A51" t="s">
        <v>44</v>
      </c>
      <c r="B51">
        <v>1.28</v>
      </c>
      <c r="C51">
        <v>0.75</v>
      </c>
      <c r="D51">
        <v>5</v>
      </c>
      <c r="E51">
        <v>8.9499999999999993</v>
      </c>
      <c r="F51">
        <v>4.59</v>
      </c>
      <c r="G51">
        <v>5</v>
      </c>
      <c r="H51">
        <v>2006</v>
      </c>
    </row>
    <row r="52" spans="1:8">
      <c r="A52" t="s">
        <v>45</v>
      </c>
      <c r="B52">
        <v>2.1</v>
      </c>
      <c r="C52">
        <v>1</v>
      </c>
      <c r="D52">
        <v>4</v>
      </c>
      <c r="E52">
        <v>7.1</v>
      </c>
      <c r="F52">
        <v>4.4000000000000004</v>
      </c>
      <c r="G52">
        <v>4</v>
      </c>
      <c r="H52">
        <v>2006</v>
      </c>
    </row>
    <row r="53" spans="1:8">
      <c r="A53" t="s">
        <v>46</v>
      </c>
      <c r="B53">
        <v>1.7</v>
      </c>
      <c r="C53">
        <v>1.3</v>
      </c>
      <c r="D53">
        <v>3</v>
      </c>
      <c r="E53">
        <v>25.2</v>
      </c>
      <c r="F53">
        <v>9.9</v>
      </c>
      <c r="G53">
        <v>3</v>
      </c>
      <c r="H53">
        <v>2006</v>
      </c>
    </row>
    <row r="54" spans="1:8">
      <c r="A54" t="s">
        <v>46</v>
      </c>
      <c r="B54">
        <v>1.2</v>
      </c>
      <c r="C54">
        <v>0.8</v>
      </c>
      <c r="D54">
        <v>7</v>
      </c>
      <c r="E54">
        <v>6.9</v>
      </c>
      <c r="F54">
        <v>3.1</v>
      </c>
      <c r="G54">
        <v>7</v>
      </c>
      <c r="H54">
        <v>2006</v>
      </c>
    </row>
    <row r="55" spans="1:8">
      <c r="A55" t="s">
        <v>47</v>
      </c>
      <c r="B55">
        <v>1.6</v>
      </c>
      <c r="C55">
        <v>1.1000000000000001</v>
      </c>
      <c r="D55">
        <v>5</v>
      </c>
      <c r="E55">
        <v>5.7</v>
      </c>
      <c r="F55">
        <v>5.6</v>
      </c>
      <c r="G55">
        <v>5</v>
      </c>
      <c r="H55">
        <v>2006</v>
      </c>
    </row>
    <row r="56" spans="1:8">
      <c r="A56" t="s">
        <v>48</v>
      </c>
      <c r="B56">
        <v>1.34</v>
      </c>
      <c r="C56">
        <v>0.91</v>
      </c>
      <c r="D56">
        <v>16</v>
      </c>
      <c r="E56">
        <v>46.15</v>
      </c>
      <c r="F56">
        <v>19.03</v>
      </c>
      <c r="G56">
        <v>16</v>
      </c>
      <c r="H56">
        <v>2006</v>
      </c>
    </row>
    <row r="57" spans="1:8">
      <c r="A57" t="s">
        <v>49</v>
      </c>
      <c r="B57">
        <v>1.7</v>
      </c>
      <c r="C57">
        <v>1.5</v>
      </c>
      <c r="D57">
        <v>16</v>
      </c>
      <c r="E57">
        <v>15.9</v>
      </c>
      <c r="F57">
        <v>6.5</v>
      </c>
      <c r="G57">
        <v>16</v>
      </c>
      <c r="H57">
        <v>2006</v>
      </c>
    </row>
    <row r="58" spans="1:8">
      <c r="A58" t="s">
        <v>50</v>
      </c>
      <c r="B58">
        <v>2.2000000000000002</v>
      </c>
      <c r="C58">
        <v>1.9</v>
      </c>
      <c r="D58">
        <v>16</v>
      </c>
      <c r="E58">
        <v>18.3</v>
      </c>
      <c r="F58">
        <v>10.3</v>
      </c>
      <c r="G58">
        <v>16</v>
      </c>
      <c r="H58">
        <v>2006</v>
      </c>
    </row>
    <row r="59" spans="1:8">
      <c r="A59" t="s">
        <v>51</v>
      </c>
      <c r="B59">
        <v>2.6</v>
      </c>
      <c r="C59">
        <v>1.3</v>
      </c>
      <c r="D59">
        <v>16</v>
      </c>
      <c r="E59">
        <v>19</v>
      </c>
      <c r="F59">
        <v>12.2</v>
      </c>
      <c r="G59">
        <v>16</v>
      </c>
      <c r="H59">
        <v>2006</v>
      </c>
    </row>
    <row r="60" spans="1:8">
      <c r="A60" t="s">
        <v>52</v>
      </c>
      <c r="B60">
        <v>3.26</v>
      </c>
      <c r="C60">
        <v>1.8</v>
      </c>
      <c r="D60">
        <v>10</v>
      </c>
      <c r="E60">
        <v>65.349999999999994</v>
      </c>
      <c r="F60">
        <v>20.010000000000002</v>
      </c>
      <c r="G60">
        <v>10</v>
      </c>
      <c r="H60">
        <v>2008</v>
      </c>
    </row>
    <row r="61" spans="1:8">
      <c r="A61" t="s">
        <v>53</v>
      </c>
      <c r="B61">
        <v>7.22</v>
      </c>
      <c r="C61">
        <v>2.7</v>
      </c>
      <c r="D61">
        <v>6</v>
      </c>
      <c r="E61">
        <v>49.05</v>
      </c>
      <c r="F61">
        <v>16.940000000000001</v>
      </c>
      <c r="G61">
        <v>6</v>
      </c>
      <c r="H61">
        <v>2008</v>
      </c>
    </row>
    <row r="62" spans="1:8">
      <c r="A62" t="s">
        <v>54</v>
      </c>
      <c r="B62">
        <v>3.66</v>
      </c>
      <c r="C62">
        <v>1.67</v>
      </c>
      <c r="D62">
        <v>36</v>
      </c>
      <c r="E62">
        <v>33.94</v>
      </c>
      <c r="F62">
        <v>16.02</v>
      </c>
      <c r="G62">
        <v>36</v>
      </c>
      <c r="H62">
        <v>2008</v>
      </c>
    </row>
    <row r="63" spans="1:8">
      <c r="A63" t="s">
        <v>55</v>
      </c>
      <c r="B63">
        <v>3.13</v>
      </c>
      <c r="C63">
        <v>2.5099999999999998</v>
      </c>
      <c r="D63">
        <v>29</v>
      </c>
      <c r="E63">
        <v>27.4</v>
      </c>
      <c r="F63">
        <v>17.559999999999999</v>
      </c>
      <c r="G63">
        <v>29</v>
      </c>
      <c r="H63">
        <v>2008</v>
      </c>
    </row>
    <row r="64" spans="1:8">
      <c r="A64" t="s">
        <v>56</v>
      </c>
      <c r="B64">
        <v>5.77</v>
      </c>
      <c r="C64">
        <v>3.08</v>
      </c>
      <c r="D64">
        <v>19</v>
      </c>
      <c r="E64">
        <v>29.65</v>
      </c>
      <c r="F64">
        <v>8.99</v>
      </c>
      <c r="G64">
        <v>19</v>
      </c>
      <c r="H64">
        <v>2008</v>
      </c>
    </row>
    <row r="65" spans="1:9">
      <c r="A65" t="s">
        <v>57</v>
      </c>
      <c r="B65">
        <v>11.63</v>
      </c>
      <c r="C65">
        <v>5.7</v>
      </c>
      <c r="D65">
        <v>16</v>
      </c>
      <c r="E65">
        <v>38.07</v>
      </c>
      <c r="F65">
        <v>20.96</v>
      </c>
      <c r="G65">
        <v>16</v>
      </c>
      <c r="H65">
        <v>2008</v>
      </c>
    </row>
    <row r="66" spans="1:9">
      <c r="A66" t="s">
        <v>58</v>
      </c>
      <c r="B66">
        <v>10.98</v>
      </c>
      <c r="C66">
        <v>9.36</v>
      </c>
      <c r="D66">
        <v>10</v>
      </c>
      <c r="E66">
        <v>47.5</v>
      </c>
      <c r="F66">
        <v>13.31</v>
      </c>
      <c r="G66">
        <v>10</v>
      </c>
      <c r="H66">
        <v>2008</v>
      </c>
    </row>
    <row r="67" spans="1:9">
      <c r="A67" t="s">
        <v>59</v>
      </c>
      <c r="B67">
        <v>7.69</v>
      </c>
      <c r="C67">
        <v>5.1100000000000003</v>
      </c>
      <c r="D67">
        <v>9</v>
      </c>
      <c r="E67">
        <v>15.96</v>
      </c>
      <c r="F67">
        <v>7.86</v>
      </c>
      <c r="G67">
        <v>9</v>
      </c>
      <c r="H67">
        <v>2008</v>
      </c>
    </row>
    <row r="68" spans="1:9">
      <c r="A68" t="s">
        <v>60</v>
      </c>
      <c r="B68">
        <v>11.44</v>
      </c>
      <c r="C68">
        <v>9</v>
      </c>
      <c r="D68">
        <v>6</v>
      </c>
      <c r="E68">
        <v>40.17</v>
      </c>
      <c r="F68">
        <v>26.13</v>
      </c>
      <c r="G68">
        <v>6</v>
      </c>
      <c r="H68">
        <v>2008</v>
      </c>
    </row>
    <row r="69" spans="1:9">
      <c r="A69" t="s">
        <v>61</v>
      </c>
      <c r="B69">
        <v>11.37</v>
      </c>
      <c r="C69">
        <v>9.64</v>
      </c>
      <c r="D69">
        <v>14</v>
      </c>
      <c r="E69">
        <v>44.63</v>
      </c>
      <c r="F69">
        <v>29.32</v>
      </c>
      <c r="G69">
        <v>14</v>
      </c>
      <c r="H69">
        <v>2008</v>
      </c>
    </row>
    <row r="70" spans="1:9">
      <c r="A70" t="s">
        <v>62</v>
      </c>
      <c r="B70">
        <v>6.43</v>
      </c>
      <c r="C70">
        <v>3.89</v>
      </c>
      <c r="D70">
        <v>13</v>
      </c>
      <c r="E70">
        <v>28.38</v>
      </c>
      <c r="F70">
        <v>18.7</v>
      </c>
      <c r="G70">
        <v>13</v>
      </c>
      <c r="H70">
        <v>2008</v>
      </c>
    </row>
    <row r="71" spans="1:9">
      <c r="A71" t="s">
        <v>63</v>
      </c>
      <c r="B71">
        <v>5.74</v>
      </c>
      <c r="C71">
        <v>6.15</v>
      </c>
      <c r="D71">
        <v>12</v>
      </c>
      <c r="E71">
        <v>6.96</v>
      </c>
      <c r="F71">
        <v>1.42</v>
      </c>
      <c r="G71">
        <v>12</v>
      </c>
      <c r="H71">
        <v>2008</v>
      </c>
    </row>
    <row r="72" spans="1:9">
      <c r="A72" t="s">
        <v>64</v>
      </c>
      <c r="B72" s="61">
        <f>AVERAGE(B3:B71)</f>
        <v>3.7942028985507239</v>
      </c>
      <c r="D72">
        <f>SUM(D3:D71)</f>
        <v>1146</v>
      </c>
      <c r="E72" s="61">
        <f>AVERAGE(E3:E71)</f>
        <v>29.172352941176481</v>
      </c>
      <c r="G72">
        <f>SUM(G30:G71)</f>
        <v>499</v>
      </c>
    </row>
    <row r="74" spans="1:9">
      <c r="A74" t="s">
        <v>65</v>
      </c>
      <c r="I74" t="s">
        <v>66</v>
      </c>
    </row>
    <row r="75" spans="1:9">
      <c r="A75" t="s">
        <v>67</v>
      </c>
      <c r="B75">
        <v>8.7200000000000006</v>
      </c>
      <c r="C75">
        <v>1.2</v>
      </c>
      <c r="D75">
        <v>1</v>
      </c>
      <c r="E75">
        <v>95.73</v>
      </c>
      <c r="F75">
        <v>10.19</v>
      </c>
      <c r="G75">
        <v>1</v>
      </c>
      <c r="H75">
        <v>2009</v>
      </c>
      <c r="I75">
        <v>1</v>
      </c>
    </row>
    <row r="76" spans="1:9">
      <c r="A76" t="s">
        <v>67</v>
      </c>
      <c r="B76">
        <v>4.5</v>
      </c>
      <c r="C76">
        <v>1.3</v>
      </c>
      <c r="D76">
        <v>3</v>
      </c>
      <c r="E76">
        <v>94.83</v>
      </c>
      <c r="F76">
        <v>7.66</v>
      </c>
      <c r="G76">
        <v>3</v>
      </c>
      <c r="H76">
        <v>2006</v>
      </c>
      <c r="I76">
        <v>4</v>
      </c>
    </row>
    <row r="77" spans="1:9">
      <c r="A77" t="s">
        <v>67</v>
      </c>
      <c r="B77">
        <v>5.04</v>
      </c>
      <c r="C77">
        <v>1.39</v>
      </c>
      <c r="D77">
        <v>4</v>
      </c>
      <c r="E77">
        <v>81.069999999999993</v>
      </c>
      <c r="F77">
        <v>23.47</v>
      </c>
      <c r="G77">
        <v>4</v>
      </c>
      <c r="H77">
        <v>2004</v>
      </c>
      <c r="I77">
        <v>6</v>
      </c>
    </row>
    <row r="78" spans="1:9">
      <c r="A78" t="s">
        <v>67</v>
      </c>
      <c r="B78">
        <v>12.21</v>
      </c>
      <c r="C78">
        <v>5.61</v>
      </c>
      <c r="D78">
        <v>4</v>
      </c>
      <c r="E78">
        <v>80.37</v>
      </c>
      <c r="F78">
        <v>7.69</v>
      </c>
      <c r="G78">
        <v>4</v>
      </c>
      <c r="H78">
        <v>2000</v>
      </c>
      <c r="I78">
        <v>10</v>
      </c>
    </row>
    <row r="79" spans="1:9">
      <c r="A79" t="s">
        <v>67</v>
      </c>
      <c r="B79">
        <v>6.16</v>
      </c>
      <c r="C79">
        <v>0.65</v>
      </c>
      <c r="D79">
        <v>2</v>
      </c>
      <c r="E79">
        <v>101.63</v>
      </c>
      <c r="F79">
        <v>4.21</v>
      </c>
      <c r="G79">
        <v>2</v>
      </c>
      <c r="H79">
        <v>1992</v>
      </c>
      <c r="I79">
        <v>18</v>
      </c>
    </row>
    <row r="80" spans="1:9">
      <c r="A80" t="s">
        <v>67</v>
      </c>
      <c r="B80">
        <v>4.4800000000000004</v>
      </c>
      <c r="C80">
        <v>2.31</v>
      </c>
      <c r="D80">
        <v>2</v>
      </c>
      <c r="E80">
        <v>76.38</v>
      </c>
      <c r="F80">
        <v>17.13</v>
      </c>
      <c r="G80">
        <v>2</v>
      </c>
      <c r="H80">
        <v>1987</v>
      </c>
      <c r="I80">
        <v>23</v>
      </c>
    </row>
    <row r="81" spans="1:9">
      <c r="A81" t="s">
        <v>68</v>
      </c>
      <c r="B81">
        <v>6.12</v>
      </c>
      <c r="C81">
        <v>1.62</v>
      </c>
      <c r="D81">
        <v>3</v>
      </c>
      <c r="E81">
        <v>35.32</v>
      </c>
      <c r="F81">
        <v>11.01</v>
      </c>
      <c r="G81">
        <v>3</v>
      </c>
      <c r="H81">
        <v>2002</v>
      </c>
      <c r="I81">
        <v>8</v>
      </c>
    </row>
    <row r="82" spans="1:9">
      <c r="A82" t="s">
        <v>68</v>
      </c>
      <c r="B82">
        <v>5.98</v>
      </c>
      <c r="C82">
        <v>2.5499999999999998</v>
      </c>
      <c r="D82">
        <v>6</v>
      </c>
      <c r="E82">
        <v>53.04</v>
      </c>
      <c r="F82">
        <v>12.01</v>
      </c>
      <c r="G82">
        <v>6</v>
      </c>
      <c r="H82">
        <v>1997</v>
      </c>
      <c r="I82">
        <v>13</v>
      </c>
    </row>
    <row r="83" spans="1:9">
      <c r="A83" t="s">
        <v>53</v>
      </c>
      <c r="B83">
        <v>0</v>
      </c>
      <c r="C83">
        <v>0</v>
      </c>
      <c r="D83">
        <v>4</v>
      </c>
      <c r="E83">
        <v>43.01</v>
      </c>
      <c r="F83">
        <v>12.44</v>
      </c>
      <c r="G83">
        <v>4</v>
      </c>
      <c r="H83">
        <v>2006</v>
      </c>
      <c r="I83">
        <v>3</v>
      </c>
    </row>
    <row r="84" spans="1:9">
      <c r="A84" t="s">
        <v>64</v>
      </c>
      <c r="B84" s="61">
        <f>AVERAGE(B75:B83)</f>
        <v>5.9122222222222218</v>
      </c>
      <c r="D84">
        <f>SUM(D75:D83)</f>
        <v>29</v>
      </c>
      <c r="E84" s="61">
        <f>AVERAGE(E75:E83)</f>
        <v>73.486666666666665</v>
      </c>
      <c r="G84">
        <f>SUM(G75:G83)</f>
        <v>29</v>
      </c>
    </row>
    <row r="85" spans="1:9">
      <c r="A85" t="s">
        <v>69</v>
      </c>
    </row>
    <row r="86" spans="1:9">
      <c r="A86" t="s">
        <v>70</v>
      </c>
      <c r="B86">
        <v>1.28</v>
      </c>
      <c r="C86">
        <v>2.98</v>
      </c>
      <c r="D86" t="s">
        <v>71</v>
      </c>
      <c r="E86">
        <v>21.44</v>
      </c>
      <c r="F86">
        <v>7.37</v>
      </c>
      <c r="G86" t="s">
        <v>71</v>
      </c>
      <c r="H86">
        <v>2006</v>
      </c>
      <c r="I86">
        <v>3</v>
      </c>
    </row>
    <row r="87" spans="1:9">
      <c r="A87" t="s">
        <v>70</v>
      </c>
      <c r="B87">
        <v>0.44</v>
      </c>
      <c r="C87">
        <v>0.76</v>
      </c>
      <c r="D87" t="s">
        <v>71</v>
      </c>
      <c r="E87">
        <v>28.82</v>
      </c>
      <c r="F87">
        <v>6.49</v>
      </c>
      <c r="G87" t="s">
        <v>71</v>
      </c>
      <c r="H87">
        <v>2002</v>
      </c>
      <c r="I87">
        <v>7</v>
      </c>
    </row>
    <row r="88" spans="1:9">
      <c r="A88" t="s">
        <v>70</v>
      </c>
      <c r="B88">
        <v>0</v>
      </c>
      <c r="C88">
        <v>0</v>
      </c>
      <c r="D88" t="s">
        <v>71</v>
      </c>
      <c r="E88">
        <v>23.35</v>
      </c>
      <c r="F88">
        <v>14.06</v>
      </c>
      <c r="G88" t="s">
        <v>71</v>
      </c>
      <c r="H88">
        <v>2001</v>
      </c>
      <c r="I88">
        <v>8</v>
      </c>
    </row>
    <row r="89" spans="1:9">
      <c r="A89" t="s">
        <v>72</v>
      </c>
      <c r="B89">
        <v>1.48</v>
      </c>
      <c r="C89">
        <v>1.86</v>
      </c>
      <c r="D89" t="s">
        <v>71</v>
      </c>
      <c r="E89">
        <v>25.71</v>
      </c>
      <c r="F89">
        <v>7.16</v>
      </c>
      <c r="G89" t="s">
        <v>71</v>
      </c>
      <c r="H89">
        <v>2006</v>
      </c>
      <c r="I89">
        <v>3</v>
      </c>
    </row>
    <row r="90" spans="1:9">
      <c r="A90" t="s">
        <v>72</v>
      </c>
      <c r="B90">
        <v>1.2</v>
      </c>
      <c r="C90">
        <v>0.49</v>
      </c>
      <c r="D90" t="s">
        <v>71</v>
      </c>
      <c r="E90">
        <v>23.33</v>
      </c>
      <c r="F90">
        <v>2.69</v>
      </c>
      <c r="G90" t="s">
        <v>71</v>
      </c>
      <c r="H90">
        <v>2005</v>
      </c>
      <c r="I90">
        <v>4</v>
      </c>
    </row>
    <row r="91" spans="1:9">
      <c r="A91" t="s">
        <v>72</v>
      </c>
      <c r="B91">
        <v>0.56000000000000005</v>
      </c>
      <c r="C91">
        <v>0.11899999999999999</v>
      </c>
      <c r="D91" t="s">
        <v>71</v>
      </c>
      <c r="E91">
        <v>21.57</v>
      </c>
      <c r="F91">
        <v>2.04</v>
      </c>
      <c r="G91" t="s">
        <v>71</v>
      </c>
      <c r="H91">
        <v>2003</v>
      </c>
      <c r="I91">
        <v>6</v>
      </c>
    </row>
    <row r="92" spans="1:9">
      <c r="A92" t="s">
        <v>73</v>
      </c>
      <c r="B92">
        <v>2.5499999999999998</v>
      </c>
      <c r="C92">
        <v>0.71</v>
      </c>
      <c r="D92" t="s">
        <v>71</v>
      </c>
      <c r="E92">
        <v>31.79</v>
      </c>
      <c r="F92">
        <v>7.03</v>
      </c>
      <c r="G92" t="s">
        <v>71</v>
      </c>
      <c r="H92">
        <v>2002</v>
      </c>
      <c r="I92">
        <v>8</v>
      </c>
    </row>
    <row r="93" spans="1:9">
      <c r="A93" t="s">
        <v>73</v>
      </c>
      <c r="B93">
        <v>0.89</v>
      </c>
      <c r="C93">
        <v>0.24</v>
      </c>
      <c r="D93" t="s">
        <v>71</v>
      </c>
      <c r="E93">
        <v>38.15</v>
      </c>
      <c r="F93">
        <v>4.68</v>
      </c>
      <c r="G93" t="s">
        <v>71</v>
      </c>
      <c r="H93">
        <v>2001</v>
      </c>
      <c r="I93">
        <v>9</v>
      </c>
    </row>
    <row r="94" spans="1:9">
      <c r="A94" t="s">
        <v>73</v>
      </c>
      <c r="B94">
        <v>3.11</v>
      </c>
      <c r="C94">
        <v>0.74</v>
      </c>
      <c r="D94" t="s">
        <v>71</v>
      </c>
      <c r="E94">
        <v>24.78</v>
      </c>
      <c r="F94">
        <v>5.25</v>
      </c>
      <c r="G94" t="s">
        <v>71</v>
      </c>
      <c r="H94">
        <v>2000</v>
      </c>
      <c r="I94">
        <v>10</v>
      </c>
    </row>
    <row r="95" spans="1:9">
      <c r="A95" t="s">
        <v>73</v>
      </c>
      <c r="B95">
        <v>3.6</v>
      </c>
      <c r="C95">
        <v>2.09</v>
      </c>
      <c r="D95" t="s">
        <v>71</v>
      </c>
      <c r="E95">
        <v>27.62</v>
      </c>
      <c r="F95">
        <v>14.25</v>
      </c>
      <c r="G95" t="s">
        <v>71</v>
      </c>
      <c r="H95">
        <v>1999</v>
      </c>
      <c r="I95">
        <v>11</v>
      </c>
    </row>
    <row r="96" spans="1:9">
      <c r="A96" t="s">
        <v>64</v>
      </c>
      <c r="B96" s="61">
        <f>AVERAGE(B86:B95)</f>
        <v>1.5109999999999999</v>
      </c>
      <c r="E96" s="61">
        <f>AVERAGE(E86:E95)</f>
        <v>26.655999999999999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DAF7-95EC-184C-A4B4-2A917E9ED6CB}">
  <dimension ref="A1:M18"/>
  <sheetViews>
    <sheetView workbookViewId="0" xr3:uid="{47915EE9-F3C9-56AF-BE58-DDFDA2B94E3C}">
      <selection activeCell="M3" sqref="M3"/>
    </sheetView>
  </sheetViews>
  <sheetFormatPr defaultColWidth="11" defaultRowHeight="15.95"/>
  <cols>
    <col min="1" max="1" width="21.375" customWidth="1"/>
  </cols>
  <sheetData>
    <row r="1" spans="1:13">
      <c r="B1" t="s">
        <v>74</v>
      </c>
      <c r="E1" t="s">
        <v>75</v>
      </c>
      <c r="H1" t="s">
        <v>76</v>
      </c>
      <c r="M1" t="s">
        <v>77</v>
      </c>
    </row>
    <row r="2" spans="1:13">
      <c r="B2" t="s">
        <v>78</v>
      </c>
      <c r="C2" t="s">
        <v>79</v>
      </c>
      <c r="F2" t="s">
        <v>80</v>
      </c>
      <c r="G2" t="s">
        <v>81</v>
      </c>
      <c r="I2" t="s">
        <v>82</v>
      </c>
      <c r="J2" t="s">
        <v>83</v>
      </c>
      <c r="K2" t="s">
        <v>81</v>
      </c>
      <c r="M2" s="61">
        <f>AVERAGE(K3:K8,G3:G18,B3:B5)</f>
        <v>4.757820727272728</v>
      </c>
    </row>
    <row r="3" spans="1:13">
      <c r="A3" t="s">
        <v>84</v>
      </c>
      <c r="B3">
        <v>2.1</v>
      </c>
      <c r="C3">
        <v>28</v>
      </c>
      <c r="D3" t="s">
        <v>85</v>
      </c>
      <c r="E3" t="s">
        <v>86</v>
      </c>
      <c r="F3">
        <v>49.5</v>
      </c>
      <c r="G3" s="61">
        <f>F3/(44/12)</f>
        <v>13.5</v>
      </c>
      <c r="H3" t="s">
        <v>87</v>
      </c>
      <c r="I3">
        <v>9.59</v>
      </c>
      <c r="J3">
        <v>67</v>
      </c>
      <c r="K3">
        <f>I3*0.47</f>
        <v>4.5072999999999999</v>
      </c>
      <c r="M3" s="9">
        <f>AVERAGE(B6:B8)</f>
        <v>0.46666666666666673</v>
      </c>
    </row>
    <row r="4" spans="1:13">
      <c r="A4" t="s">
        <v>88</v>
      </c>
      <c r="B4">
        <v>5.5</v>
      </c>
      <c r="C4">
        <v>7</v>
      </c>
      <c r="E4">
        <v>4</v>
      </c>
      <c r="F4">
        <v>3.74</v>
      </c>
      <c r="G4" s="61">
        <f t="shared" ref="G4:G18" si="0">F4/(44/12)</f>
        <v>1.02</v>
      </c>
      <c r="H4" t="s">
        <v>89</v>
      </c>
      <c r="I4">
        <v>0.33</v>
      </c>
      <c r="J4">
        <v>27</v>
      </c>
      <c r="K4">
        <f t="shared" ref="K4:K8" si="1">I4*0.47</f>
        <v>0.15509999999999999</v>
      </c>
    </row>
    <row r="5" spans="1:13">
      <c r="A5" t="s">
        <v>90</v>
      </c>
      <c r="B5">
        <v>2.1</v>
      </c>
      <c r="C5">
        <v>39</v>
      </c>
      <c r="E5">
        <v>15</v>
      </c>
      <c r="F5">
        <v>12.71</v>
      </c>
      <c r="G5" s="61">
        <f t="shared" si="0"/>
        <v>3.4663636363636368</v>
      </c>
      <c r="H5" t="s">
        <v>91</v>
      </c>
      <c r="I5">
        <v>6.94</v>
      </c>
      <c r="J5">
        <v>1</v>
      </c>
      <c r="K5">
        <f t="shared" si="1"/>
        <v>3.2618</v>
      </c>
    </row>
    <row r="6" spans="1:13">
      <c r="A6" t="s">
        <v>92</v>
      </c>
      <c r="B6">
        <v>0.1</v>
      </c>
      <c r="C6">
        <v>5</v>
      </c>
      <c r="E6">
        <v>30</v>
      </c>
      <c r="F6">
        <v>22.33</v>
      </c>
      <c r="G6" s="61">
        <f t="shared" si="0"/>
        <v>6.09</v>
      </c>
      <c r="H6" t="s">
        <v>93</v>
      </c>
      <c r="I6">
        <v>9.1</v>
      </c>
      <c r="J6">
        <v>15</v>
      </c>
      <c r="K6">
        <f t="shared" si="1"/>
        <v>4.2769999999999992</v>
      </c>
    </row>
    <row r="7" spans="1:13">
      <c r="A7" t="s">
        <v>94</v>
      </c>
      <c r="B7">
        <v>1.3</v>
      </c>
      <c r="C7">
        <v>9</v>
      </c>
      <c r="D7" t="s">
        <v>95</v>
      </c>
      <c r="E7" t="s">
        <v>86</v>
      </c>
      <c r="F7">
        <v>48.27</v>
      </c>
      <c r="G7" s="61">
        <f t="shared" si="0"/>
        <v>13.164545454545456</v>
      </c>
      <c r="H7" t="s">
        <v>96</v>
      </c>
      <c r="I7">
        <v>31.25</v>
      </c>
      <c r="J7">
        <v>16</v>
      </c>
      <c r="K7">
        <f t="shared" si="1"/>
        <v>14.6875</v>
      </c>
    </row>
    <row r="8" spans="1:13">
      <c r="A8" t="s">
        <v>97</v>
      </c>
      <c r="B8">
        <v>0</v>
      </c>
      <c r="C8">
        <v>4</v>
      </c>
      <c r="E8">
        <v>4</v>
      </c>
      <c r="F8">
        <v>5.0999999999999996</v>
      </c>
      <c r="G8" s="61">
        <f t="shared" si="0"/>
        <v>1.3909090909090909</v>
      </c>
      <c r="H8" t="s">
        <v>98</v>
      </c>
      <c r="I8">
        <v>10.5</v>
      </c>
      <c r="J8">
        <v>13</v>
      </c>
      <c r="K8">
        <f t="shared" si="1"/>
        <v>4.9349999999999996</v>
      </c>
    </row>
    <row r="9" spans="1:13">
      <c r="E9">
        <v>15</v>
      </c>
      <c r="F9">
        <v>15.96</v>
      </c>
      <c r="G9" s="61">
        <f t="shared" si="0"/>
        <v>4.3527272727272734</v>
      </c>
    </row>
    <row r="10" spans="1:13">
      <c r="E10">
        <v>30</v>
      </c>
      <c r="F10">
        <v>25.43</v>
      </c>
      <c r="G10" s="61">
        <f t="shared" si="0"/>
        <v>6.9354545454545455</v>
      </c>
    </row>
    <row r="11" spans="1:13">
      <c r="D11" t="s">
        <v>99</v>
      </c>
      <c r="E11" t="s">
        <v>86</v>
      </c>
      <c r="F11">
        <v>56.47</v>
      </c>
      <c r="G11" s="61">
        <f t="shared" si="0"/>
        <v>15.40090909090909</v>
      </c>
    </row>
    <row r="12" spans="1:13">
      <c r="E12">
        <v>8</v>
      </c>
      <c r="F12">
        <v>1.88</v>
      </c>
      <c r="G12" s="61">
        <f t="shared" si="0"/>
        <v>0.5127272727272727</v>
      </c>
    </row>
    <row r="13" spans="1:13">
      <c r="E13">
        <v>15</v>
      </c>
      <c r="F13">
        <v>9.5399999999999991</v>
      </c>
      <c r="G13" s="61">
        <f t="shared" si="0"/>
        <v>2.6018181818181816</v>
      </c>
    </row>
    <row r="14" spans="1:13">
      <c r="E14">
        <v>30</v>
      </c>
      <c r="F14">
        <v>22.68</v>
      </c>
      <c r="G14" s="61">
        <f t="shared" si="0"/>
        <v>6.1854545454545455</v>
      </c>
    </row>
    <row r="15" spans="1:13">
      <c r="D15" t="s">
        <v>100</v>
      </c>
      <c r="E15" t="s">
        <v>86</v>
      </c>
      <c r="F15">
        <v>6.95</v>
      </c>
      <c r="G15" s="61">
        <f t="shared" si="0"/>
        <v>1.8954545454545455</v>
      </c>
    </row>
    <row r="16" spans="1:13">
      <c r="E16">
        <v>4</v>
      </c>
      <c r="F16">
        <v>0.27</v>
      </c>
      <c r="G16" s="61">
        <f t="shared" si="0"/>
        <v>7.3636363636363639E-2</v>
      </c>
    </row>
    <row r="17" spans="5:7">
      <c r="E17">
        <v>15</v>
      </c>
      <c r="F17">
        <v>1.02</v>
      </c>
      <c r="G17" s="61">
        <f t="shared" si="0"/>
        <v>0.2781818181818182</v>
      </c>
    </row>
    <row r="18" spans="5:7">
      <c r="E18">
        <v>30</v>
      </c>
      <c r="F18">
        <v>2.0299999999999998</v>
      </c>
      <c r="G18" s="61">
        <f t="shared" si="0"/>
        <v>0.55363636363636359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07EE-F8F3-2949-905A-D38DB16FBE88}">
  <dimension ref="A1:AC75"/>
  <sheetViews>
    <sheetView topLeftCell="T1" zoomScale="80" zoomScaleNormal="80" zoomScalePageLayoutView="80" workbookViewId="0" xr3:uid="{1E673CEC-74EE-5ACC-BE47-7437F0733061}">
      <selection activeCell="W9" sqref="W9"/>
    </sheetView>
  </sheetViews>
  <sheetFormatPr defaultColWidth="11" defaultRowHeight="15.95"/>
  <cols>
    <col min="1" max="1" width="18.875" customWidth="1"/>
    <col min="2" max="2" width="41.375" bestFit="1" customWidth="1"/>
    <col min="3" max="3" width="56.5" bestFit="1" customWidth="1"/>
    <col min="4" max="4" width="17.125" bestFit="1" customWidth="1"/>
    <col min="5" max="5" width="34.5" bestFit="1" customWidth="1"/>
    <col min="6" max="6" width="19" bestFit="1" customWidth="1"/>
    <col min="7" max="7" width="15.625" customWidth="1"/>
    <col min="8" max="8" width="15" bestFit="1" customWidth="1"/>
    <col min="9" max="9" width="12.625" bestFit="1" customWidth="1"/>
    <col min="10" max="11" width="12.125" customWidth="1"/>
    <col min="12" max="12" width="27.125" bestFit="1" customWidth="1"/>
    <col min="13" max="13" width="56.625" customWidth="1"/>
    <col min="14" max="14" width="15.5" bestFit="1" customWidth="1"/>
    <col min="15" max="15" width="14" customWidth="1"/>
    <col min="16" max="16" width="14.875" customWidth="1"/>
    <col min="17" max="17" width="33.625" bestFit="1" customWidth="1"/>
    <col min="18" max="18" width="32.625" bestFit="1" customWidth="1"/>
    <col min="19" max="19" width="33.125" customWidth="1"/>
    <col min="20" max="20" width="32.125" customWidth="1"/>
    <col min="21" max="21" width="16.875" bestFit="1" customWidth="1"/>
    <col min="22" max="22" width="53" bestFit="1" customWidth="1"/>
    <col min="23" max="23" width="21.625" customWidth="1"/>
    <col min="24" max="24" width="21.125" customWidth="1"/>
    <col min="25" max="25" width="20.5" customWidth="1"/>
    <col min="26" max="26" width="20.375" bestFit="1" customWidth="1"/>
    <col min="27" max="27" width="21.875" customWidth="1"/>
    <col min="28" max="28" width="19.5" bestFit="1" customWidth="1"/>
    <col min="29" max="29" width="16.125" customWidth="1"/>
    <col min="30" max="30" width="10.125" bestFit="1" customWidth="1"/>
    <col min="31" max="31" width="17.125" bestFit="1" customWidth="1"/>
    <col min="32" max="32" width="20.375" bestFit="1" customWidth="1"/>
    <col min="33" max="33" width="16" bestFit="1" customWidth="1"/>
    <col min="34" max="34" width="19.5" bestFit="1" customWidth="1"/>
    <col min="35" max="35" width="11.125" bestFit="1" customWidth="1"/>
    <col min="36" max="36" width="19.5" bestFit="1" customWidth="1"/>
    <col min="37" max="38" width="11.125" bestFit="1" customWidth="1"/>
  </cols>
  <sheetData>
    <row r="1" spans="1:29" ht="24.95">
      <c r="A1" s="15" t="s">
        <v>101</v>
      </c>
      <c r="B1" s="15" t="s">
        <v>102</v>
      </c>
      <c r="C1" s="16"/>
      <c r="D1" s="16"/>
      <c r="E1" s="16"/>
      <c r="F1" s="16"/>
      <c r="Q1" s="10"/>
      <c r="R1" s="17" t="s">
        <v>103</v>
      </c>
      <c r="S1" s="17" t="s">
        <v>104</v>
      </c>
      <c r="T1" s="18">
        <f>44/12</f>
        <v>3.6666666666666665</v>
      </c>
      <c r="U1" s="16"/>
    </row>
    <row r="2" spans="1:29" ht="44.1">
      <c r="A2" s="16" t="s">
        <v>105</v>
      </c>
      <c r="B2" s="16"/>
      <c r="C2" s="19" t="s">
        <v>106</v>
      </c>
      <c r="D2" s="20">
        <v>9985929.8381040003</v>
      </c>
      <c r="E2" s="15" t="s">
        <v>107</v>
      </c>
      <c r="F2" s="20">
        <v>10414</v>
      </c>
      <c r="Q2" s="10"/>
      <c r="R2" s="15"/>
      <c r="S2" s="17" t="s">
        <v>108</v>
      </c>
      <c r="T2" s="18">
        <v>10</v>
      </c>
      <c r="U2" s="16" t="s">
        <v>109</v>
      </c>
    </row>
    <row r="3" spans="1:29" ht="21.95" thickBot="1">
      <c r="A3" s="21"/>
      <c r="B3" s="21"/>
      <c r="C3" s="22"/>
      <c r="D3" s="23"/>
      <c r="E3" s="24"/>
      <c r="F3" s="23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4"/>
      <c r="S3" s="27" t="s">
        <v>110</v>
      </c>
      <c r="T3" s="28">
        <v>10</v>
      </c>
      <c r="U3" s="16" t="s">
        <v>109</v>
      </c>
    </row>
    <row r="4" spans="1:29" ht="89.1" thickBot="1">
      <c r="A4" s="29" t="s">
        <v>111</v>
      </c>
      <c r="B4" s="30" t="s">
        <v>112</v>
      </c>
      <c r="C4" s="30" t="s">
        <v>113</v>
      </c>
      <c r="D4" s="31" t="s">
        <v>114</v>
      </c>
      <c r="E4" s="31" t="s">
        <v>115</v>
      </c>
      <c r="F4" s="32" t="s">
        <v>116</v>
      </c>
      <c r="G4" s="31" t="s">
        <v>117</v>
      </c>
      <c r="H4" s="31" t="s">
        <v>118</v>
      </c>
      <c r="I4" s="33" t="s">
        <v>119</v>
      </c>
      <c r="J4" s="34" t="s">
        <v>120</v>
      </c>
      <c r="K4" s="35" t="s">
        <v>121</v>
      </c>
      <c r="L4" s="30" t="s">
        <v>122</v>
      </c>
      <c r="M4" s="30" t="s">
        <v>113</v>
      </c>
      <c r="N4" s="36" t="s">
        <v>123</v>
      </c>
      <c r="O4" s="36" t="s">
        <v>124</v>
      </c>
      <c r="P4" s="36" t="s">
        <v>125</v>
      </c>
      <c r="Q4" s="36" t="s">
        <v>126</v>
      </c>
      <c r="R4" s="36" t="s">
        <v>127</v>
      </c>
      <c r="S4" s="36" t="s">
        <v>128</v>
      </c>
      <c r="T4" s="37" t="s">
        <v>128</v>
      </c>
      <c r="U4" s="38"/>
      <c r="V4" s="39" t="s">
        <v>129</v>
      </c>
    </row>
    <row r="5" spans="1:29" ht="26.1" customHeight="1" thickBot="1">
      <c r="A5" s="40" t="s">
        <v>130</v>
      </c>
      <c r="B5" s="40" t="s">
        <v>131</v>
      </c>
      <c r="C5" s="40" t="s">
        <v>132</v>
      </c>
      <c r="D5" s="41">
        <f>$D$2*G5</f>
        <v>325065.31737250392</v>
      </c>
      <c r="E5" s="42">
        <f>1.96*$D$2*SQRT(((G5*(1-G5))/($F$2-1)))</f>
        <v>34037.797535418285</v>
      </c>
      <c r="F5" s="43">
        <f>E5/D5</f>
        <v>0.10471064034313191</v>
      </c>
      <c r="G5" s="44">
        <f>H5/F$2</f>
        <v>3.2552333397349718E-2</v>
      </c>
      <c r="H5" s="45">
        <v>339</v>
      </c>
      <c r="I5" s="46">
        <f>E5/1.96</f>
        <v>17366.223232356268</v>
      </c>
      <c r="J5" s="42">
        <f>D5-I5</f>
        <v>307699.09414014767</v>
      </c>
      <c r="K5" s="47">
        <f>D5+E5</f>
        <v>359103.11490792222</v>
      </c>
      <c r="L5" s="40" t="s">
        <v>131</v>
      </c>
      <c r="M5" s="40" t="s">
        <v>133</v>
      </c>
      <c r="N5" s="48">
        <v>3.8</v>
      </c>
      <c r="O5" s="49">
        <v>0</v>
      </c>
      <c r="P5" s="50">
        <f>N5-O5</f>
        <v>3.8</v>
      </c>
      <c r="Q5" s="50">
        <f>P5*D5</f>
        <v>1235248.2060155149</v>
      </c>
      <c r="R5" s="50">
        <f>Q5/$T$2</f>
        <v>123524.82060155149</v>
      </c>
      <c r="S5" s="50">
        <f>Q5*$T$1</f>
        <v>4529243.4220568882</v>
      </c>
      <c r="T5" s="51">
        <f t="shared" ref="T5:T6" si="0">S5/$T$2</f>
        <v>452924.34220568882</v>
      </c>
      <c r="U5" s="52"/>
      <c r="V5" s="53" t="s">
        <v>134</v>
      </c>
      <c r="W5" s="54" t="s">
        <v>135</v>
      </c>
      <c r="X5" s="54" t="s">
        <v>136</v>
      </c>
      <c r="Y5" s="54" t="s">
        <v>137</v>
      </c>
      <c r="Z5" s="54" t="s">
        <v>138</v>
      </c>
      <c r="AA5" s="54" t="s">
        <v>139</v>
      </c>
      <c r="AB5" s="54" t="s">
        <v>140</v>
      </c>
      <c r="AC5" s="55" t="s">
        <v>141</v>
      </c>
    </row>
    <row r="6" spans="1:29" ht="20.100000000000001">
      <c r="A6" s="40" t="s">
        <v>130</v>
      </c>
      <c r="B6" s="40" t="s">
        <v>131</v>
      </c>
      <c r="C6" t="s">
        <v>142</v>
      </c>
      <c r="D6" s="41">
        <f>$D$2*G6</f>
        <v>325065.31737250392</v>
      </c>
      <c r="E6" s="42">
        <f>1.96*$D$2*SQRT(((G6*(1-G6))/($F$2-1)))</f>
        <v>34037.797535418285</v>
      </c>
      <c r="F6" s="43">
        <f>E6/D6</f>
        <v>0.10471064034313191</v>
      </c>
      <c r="G6" s="44">
        <f>H6/F$2</f>
        <v>3.2552333397349718E-2</v>
      </c>
      <c r="H6" s="45">
        <v>339</v>
      </c>
      <c r="I6" s="46">
        <f>E6/1.96</f>
        <v>17366.223232356268</v>
      </c>
      <c r="J6" s="42">
        <f>D6-I6</f>
        <v>307699.09414014767</v>
      </c>
      <c r="K6" s="47">
        <f>D6+E6</f>
        <v>359103.11490792222</v>
      </c>
      <c r="M6" t="s">
        <v>143</v>
      </c>
      <c r="N6" s="48">
        <v>4.8</v>
      </c>
      <c r="O6" s="49">
        <v>0.47</v>
      </c>
      <c r="P6" s="50">
        <f>N6-O6</f>
        <v>4.33</v>
      </c>
      <c r="Q6" s="50">
        <f>P6*D6</f>
        <v>1407532.8242229421</v>
      </c>
      <c r="R6" s="50">
        <f>Q6/$T$2</f>
        <v>140753.2824222942</v>
      </c>
      <c r="S6" s="50">
        <f>Q6*$T$1</f>
        <v>5160953.6888174545</v>
      </c>
      <c r="T6" s="51">
        <f t="shared" si="0"/>
        <v>516095.36888174544</v>
      </c>
      <c r="U6" s="52"/>
      <c r="V6" s="56" t="s">
        <v>144</v>
      </c>
      <c r="W6" s="48">
        <f>SUM(D5:D5)</f>
        <v>325065.31737250392</v>
      </c>
      <c r="X6" s="48">
        <f>W6/$T$2</f>
        <v>32506.531737250392</v>
      </c>
      <c r="Y6" s="48">
        <f t="shared" ref="Y6:AB7" si="1">SUM(Q5:Q5)</f>
        <v>1235248.2060155149</v>
      </c>
      <c r="Z6" s="48">
        <f t="shared" si="1"/>
        <v>123524.82060155149</v>
      </c>
      <c r="AA6" s="48">
        <f t="shared" si="1"/>
        <v>4529243.4220568882</v>
      </c>
      <c r="AB6" s="48">
        <f t="shared" si="1"/>
        <v>452924.34220568882</v>
      </c>
      <c r="AC6" s="57">
        <f>AB6*100/$AB$8</f>
        <v>46.740467404674042</v>
      </c>
    </row>
    <row r="7" spans="1:29" ht="18.95">
      <c r="U7" s="52"/>
      <c r="V7" t="s">
        <v>143</v>
      </c>
      <c r="W7" s="48">
        <f>SUM(D6:D6)</f>
        <v>325065.31737250392</v>
      </c>
      <c r="X7" s="48">
        <f>W7/$T$2</f>
        <v>32506.531737250392</v>
      </c>
      <c r="Y7" s="48">
        <f t="shared" si="1"/>
        <v>1407532.8242229421</v>
      </c>
      <c r="Z7" s="48">
        <f t="shared" si="1"/>
        <v>140753.2824222942</v>
      </c>
      <c r="AA7" s="48">
        <f t="shared" si="1"/>
        <v>5160953.6888174545</v>
      </c>
      <c r="AB7" s="48">
        <f t="shared" si="1"/>
        <v>516095.36888174544</v>
      </c>
      <c r="AC7" s="57">
        <f>AB7*100/$AB$8</f>
        <v>53.25953259532595</v>
      </c>
    </row>
    <row r="8" spans="1:29" ht="20.100000000000001" thickBot="1">
      <c r="U8" s="52"/>
      <c r="V8" s="58" t="s">
        <v>145</v>
      </c>
      <c r="W8" s="59">
        <f>SUM(W6:W7)</f>
        <v>650130.63474500785</v>
      </c>
      <c r="X8" s="59">
        <f t="shared" ref="X8:AC8" si="2">SUM(X6:X7)</f>
        <v>65013.063474500785</v>
      </c>
      <c r="Y8" s="59">
        <f t="shared" si="2"/>
        <v>2642781.030238457</v>
      </c>
      <c r="Z8" s="59">
        <f t="shared" si="2"/>
        <v>264278.1030238457</v>
      </c>
      <c r="AA8" s="59">
        <f t="shared" si="2"/>
        <v>9690197.1108743437</v>
      </c>
      <c r="AB8" s="59">
        <f t="shared" si="2"/>
        <v>969019.71108743432</v>
      </c>
      <c r="AC8" s="59">
        <f t="shared" si="2"/>
        <v>100</v>
      </c>
    </row>
    <row r="9" spans="1:29">
      <c r="U9" s="52"/>
      <c r="V9" s="52"/>
      <c r="AB9" s="3"/>
    </row>
    <row r="10" spans="1:29">
      <c r="U10" s="52"/>
      <c r="V10" s="52"/>
    </row>
    <row r="11" spans="1:29">
      <c r="U11" s="52"/>
      <c r="V11" s="52"/>
    </row>
    <row r="12" spans="1:29">
      <c r="U12" s="52"/>
      <c r="V12" s="52"/>
    </row>
    <row r="13" spans="1:29">
      <c r="U13" s="52"/>
      <c r="V13" s="52"/>
    </row>
    <row r="14" spans="1:29">
      <c r="U14" s="52"/>
      <c r="V14" s="52"/>
    </row>
    <row r="15" spans="1:29">
      <c r="U15" s="52"/>
      <c r="V15" s="52"/>
    </row>
    <row r="16" spans="1:29" ht="24" customHeight="1">
      <c r="U16" s="52"/>
      <c r="V16" s="52"/>
    </row>
    <row r="17" spans="21:22" ht="18.95" customHeight="1">
      <c r="U17" s="52"/>
      <c r="V17" s="52"/>
    </row>
    <row r="18" spans="21:22" ht="21" customHeight="1">
      <c r="U18" s="52"/>
      <c r="V18" s="52"/>
    </row>
    <row r="19" spans="21:22">
      <c r="U19" s="52"/>
      <c r="V19" s="52"/>
    </row>
    <row r="20" spans="21:22" ht="33" customHeight="1">
      <c r="U20" s="52"/>
      <c r="V20" s="52"/>
    </row>
    <row r="21" spans="21:22" ht="29.1" customHeight="1">
      <c r="U21" s="52"/>
      <c r="V21" s="52"/>
    </row>
    <row r="22" spans="21:22" ht="26.1" customHeight="1">
      <c r="U22" s="52"/>
      <c r="V22" s="52"/>
    </row>
    <row r="23" spans="21:22">
      <c r="U23" s="52"/>
      <c r="V23" s="52"/>
    </row>
    <row r="24" spans="21:22">
      <c r="U24" s="52"/>
      <c r="V24" s="52"/>
    </row>
    <row r="25" spans="21:22">
      <c r="U25" s="52"/>
      <c r="V25" s="52"/>
    </row>
    <row r="26" spans="21:22">
      <c r="U26" s="52"/>
      <c r="V26" s="52"/>
    </row>
    <row r="27" spans="21:22">
      <c r="U27" s="52"/>
      <c r="V27" s="52"/>
    </row>
    <row r="28" spans="21:22">
      <c r="U28" s="52"/>
      <c r="V28" s="52"/>
    </row>
    <row r="29" spans="21:22">
      <c r="U29" s="52"/>
      <c r="V29" s="52"/>
    </row>
    <row r="30" spans="21:22">
      <c r="U30" s="52"/>
      <c r="V30" s="52"/>
    </row>
    <row r="31" spans="21:22">
      <c r="U31" s="52"/>
      <c r="V31" s="52"/>
    </row>
    <row r="32" spans="21:22">
      <c r="U32" s="52"/>
      <c r="V32" s="52"/>
    </row>
    <row r="33" spans="21:22">
      <c r="U33" s="52"/>
      <c r="V33" s="52"/>
    </row>
    <row r="34" spans="21:22">
      <c r="U34" s="52"/>
      <c r="V34" s="52"/>
    </row>
    <row r="35" spans="21:22">
      <c r="U35" s="52"/>
      <c r="V35" s="52"/>
    </row>
    <row r="36" spans="21:22">
      <c r="U36" s="52"/>
      <c r="V36" s="52"/>
    </row>
    <row r="37" spans="21:22">
      <c r="U37" s="52"/>
      <c r="V37" s="52"/>
    </row>
    <row r="38" spans="21:22">
      <c r="U38" s="52"/>
      <c r="V38" s="52"/>
    </row>
    <row r="39" spans="21:22">
      <c r="U39" s="52"/>
      <c r="V39" s="52"/>
    </row>
    <row r="40" spans="21:22">
      <c r="U40" s="52"/>
    </row>
    <row r="41" spans="21:22">
      <c r="U41" s="52"/>
    </row>
    <row r="42" spans="21:22">
      <c r="U42" s="52"/>
    </row>
    <row r="43" spans="21:22">
      <c r="U43" s="52"/>
    </row>
    <row r="44" spans="21:22">
      <c r="U44" s="52"/>
    </row>
    <row r="45" spans="21:22">
      <c r="U45" s="52"/>
    </row>
    <row r="46" spans="21:22">
      <c r="U46" s="52"/>
    </row>
    <row r="47" spans="21:22">
      <c r="U47" s="52"/>
    </row>
    <row r="48" spans="21:22">
      <c r="U48" s="52"/>
    </row>
    <row r="49" spans="21:22">
      <c r="U49" s="52"/>
    </row>
    <row r="50" spans="21:22" ht="21.75" customHeight="1">
      <c r="U50" s="52"/>
    </row>
    <row r="51" spans="21:22" ht="20.25" customHeight="1">
      <c r="U51" s="52"/>
    </row>
    <row r="52" spans="21:22" ht="18.75" customHeight="1">
      <c r="U52" s="52"/>
    </row>
    <row r="53" spans="21:22">
      <c r="U53" s="52"/>
    </row>
    <row r="54" spans="21:22">
      <c r="U54" s="52"/>
    </row>
    <row r="55" spans="21:22">
      <c r="U55" s="52"/>
    </row>
    <row r="56" spans="21:22">
      <c r="U56" s="52"/>
    </row>
    <row r="57" spans="21:22">
      <c r="U57" s="52"/>
      <c r="V57" s="52"/>
    </row>
    <row r="58" spans="21:22">
      <c r="U58" s="52"/>
    </row>
    <row r="59" spans="21:22" ht="33" customHeight="1">
      <c r="U59" s="52"/>
    </row>
    <row r="60" spans="21:22">
      <c r="U60" s="52"/>
    </row>
    <row r="61" spans="21:22">
      <c r="U61" s="52"/>
    </row>
    <row r="62" spans="21:22">
      <c r="U62" s="52"/>
    </row>
    <row r="63" spans="21:22">
      <c r="U63" s="52"/>
    </row>
    <row r="64" spans="21:22">
      <c r="U64" s="52"/>
    </row>
    <row r="65" spans="21:21">
      <c r="U65" s="52"/>
    </row>
    <row r="66" spans="21:21">
      <c r="U66" s="52"/>
    </row>
    <row r="67" spans="21:21">
      <c r="U67" s="52"/>
    </row>
    <row r="68" spans="21:21">
      <c r="U68" s="52"/>
    </row>
    <row r="69" spans="21:21">
      <c r="U69" s="52"/>
    </row>
    <row r="70" spans="21:21">
      <c r="U70" s="52"/>
    </row>
    <row r="71" spans="21:21">
      <c r="U71" s="52"/>
    </row>
    <row r="72" spans="21:21">
      <c r="U72" s="60"/>
    </row>
    <row r="75" spans="21:21" ht="41.25" customHeight="1"/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CC34-4155-C14F-8DA4-1B2CDC3CF8E7}">
  <dimension ref="B3:U11"/>
  <sheetViews>
    <sheetView topLeftCell="E1" workbookViewId="0" xr3:uid="{E5D0063A-E32B-512A-897F-3FE8F02C6DD8}">
      <selection activeCell="K8" sqref="K8"/>
    </sheetView>
  </sheetViews>
  <sheetFormatPr defaultColWidth="11" defaultRowHeight="15.95"/>
  <cols>
    <col min="2" max="2" width="19.375" customWidth="1"/>
    <col min="3" max="3" width="37" customWidth="1"/>
    <col min="4" max="4" width="17.5" customWidth="1"/>
    <col min="5" max="6" width="17.125" customWidth="1"/>
    <col min="7" max="7" width="12.625" customWidth="1"/>
    <col min="8" max="9" width="11.5" bestFit="1" customWidth="1"/>
    <col min="10" max="10" width="16.125" customWidth="1"/>
    <col min="11" max="11" width="13.625" customWidth="1"/>
    <col min="12" max="12" width="13.125" customWidth="1"/>
    <col min="13" max="13" width="13.375" customWidth="1"/>
    <col min="14" max="14" width="13.875" customWidth="1"/>
    <col min="15" max="15" width="12.625" customWidth="1"/>
    <col min="16" max="16" width="13" customWidth="1"/>
    <col min="17" max="17" width="12.5" customWidth="1"/>
    <col min="18" max="18" width="13.875" customWidth="1"/>
    <col min="19" max="19" width="13.125" customWidth="1"/>
    <col min="20" max="20" width="12.875" customWidth="1"/>
    <col min="21" max="21" width="13.125" customWidth="1"/>
    <col min="22" max="22" width="11.5" bestFit="1" customWidth="1"/>
    <col min="23" max="23" width="13" bestFit="1" customWidth="1"/>
  </cols>
  <sheetData>
    <row r="3" spans="2:21">
      <c r="G3">
        <f>44/12</f>
        <v>3.6666666666666665</v>
      </c>
    </row>
    <row r="7" spans="2:21">
      <c r="B7" t="s">
        <v>146</v>
      </c>
      <c r="C7" t="s">
        <v>147</v>
      </c>
      <c r="D7" t="s">
        <v>148</v>
      </c>
      <c r="E7" t="s">
        <v>149</v>
      </c>
      <c r="F7" t="s">
        <v>150</v>
      </c>
      <c r="G7" t="s">
        <v>151</v>
      </c>
      <c r="H7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161</v>
      </c>
      <c r="R7" t="s">
        <v>162</v>
      </c>
    </row>
    <row r="8" spans="2:21">
      <c r="B8" s="4">
        <f>'[1]Área Programa (NREF)'!W15</f>
        <v>325065.31737250392</v>
      </c>
      <c r="C8" s="4">
        <f>B8/10</f>
        <v>32506.531737250392</v>
      </c>
      <c r="D8" s="9">
        <v>29.172352941176481</v>
      </c>
      <c r="E8" s="9">
        <f>D8/20</f>
        <v>1.4586176470588241</v>
      </c>
      <c r="F8" s="14">
        <f>C8*E8</f>
        <v>47414.600836631158</v>
      </c>
      <c r="G8" s="14">
        <f>F8</f>
        <v>47414.600836631158</v>
      </c>
      <c r="H8" s="14">
        <f>G8*2</f>
        <v>94829.201673262316</v>
      </c>
      <c r="I8" s="14">
        <f>H8+$G$8</f>
        <v>142243.80250989349</v>
      </c>
      <c r="J8" s="14">
        <f>I8+$G$8</f>
        <v>189658.40334652463</v>
      </c>
      <c r="K8" s="14">
        <f t="shared" ref="K8:P8" si="0">J8+$G$8</f>
        <v>237073.00418315578</v>
      </c>
      <c r="L8" s="14">
        <f t="shared" si="0"/>
        <v>284487.60501978692</v>
      </c>
      <c r="M8" s="14">
        <f t="shared" si="0"/>
        <v>331902.20585641806</v>
      </c>
      <c r="N8" s="14">
        <f t="shared" si="0"/>
        <v>379316.80669304921</v>
      </c>
      <c r="O8" s="14">
        <f t="shared" si="0"/>
        <v>426731.40752968035</v>
      </c>
      <c r="P8" s="14">
        <f t="shared" si="0"/>
        <v>474146.00836631149</v>
      </c>
      <c r="Q8" s="14">
        <f>AVERAGE(G8:P8)</f>
        <v>260780.30460147132</v>
      </c>
      <c r="R8" s="14">
        <f>Q8*(44/12)</f>
        <v>956194.45020539477</v>
      </c>
      <c r="S8" s="14"/>
      <c r="T8" s="14"/>
      <c r="U8" s="14"/>
    </row>
    <row r="9" spans="2:21"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1" spans="2:21">
      <c r="U1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ECEF-9126-DE46-A522-03E9005B6CD3}">
  <dimension ref="A2:O35"/>
  <sheetViews>
    <sheetView topLeftCell="C1" workbookViewId="0" xr3:uid="{3CE0C9EB-3247-58B6-907B-32E7E50D6FF9}">
      <selection activeCell="K7" sqref="K7"/>
    </sheetView>
  </sheetViews>
  <sheetFormatPr defaultColWidth="11" defaultRowHeight="15.95"/>
  <cols>
    <col min="2" max="2" width="15.125" customWidth="1"/>
    <col min="3" max="3" width="14" customWidth="1"/>
    <col min="4" max="4" width="13.875" customWidth="1"/>
    <col min="5" max="6" width="13" customWidth="1"/>
    <col min="7" max="8" width="13.375" customWidth="1"/>
    <col min="9" max="9" width="14.375" customWidth="1"/>
    <col min="10" max="10" width="13.875" customWidth="1"/>
    <col min="11" max="12" width="14" customWidth="1"/>
  </cols>
  <sheetData>
    <row r="2" spans="1:15"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N2" t="s">
        <v>163</v>
      </c>
    </row>
    <row r="3" spans="1:15">
      <c r="A3" s="1" t="s">
        <v>164</v>
      </c>
      <c r="B3" s="2">
        <v>18327.37</v>
      </c>
      <c r="C3" s="2">
        <v>10437.780000000001</v>
      </c>
      <c r="D3" s="2">
        <v>12599.99</v>
      </c>
      <c r="E3" s="2">
        <v>7005.2</v>
      </c>
      <c r="F3" s="2">
        <v>13146.75</v>
      </c>
      <c r="G3" s="2">
        <v>5308.3</v>
      </c>
      <c r="H3" s="2">
        <v>10059.02</v>
      </c>
      <c r="I3" s="2">
        <v>3936.12</v>
      </c>
      <c r="J3" s="2">
        <v>10039.969999999999</v>
      </c>
      <c r="K3" s="2">
        <v>14253.52</v>
      </c>
      <c r="L3" s="3"/>
      <c r="N3" s="4">
        <v>47836.71</v>
      </c>
      <c r="O3" t="s">
        <v>165</v>
      </c>
    </row>
    <row r="4" spans="1:15">
      <c r="A4" s="1" t="s">
        <v>166</v>
      </c>
      <c r="B4" s="1">
        <v>355.5</v>
      </c>
      <c r="C4" s="1">
        <v>507.71</v>
      </c>
      <c r="D4" s="1">
        <v>249.07</v>
      </c>
      <c r="E4" s="1">
        <v>183.46</v>
      </c>
      <c r="F4" s="1">
        <v>217.76</v>
      </c>
      <c r="G4" s="1">
        <v>63.35</v>
      </c>
      <c r="H4" s="1">
        <v>182.23</v>
      </c>
      <c r="I4" s="1">
        <v>12.21</v>
      </c>
      <c r="J4" s="1">
        <v>87.24</v>
      </c>
      <c r="K4" s="1">
        <v>289.85000000000002</v>
      </c>
      <c r="L4" s="3"/>
    </row>
    <row r="5" spans="1:15">
      <c r="A5" s="1" t="s">
        <v>167</v>
      </c>
      <c r="B5" s="1">
        <v>93.86</v>
      </c>
      <c r="C5" s="1">
        <v>21.49</v>
      </c>
      <c r="D5" s="1">
        <v>95.19</v>
      </c>
      <c r="E5" s="1">
        <v>46.03</v>
      </c>
      <c r="F5" s="1">
        <v>21.33</v>
      </c>
      <c r="G5" s="1">
        <v>6.34</v>
      </c>
      <c r="H5" s="1">
        <v>197.79</v>
      </c>
      <c r="I5" s="1">
        <v>58.6</v>
      </c>
      <c r="J5" s="1">
        <v>44.03</v>
      </c>
      <c r="K5" s="1">
        <v>153.69</v>
      </c>
      <c r="L5" s="3"/>
    </row>
    <row r="6" spans="1:15">
      <c r="A6" s="5"/>
      <c r="B6" s="5"/>
      <c r="C6" s="5"/>
      <c r="D6" s="5"/>
    </row>
    <row r="7" spans="1:15">
      <c r="A7" s="1" t="s">
        <v>168</v>
      </c>
      <c r="B7" s="1">
        <f>3.8+4.8/0.47</f>
        <v>14.01276595744681</v>
      </c>
      <c r="C7" s="1">
        <f t="shared" ref="C7:J7" si="0">3.8+4.8/0.47</f>
        <v>14.01276595744681</v>
      </c>
      <c r="D7" s="1">
        <f t="shared" si="0"/>
        <v>14.01276595744681</v>
      </c>
      <c r="E7" s="1">
        <f t="shared" si="0"/>
        <v>14.01276595744681</v>
      </c>
      <c r="F7" s="1">
        <f t="shared" si="0"/>
        <v>14.01276595744681</v>
      </c>
      <c r="G7" s="1">
        <f t="shared" si="0"/>
        <v>14.01276595744681</v>
      </c>
      <c r="H7" s="1">
        <f t="shared" si="0"/>
        <v>14.01276595744681</v>
      </c>
      <c r="I7" s="1">
        <f t="shared" si="0"/>
        <v>14.01276595744681</v>
      </c>
      <c r="J7" s="1">
        <f t="shared" si="0"/>
        <v>14.01276595744681</v>
      </c>
      <c r="K7" s="1">
        <f>4.8/0.47</f>
        <v>10.212765957446809</v>
      </c>
      <c r="N7" s="1">
        <f>3.8+4.8/0.47</f>
        <v>14.01276595744681</v>
      </c>
      <c r="O7" t="s">
        <v>169</v>
      </c>
    </row>
    <row r="8" spans="1:15">
      <c r="A8" s="1" t="s">
        <v>170</v>
      </c>
      <c r="B8" s="1">
        <v>237.3</v>
      </c>
      <c r="C8" s="1">
        <v>237.3</v>
      </c>
      <c r="D8" s="1">
        <v>237.3</v>
      </c>
      <c r="E8" s="1">
        <v>237.3</v>
      </c>
      <c r="F8" s="1">
        <v>237.3</v>
      </c>
      <c r="G8" s="1">
        <v>237.3</v>
      </c>
      <c r="H8" s="1">
        <v>237.3</v>
      </c>
      <c r="I8" s="1">
        <v>237.3</v>
      </c>
      <c r="J8" s="1">
        <v>237.3</v>
      </c>
      <c r="K8" s="1">
        <v>237.3</v>
      </c>
      <c r="N8" s="1">
        <v>237.3</v>
      </c>
      <c r="O8" t="s">
        <v>171</v>
      </c>
    </row>
    <row r="9" spans="1:15">
      <c r="A9" s="1" t="s">
        <v>172</v>
      </c>
      <c r="B9" s="1">
        <f>B8*0.2</f>
        <v>47.460000000000008</v>
      </c>
      <c r="C9" s="1">
        <f t="shared" ref="C9:K9" si="1">C8*0.2</f>
        <v>47.460000000000008</v>
      </c>
      <c r="D9" s="1">
        <f t="shared" si="1"/>
        <v>47.460000000000008</v>
      </c>
      <c r="E9" s="1">
        <f t="shared" si="1"/>
        <v>47.460000000000008</v>
      </c>
      <c r="F9" s="1">
        <f t="shared" si="1"/>
        <v>47.460000000000008</v>
      </c>
      <c r="G9" s="1">
        <f t="shared" si="1"/>
        <v>47.460000000000008</v>
      </c>
      <c r="H9" s="1">
        <f t="shared" si="1"/>
        <v>47.460000000000008</v>
      </c>
      <c r="I9" s="1">
        <f t="shared" si="1"/>
        <v>47.460000000000008</v>
      </c>
      <c r="J9" s="1">
        <f t="shared" si="1"/>
        <v>47.460000000000008</v>
      </c>
      <c r="K9" s="1">
        <f t="shared" si="1"/>
        <v>47.460000000000008</v>
      </c>
      <c r="N9" s="1">
        <f>N8*0.2</f>
        <v>47.460000000000008</v>
      </c>
      <c r="O9" t="s">
        <v>173</v>
      </c>
    </row>
    <row r="10" spans="1:15">
      <c r="H10" s="6"/>
      <c r="J10" s="5"/>
      <c r="K10" s="7"/>
      <c r="N10" s="5"/>
    </row>
    <row r="11" spans="1:15">
      <c r="A11" t="s">
        <v>174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N11">
        <v>0.5</v>
      </c>
      <c r="O11" s="5"/>
    </row>
    <row r="12" spans="1:15">
      <c r="A12" s="5"/>
      <c r="C12" s="5"/>
      <c r="H12" s="5"/>
      <c r="J12" s="5"/>
      <c r="K12" s="5"/>
      <c r="N12" s="5"/>
      <c r="O12" s="5"/>
    </row>
    <row r="13" spans="1:15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N13" s="6"/>
      <c r="O13" s="5"/>
    </row>
    <row r="14" spans="1:15">
      <c r="A14" s="1" t="s">
        <v>175</v>
      </c>
      <c r="B14" s="6">
        <v>6.8</v>
      </c>
      <c r="C14" s="6">
        <v>6.8</v>
      </c>
      <c r="D14" s="6">
        <v>6.8</v>
      </c>
      <c r="E14" s="6">
        <v>6.8</v>
      </c>
      <c r="F14" s="6">
        <v>6.8</v>
      </c>
      <c r="G14" s="6">
        <v>6.8</v>
      </c>
      <c r="H14" s="6">
        <v>6.8</v>
      </c>
      <c r="I14" s="6">
        <v>6.8</v>
      </c>
      <c r="J14" s="6">
        <v>6.8</v>
      </c>
      <c r="K14" s="6">
        <v>6.8</v>
      </c>
      <c r="N14" s="6">
        <v>6.8</v>
      </c>
      <c r="O14" s="5"/>
    </row>
    <row r="15" spans="1:15">
      <c r="A15" s="1" t="s">
        <v>176</v>
      </c>
      <c r="B15" s="1">
        <v>0.2</v>
      </c>
      <c r="C15" s="1">
        <v>0.2</v>
      </c>
      <c r="D15" s="1">
        <v>0.2</v>
      </c>
      <c r="E15" s="1">
        <v>0.2</v>
      </c>
      <c r="F15" s="1">
        <v>0.2</v>
      </c>
      <c r="G15" s="1">
        <v>0.2</v>
      </c>
      <c r="H15" s="1">
        <v>0.2</v>
      </c>
      <c r="I15" s="1">
        <v>0.2</v>
      </c>
      <c r="J15" s="1">
        <v>0.2</v>
      </c>
      <c r="K15" s="1">
        <v>0.2</v>
      </c>
      <c r="N15" s="1">
        <v>0.2</v>
      </c>
      <c r="O15" s="5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5"/>
    </row>
    <row r="17" spans="1:14">
      <c r="A17" s="1"/>
      <c r="B17" s="5"/>
      <c r="D17" s="5"/>
      <c r="F17" s="5"/>
      <c r="G17" s="7"/>
      <c r="H17" s="5"/>
      <c r="I17" s="5"/>
      <c r="J17" s="6"/>
    </row>
    <row r="18" spans="1:14">
      <c r="A18" s="1" t="s">
        <v>177</v>
      </c>
      <c r="B18" s="8">
        <f>B3*B7*B11*B14*10^-3</f>
        <v>873.1782978468085</v>
      </c>
      <c r="C18" s="8">
        <f t="shared" ref="C18:K18" si="2">C3*C7*C11*C14*10^-3</f>
        <v>497.2913720680852</v>
      </c>
      <c r="D18" s="8">
        <f t="shared" si="2"/>
        <v>600.30641718297875</v>
      </c>
      <c r="E18" s="8">
        <f t="shared" si="2"/>
        <v>333.7515754893617</v>
      </c>
      <c r="F18" s="8">
        <f t="shared" si="2"/>
        <v>626.35592489361716</v>
      </c>
      <c r="G18" s="8">
        <f t="shared" si="2"/>
        <v>252.90548280851067</v>
      </c>
      <c r="H18" s="8">
        <f t="shared" si="2"/>
        <v>479.24595627234049</v>
      </c>
      <c r="I18" s="8">
        <f t="shared" si="2"/>
        <v>187.5301563574468</v>
      </c>
      <c r="J18" s="8">
        <f t="shared" si="2"/>
        <v>478.33834942127663</v>
      </c>
      <c r="K18" s="8">
        <f t="shared" si="2"/>
        <v>494.93073702127663</v>
      </c>
      <c r="N18" s="8">
        <f>N3*N7*N11*N14*10^-3</f>
        <v>2279.103712774468</v>
      </c>
    </row>
    <row r="19" spans="1:14">
      <c r="A19" s="1" t="s">
        <v>178</v>
      </c>
      <c r="B19" s="8">
        <f>B3*B7*B11*B15*10^-3</f>
        <v>25.681714642553196</v>
      </c>
      <c r="C19" s="8">
        <f t="shared" ref="C19:K19" si="3">C3*C7*C11*C15*10^-3</f>
        <v>14.62621682553192</v>
      </c>
      <c r="D19" s="8">
        <f t="shared" si="3"/>
        <v>17.656071093617022</v>
      </c>
      <c r="E19" s="8">
        <f t="shared" si="3"/>
        <v>9.8162228085106378</v>
      </c>
      <c r="F19" s="8">
        <f t="shared" si="3"/>
        <v>18.422233085106384</v>
      </c>
      <c r="G19" s="8">
        <f t="shared" si="3"/>
        <v>7.4383965531914908</v>
      </c>
      <c r="H19" s="8">
        <f t="shared" si="3"/>
        <v>14.095469302127661</v>
      </c>
      <c r="I19" s="8">
        <f t="shared" si="3"/>
        <v>5.515592834042554</v>
      </c>
      <c r="J19" s="8">
        <f t="shared" si="3"/>
        <v>14.068774982978725</v>
      </c>
      <c r="K19" s="8">
        <f t="shared" si="3"/>
        <v>14.556786382978725</v>
      </c>
      <c r="N19" s="8">
        <f>N3*N7*N11*N15*10^-3</f>
        <v>67.032462140425551</v>
      </c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N21" s="1"/>
    </row>
    <row r="22" spans="1:14">
      <c r="A22" s="1" t="s">
        <v>179</v>
      </c>
      <c r="B22" s="9">
        <f>B4*B8*B11*B14*10^-3</f>
        <v>286.82451000000003</v>
      </c>
      <c r="C22" s="9">
        <f t="shared" ref="C22:K22" si="4">C4*C8*C11*C14*10^-3</f>
        <v>409.63058219999999</v>
      </c>
      <c r="D22" s="9">
        <f t="shared" si="4"/>
        <v>200.9546574</v>
      </c>
      <c r="E22" s="9">
        <f t="shared" si="4"/>
        <v>148.01919720000004</v>
      </c>
      <c r="F22" s="9">
        <f t="shared" si="4"/>
        <v>175.69312319999997</v>
      </c>
      <c r="G22" s="9">
        <f t="shared" si="4"/>
        <v>51.112047000000004</v>
      </c>
      <c r="H22" s="9">
        <f t="shared" si="4"/>
        <v>147.02680859999998</v>
      </c>
      <c r="I22" s="9">
        <f t="shared" si="4"/>
        <v>9.8512722000000021</v>
      </c>
      <c r="J22" s="9">
        <f t="shared" si="4"/>
        <v>70.386976799999999</v>
      </c>
      <c r="K22" s="9">
        <f t="shared" si="4"/>
        <v>233.85677700000002</v>
      </c>
      <c r="N22" s="9">
        <f>N4*N8*N11*N14*10^-3</f>
        <v>0</v>
      </c>
    </row>
    <row r="23" spans="1:14">
      <c r="A23" s="1" t="s">
        <v>180</v>
      </c>
      <c r="B23" s="9">
        <f>B4*B8*B11*B15*10^-3</f>
        <v>8.4360150000000012</v>
      </c>
      <c r="C23" s="9">
        <f t="shared" ref="C23:K23" si="5">C4*C8*C11*C15*10^-3</f>
        <v>12.047958300000001</v>
      </c>
      <c r="D23" s="9">
        <f t="shared" si="5"/>
        <v>5.9104311000000012</v>
      </c>
      <c r="E23" s="9">
        <f t="shared" si="5"/>
        <v>4.3535058000000006</v>
      </c>
      <c r="F23" s="9">
        <f t="shared" si="5"/>
        <v>5.1674448000000002</v>
      </c>
      <c r="G23" s="9">
        <f t="shared" si="5"/>
        <v>1.5032955000000001</v>
      </c>
      <c r="H23" s="9">
        <f t="shared" si="5"/>
        <v>4.3243179000000005</v>
      </c>
      <c r="I23" s="9">
        <f t="shared" si="5"/>
        <v>0.28974330000000004</v>
      </c>
      <c r="J23" s="9">
        <f t="shared" si="5"/>
        <v>2.0702051999999997</v>
      </c>
      <c r="K23" s="9">
        <f t="shared" si="5"/>
        <v>6.8781405000000015</v>
      </c>
      <c r="N23" s="9">
        <f>N4*N8*N11*N15*10^-3</f>
        <v>0</v>
      </c>
    </row>
    <row r="26" spans="1:14">
      <c r="A26" s="1" t="s">
        <v>175</v>
      </c>
      <c r="B26" s="9">
        <f>B5*B9*B11*B14*10^-3</f>
        <v>15.145625040000001</v>
      </c>
      <c r="C26" s="9">
        <f t="shared" ref="C26:K26" si="6">C5*C9*C11*C14*10^-3</f>
        <v>3.4677123600000006</v>
      </c>
      <c r="D26" s="9">
        <f t="shared" si="6"/>
        <v>15.360239160000001</v>
      </c>
      <c r="E26" s="9">
        <f t="shared" si="6"/>
        <v>7.427584920000001</v>
      </c>
      <c r="F26" s="9">
        <f t="shared" si="6"/>
        <v>3.4418941200000002</v>
      </c>
      <c r="G26" s="9">
        <f t="shared" si="6"/>
        <v>1.0230477600000001</v>
      </c>
      <c r="H26" s="9">
        <f t="shared" si="6"/>
        <v>31.916185560000006</v>
      </c>
      <c r="I26" s="9">
        <f t="shared" si="6"/>
        <v>9.4559304000000015</v>
      </c>
      <c r="J26" s="9">
        <f t="shared" si="6"/>
        <v>7.1048569200000014</v>
      </c>
      <c r="K26" s="9">
        <f t="shared" si="6"/>
        <v>24.800033160000002</v>
      </c>
      <c r="N26" s="9">
        <f t="shared" ref="N26" si="7">N5*N9*N11*N14*10^-3</f>
        <v>0</v>
      </c>
    </row>
    <row r="27" spans="1:14">
      <c r="A27" s="1" t="s">
        <v>176</v>
      </c>
      <c r="B27" s="9">
        <f>B5*B9*B11*B15*10^-3</f>
        <v>0.44545956000000009</v>
      </c>
      <c r="C27" s="9">
        <f t="shared" ref="C27:K27" si="8">C5*C9*C11*C15*10^-3</f>
        <v>0.10199154000000002</v>
      </c>
      <c r="D27" s="9">
        <f t="shared" si="8"/>
        <v>0.45177174000000009</v>
      </c>
      <c r="E27" s="9">
        <f t="shared" si="8"/>
        <v>0.21845838000000004</v>
      </c>
      <c r="F27" s="9">
        <f t="shared" si="8"/>
        <v>0.10123218000000002</v>
      </c>
      <c r="G27" s="9">
        <f t="shared" si="8"/>
        <v>3.0089640000000004E-2</v>
      </c>
      <c r="H27" s="9">
        <f t="shared" si="8"/>
        <v>0.93871134000000034</v>
      </c>
      <c r="I27" s="9">
        <f t="shared" si="8"/>
        <v>0.27811560000000002</v>
      </c>
      <c r="J27" s="9">
        <f t="shared" si="8"/>
        <v>0.20896638000000003</v>
      </c>
      <c r="K27" s="9">
        <f t="shared" si="8"/>
        <v>0.72941274000000023</v>
      </c>
      <c r="N27" s="9">
        <f t="shared" ref="N27" si="9">N5*N9*N11*N15*10^-3</f>
        <v>0</v>
      </c>
    </row>
    <row r="30" spans="1:14">
      <c r="A30" t="s">
        <v>181</v>
      </c>
      <c r="B30" s="9">
        <f>SUM(B18,B22,B26)</f>
        <v>1175.1484328868085</v>
      </c>
      <c r="C30" s="9">
        <f t="shared" ref="C30:K31" si="10">SUM(C18,C22,C26)</f>
        <v>910.38966662808514</v>
      </c>
      <c r="D30" s="9">
        <f t="shared" si="10"/>
        <v>816.62131374297871</v>
      </c>
      <c r="E30" s="9">
        <f t="shared" si="10"/>
        <v>489.19835760936172</v>
      </c>
      <c r="F30" s="9">
        <f t="shared" si="10"/>
        <v>805.49094221361713</v>
      </c>
      <c r="G30" s="9">
        <f t="shared" si="10"/>
        <v>305.04057756851068</v>
      </c>
      <c r="H30" s="9">
        <f t="shared" si="10"/>
        <v>658.18895043234056</v>
      </c>
      <c r="I30" s="9">
        <f t="shared" si="10"/>
        <v>206.83735895744681</v>
      </c>
      <c r="J30" s="9">
        <f t="shared" si="10"/>
        <v>555.83018314127662</v>
      </c>
      <c r="K30" s="9">
        <f t="shared" si="10"/>
        <v>753.58754718127659</v>
      </c>
      <c r="N30" s="9">
        <f t="shared" ref="N30:N31" si="11">SUM(N18,N22,N26)</f>
        <v>2279.103712774468</v>
      </c>
    </row>
    <row r="31" spans="1:14">
      <c r="A31" t="s">
        <v>182</v>
      </c>
      <c r="B31" s="9">
        <f>SUM(B19,B23,B27)</f>
        <v>34.563189202553204</v>
      </c>
      <c r="C31" s="9">
        <f t="shared" si="10"/>
        <v>26.776166665531921</v>
      </c>
      <c r="D31" s="9">
        <f t="shared" si="10"/>
        <v>24.018273933617024</v>
      </c>
      <c r="E31" s="9">
        <f t="shared" si="10"/>
        <v>14.388186988510638</v>
      </c>
      <c r="F31" s="9">
        <f t="shared" si="10"/>
        <v>23.690910065106383</v>
      </c>
      <c r="G31" s="9">
        <f t="shared" si="10"/>
        <v>8.9717816931914918</v>
      </c>
      <c r="H31" s="9">
        <f t="shared" si="10"/>
        <v>19.358498542127663</v>
      </c>
      <c r="I31" s="9">
        <f t="shared" si="10"/>
        <v>6.0834517340425531</v>
      </c>
      <c r="J31" s="9">
        <f t="shared" si="10"/>
        <v>16.347946562978724</v>
      </c>
      <c r="K31" s="9">
        <f t="shared" si="10"/>
        <v>22.164339622978726</v>
      </c>
      <c r="N31" s="9">
        <f t="shared" si="11"/>
        <v>67.032462140425551</v>
      </c>
    </row>
    <row r="32" spans="1:14">
      <c r="B32" s="9"/>
      <c r="C32" s="9"/>
      <c r="D32" s="9"/>
      <c r="E32" s="9"/>
      <c r="F32" s="9"/>
      <c r="G32" s="9"/>
      <c r="H32" s="9"/>
      <c r="I32" s="9"/>
      <c r="J32" s="9"/>
      <c r="K32" s="9"/>
      <c r="N32" s="9"/>
    </row>
    <row r="33" spans="1:15">
      <c r="A33" t="s">
        <v>183</v>
      </c>
      <c r="B33" s="9">
        <f>B30*28</f>
        <v>32904.156120830638</v>
      </c>
      <c r="C33" s="9">
        <f t="shared" ref="C33:K33" si="12">C30*28</f>
        <v>25490.910665586383</v>
      </c>
      <c r="D33" s="9">
        <f t="shared" si="12"/>
        <v>22865.396784803404</v>
      </c>
      <c r="E33" s="9">
        <f t="shared" si="12"/>
        <v>13697.554013062128</v>
      </c>
      <c r="F33" s="9">
        <f t="shared" si="12"/>
        <v>22553.74638198128</v>
      </c>
      <c r="G33" s="9">
        <f t="shared" si="12"/>
        <v>8541.1361719182987</v>
      </c>
      <c r="H33" s="9">
        <f t="shared" si="12"/>
        <v>18429.290612105535</v>
      </c>
      <c r="I33" s="9">
        <f t="shared" si="12"/>
        <v>5791.4460508085103</v>
      </c>
      <c r="J33" s="9">
        <f t="shared" si="12"/>
        <v>15563.245127955746</v>
      </c>
      <c r="K33" s="9">
        <f t="shared" si="12"/>
        <v>21100.451321075743</v>
      </c>
      <c r="N33" s="9">
        <f t="shared" ref="N33" si="13">N30*28</f>
        <v>63814.903957685106</v>
      </c>
    </row>
    <row r="34" spans="1:15">
      <c r="A34" t="s">
        <v>183</v>
      </c>
      <c r="B34" s="9">
        <f>B31*265</f>
        <v>9159.2451386765988</v>
      </c>
      <c r="C34" s="9">
        <f t="shared" ref="C34:K34" si="14">C31*265</f>
        <v>7095.6841663659588</v>
      </c>
      <c r="D34" s="9">
        <f t="shared" si="14"/>
        <v>6364.8425924085113</v>
      </c>
      <c r="E34" s="9">
        <f t="shared" si="14"/>
        <v>3812.8695519553189</v>
      </c>
      <c r="F34" s="9">
        <f t="shared" si="14"/>
        <v>6278.0911672531911</v>
      </c>
      <c r="G34" s="9">
        <f t="shared" si="14"/>
        <v>2377.5221486957453</v>
      </c>
      <c r="H34" s="9">
        <f t="shared" si="14"/>
        <v>5130.0021136638306</v>
      </c>
      <c r="I34" s="9">
        <f t="shared" si="14"/>
        <v>1612.1147095212766</v>
      </c>
      <c r="J34" s="9">
        <f t="shared" si="14"/>
        <v>4332.2058391893615</v>
      </c>
      <c r="K34" s="9">
        <f t="shared" si="14"/>
        <v>5873.5500000893626</v>
      </c>
      <c r="N34" s="9">
        <f t="shared" ref="N34" si="15">N31*265</f>
        <v>17763.602467212771</v>
      </c>
    </row>
    <row r="35" spans="1:15">
      <c r="A35" s="10" t="s">
        <v>184</v>
      </c>
      <c r="B35" s="11">
        <f>SUM(B33:B34)</f>
        <v>42063.401259507234</v>
      </c>
      <c r="C35" s="11">
        <f t="shared" ref="C35:K35" si="16">SUM(C33:C34)</f>
        <v>32586.594831952341</v>
      </c>
      <c r="D35" s="11">
        <f t="shared" si="16"/>
        <v>29230.239377211918</v>
      </c>
      <c r="E35" s="11">
        <f t="shared" si="16"/>
        <v>17510.423565017449</v>
      </c>
      <c r="F35" s="11">
        <f t="shared" si="16"/>
        <v>28831.837549234471</v>
      </c>
      <c r="G35" s="11">
        <f t="shared" si="16"/>
        <v>10918.658320614044</v>
      </c>
      <c r="H35" s="11">
        <f t="shared" si="16"/>
        <v>23559.292725769366</v>
      </c>
      <c r="I35" s="11">
        <f t="shared" si="16"/>
        <v>7403.5607603297867</v>
      </c>
      <c r="J35" s="11">
        <f t="shared" si="16"/>
        <v>19895.450967145109</v>
      </c>
      <c r="K35" s="11">
        <f t="shared" si="16"/>
        <v>26974.001321165106</v>
      </c>
      <c r="L35" s="12">
        <f>AVERAGE(B35:K35)</f>
        <v>23897.346067794682</v>
      </c>
      <c r="N35" s="11">
        <f>SUM(N33:N34)</f>
        <v>81578.506424897874</v>
      </c>
      <c r="O3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3818-1C07-8248-B004-8DA43295829B}">
  <dimension ref="A6:C11"/>
  <sheetViews>
    <sheetView workbookViewId="0" xr3:uid="{0B687826-5FBA-5947-AEA8-812C85FECC49}">
      <selection activeCell="C6" sqref="C6"/>
    </sheetView>
  </sheetViews>
  <sheetFormatPr defaultColWidth="11" defaultRowHeight="15.95"/>
  <cols>
    <col min="1" max="1" width="20.875" customWidth="1"/>
    <col min="2" max="2" width="14" bestFit="1" customWidth="1"/>
  </cols>
  <sheetData>
    <row r="6" spans="1:3">
      <c r="A6" t="s">
        <v>185</v>
      </c>
      <c r="B6" s="4">
        <v>12290764.078644061</v>
      </c>
      <c r="C6" s="61">
        <f>B6*$C$11/$B$11</f>
        <v>71.246633860231753</v>
      </c>
    </row>
    <row r="7" spans="1:3">
      <c r="A7" t="s">
        <v>186</v>
      </c>
      <c r="B7" s="4">
        <v>3010475.4516869811</v>
      </c>
      <c r="C7" s="61">
        <f t="shared" ref="C7:C10" si="0">B7*$C$11/$B$11</f>
        <v>17.451009626345432</v>
      </c>
    </row>
    <row r="8" spans="1:3">
      <c r="A8" t="s">
        <v>187</v>
      </c>
      <c r="B8" s="4">
        <v>956194.45020539477</v>
      </c>
      <c r="C8" s="61">
        <f t="shared" si="0"/>
        <v>5.5428316300808129</v>
      </c>
    </row>
    <row r="9" spans="1:3">
      <c r="A9" t="s">
        <v>188</v>
      </c>
      <c r="B9" s="4">
        <v>969019.71108743432</v>
      </c>
      <c r="C9" s="61">
        <f t="shared" si="0"/>
        <v>5.6171766146869633</v>
      </c>
    </row>
    <row r="10" spans="1:3">
      <c r="A10" t="s">
        <v>189</v>
      </c>
      <c r="B10" s="4">
        <v>24556.514353714687</v>
      </c>
      <c r="C10" s="61">
        <f t="shared" si="0"/>
        <v>0.14234826865504779</v>
      </c>
    </row>
    <row r="11" spans="1:3">
      <c r="B11" s="4">
        <f>SUM(B6:B10)</f>
        <v>17251010.205977585</v>
      </c>
      <c r="C1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D860-B505-483C-91D6-1203F4703382}">
  <dimension ref="A1"/>
  <sheetViews>
    <sheetView tabSelected="1" workbookViewId="0" xr3:uid="{4C27D02E-7E42-52B2-9BB5-BFE07BAD462C}">
      <selection activeCell="G16" sqref="G16"/>
    </sheetView>
  </sheetViews>
  <sheetFormatPr defaultRowHeight="15.75"/>
  <sheetData>
    <row r="1" spans="1:1">
      <c r="A1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Josè Ma. Michel Fuentes</dc:creator>
  <cp:keywords/>
  <dc:description/>
  <cp:lastModifiedBy>Usuario invitado</cp:lastModifiedBy>
  <cp:revision/>
  <dcterms:created xsi:type="dcterms:W3CDTF">2019-05-03T20:39:09Z</dcterms:created>
  <dcterms:modified xsi:type="dcterms:W3CDTF">2019-05-07T03:59:59Z</dcterms:modified>
  <cp:category/>
  <cp:contentStatus/>
</cp:coreProperties>
</file>