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CARBONO_REDD+GT\ASINFOR\HENRY_LOPEZ_IF_2013\01Francisca Carrillo\"/>
    </mc:Choice>
  </mc:AlternateContent>
  <bookViews>
    <workbookView xWindow="240" yWindow="75" windowWidth="15480" windowHeight="7995"/>
  </bookViews>
  <sheets>
    <sheet name="general" sheetId="1" r:id="rId1"/>
    <sheet name="% de abundancia" sheetId="4" r:id="rId2"/>
    <sheet name="cuadro 3" sheetId="5" r:id="rId3"/>
    <sheet name="anexo 2" sheetId="6" r:id="rId4"/>
    <sheet name="anexo 3" sheetId="7" r:id="rId5"/>
    <sheet name="analisis" sheetId="2" r:id="rId6"/>
  </sheets>
  <definedNames>
    <definedName name="_xlnm._FilterDatabase" localSheetId="0" hidden="1">general!$A$1:$Q$25</definedName>
  </definedNames>
  <calcPr calcId="152511"/>
  <pivotCaches>
    <pivotCache cacheId="30" r:id="rId7"/>
  </pivotCaches>
</workbook>
</file>

<file path=xl/calcChain.xml><?xml version="1.0" encoding="utf-8"?>
<calcChain xmlns="http://schemas.openxmlformats.org/spreadsheetml/2006/main">
  <c r="G19" i="7" l="1"/>
  <c r="J22" i="1"/>
  <c r="H22" i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5" i="7"/>
  <c r="G8" i="6"/>
  <c r="G7" i="6"/>
  <c r="G6" i="6"/>
  <c r="G5" i="6"/>
  <c r="D17" i="4"/>
  <c r="D16" i="4"/>
  <c r="E16" i="4"/>
  <c r="C8" i="2"/>
  <c r="G16" i="5"/>
  <c r="F14" i="4"/>
  <c r="C6" i="2"/>
  <c r="E17" i="5"/>
  <c r="I16" i="5"/>
  <c r="E16" i="5"/>
  <c r="H16" i="5"/>
  <c r="C7" i="2"/>
  <c r="F17" i="5"/>
  <c r="F16" i="5"/>
  <c r="I17" i="5"/>
  <c r="H17" i="5"/>
  <c r="F17" i="4"/>
  <c r="F16" i="4"/>
  <c r="G17" i="5"/>
  <c r="F15" i="4"/>
  <c r="D17" i="5" l="1"/>
  <c r="D16" i="5"/>
  <c r="D15" i="5"/>
  <c r="F14" i="5"/>
  <c r="E14" i="5"/>
  <c r="I15" i="5"/>
  <c r="H15" i="5"/>
  <c r="G15" i="5"/>
  <c r="I14" i="5"/>
  <c r="F15" i="5"/>
  <c r="H14" i="5"/>
  <c r="E15" i="5"/>
  <c r="G14" i="5"/>
  <c r="J15" i="5" l="1"/>
  <c r="J16" i="5"/>
  <c r="J17" i="5"/>
  <c r="E17" i="4" l="1"/>
  <c r="E15" i="4"/>
  <c r="E14" i="4"/>
  <c r="D15" i="4"/>
  <c r="D14" i="4"/>
  <c r="H25" i="1"/>
  <c r="H24" i="1"/>
  <c r="H20" i="1"/>
  <c r="H16" i="1"/>
  <c r="H15" i="1"/>
  <c r="H14" i="1"/>
  <c r="J25" i="1"/>
  <c r="J24" i="1"/>
  <c r="J20" i="1"/>
  <c r="J16" i="1"/>
  <c r="J15" i="1"/>
  <c r="J14" i="1"/>
  <c r="J21" i="1"/>
  <c r="J19" i="1"/>
  <c r="J18" i="1"/>
  <c r="J17" i="1"/>
  <c r="J11" i="1"/>
  <c r="J9" i="1"/>
  <c r="J8" i="1"/>
  <c r="H23" i="1"/>
  <c r="J23" i="1"/>
  <c r="J13" i="1"/>
  <c r="J10" i="1"/>
  <c r="J7" i="1"/>
  <c r="J6" i="1"/>
  <c r="J5" i="1"/>
  <c r="J4" i="1"/>
  <c r="J3" i="1"/>
  <c r="J2" i="1"/>
  <c r="H11" i="1"/>
  <c r="H12" i="1"/>
  <c r="J12" i="1"/>
  <c r="H3" i="1"/>
  <c r="P3" i="1"/>
  <c r="D14" i="5"/>
  <c r="K10" i="4"/>
  <c r="L7" i="5"/>
  <c r="C16" i="2"/>
  <c r="F6" i="2" s="1"/>
  <c r="D15" i="2"/>
  <c r="D14" i="2"/>
  <c r="D13" i="2"/>
  <c r="D12" i="2"/>
  <c r="D11" i="2"/>
  <c r="D10" i="2"/>
  <c r="D9" i="2"/>
  <c r="D8" i="2"/>
  <c r="D7" i="2"/>
  <c r="D6" i="2"/>
  <c r="H4" i="1"/>
  <c r="H5" i="1"/>
  <c r="H6" i="1"/>
  <c r="H7" i="1"/>
  <c r="H8" i="1"/>
  <c r="H9" i="1"/>
  <c r="H10" i="1"/>
  <c r="H13" i="1"/>
  <c r="H17" i="1"/>
  <c r="H18" i="1"/>
  <c r="H19" i="1"/>
  <c r="H21" i="1"/>
  <c r="H2" i="1"/>
  <c r="G18" i="5"/>
  <c r="H18" i="5"/>
  <c r="I18" i="5"/>
  <c r="F18" i="5"/>
  <c r="L22" i="1" l="1"/>
  <c r="I22" i="1"/>
  <c r="K22" i="1"/>
  <c r="K14" i="1"/>
  <c r="K16" i="1"/>
  <c r="K24" i="1"/>
  <c r="K15" i="1"/>
  <c r="K20" i="1"/>
  <c r="K25" i="1"/>
  <c r="J18" i="5"/>
  <c r="D16" i="2"/>
  <c r="F7" i="2" s="1"/>
  <c r="F9" i="2" s="1"/>
  <c r="F10" i="2" s="1"/>
  <c r="F11" i="2" s="1"/>
  <c r="F18" i="4"/>
  <c r="I14" i="1"/>
  <c r="I16" i="1"/>
  <c r="I24" i="1"/>
  <c r="I15" i="1"/>
  <c r="I20" i="1"/>
  <c r="I25" i="1"/>
  <c r="L4" i="1"/>
  <c r="L25" i="1"/>
  <c r="L24" i="1"/>
  <c r="I18" i="1"/>
  <c r="I17" i="1"/>
  <c r="K2" i="1"/>
  <c r="K23" i="1"/>
  <c r="I23" i="1"/>
  <c r="I13" i="1"/>
  <c r="I9" i="1"/>
  <c r="I7" i="1"/>
  <c r="I5" i="1"/>
  <c r="L23" i="1"/>
  <c r="I2" i="1"/>
  <c r="I21" i="1"/>
  <c r="I19" i="1"/>
  <c r="I10" i="1"/>
  <c r="I8" i="1"/>
  <c r="I6" i="1"/>
  <c r="I4" i="1"/>
  <c r="I11" i="1"/>
  <c r="K11" i="1"/>
  <c r="K13" i="1"/>
  <c r="K12" i="1"/>
  <c r="I12" i="1"/>
  <c r="L11" i="1"/>
  <c r="L12" i="1"/>
  <c r="K17" i="1"/>
  <c r="K18" i="1"/>
  <c r="K4" i="1"/>
  <c r="K6" i="1"/>
  <c r="K8" i="1"/>
  <c r="K10" i="1"/>
  <c r="K21" i="1"/>
  <c r="K19" i="1"/>
  <c r="K9" i="1"/>
  <c r="K7" i="1"/>
  <c r="K5" i="1"/>
  <c r="K3" i="1"/>
  <c r="I3" i="1"/>
  <c r="L21" i="1"/>
  <c r="L19" i="1"/>
  <c r="L16" i="1"/>
  <c r="L14" i="1"/>
  <c r="L9" i="1"/>
  <c r="L7" i="1"/>
  <c r="L5" i="1"/>
  <c r="L3" i="1"/>
  <c r="L2" i="1"/>
  <c r="L20" i="1"/>
  <c r="L18" i="1"/>
  <c r="L17" i="1"/>
  <c r="L15" i="1"/>
  <c r="L13" i="1"/>
  <c r="L10" i="1"/>
  <c r="L8" i="1"/>
  <c r="L6" i="1"/>
  <c r="E18" i="5"/>
  <c r="J14" i="5"/>
  <c r="G14" i="4" l="1"/>
  <c r="G16" i="4"/>
  <c r="G18" i="4"/>
  <c r="G17" i="4"/>
  <c r="G15" i="4"/>
  <c r="F8" i="2"/>
  <c r="F13" i="2"/>
  <c r="F12" i="2"/>
</calcChain>
</file>

<file path=xl/sharedStrings.xml><?xml version="1.0" encoding="utf-8"?>
<sst xmlns="http://schemas.openxmlformats.org/spreadsheetml/2006/main" count="210" uniqueCount="79">
  <si>
    <t>Parcela</t>
  </si>
  <si>
    <t>No. Arbol</t>
  </si>
  <si>
    <t>Nombre común</t>
  </si>
  <si>
    <t>Especie</t>
  </si>
  <si>
    <t>Clase diámetrica</t>
  </si>
  <si>
    <t>DAP (cm)</t>
  </si>
  <si>
    <t>Altura (m)</t>
  </si>
  <si>
    <t>Area Basal (m2)</t>
  </si>
  <si>
    <t>AB/Ha.</t>
  </si>
  <si>
    <t>Volumen (m3)</t>
  </si>
  <si>
    <t>Volumen/Ha.</t>
  </si>
  <si>
    <t>Densidad/Ha.</t>
  </si>
  <si>
    <t>Total general</t>
  </si>
  <si>
    <t>Cuenta de No. Arbol</t>
  </si>
  <si>
    <t>Suma de Densidad/Ha.</t>
  </si>
  <si>
    <t>Valores</t>
  </si>
  <si>
    <t>Promedio de DAP (cm)</t>
  </si>
  <si>
    <t>Promedio de Altura (m)</t>
  </si>
  <si>
    <t>Suma de AB/Ha.</t>
  </si>
  <si>
    <t>Suma de Volumen/Ha.</t>
  </si>
  <si>
    <t>No.</t>
  </si>
  <si>
    <t>NOMBRE COMUN</t>
  </si>
  <si>
    <t>ESPECIE</t>
  </si>
  <si>
    <t>PRESENCIA</t>
  </si>
  <si>
    <t>% DE ABUNDANCIA</t>
  </si>
  <si>
    <t>Total General</t>
  </si>
  <si>
    <t>Rodal</t>
  </si>
  <si>
    <t>Área (has)</t>
  </si>
  <si>
    <r>
      <t>Volumen m</t>
    </r>
    <r>
      <rPr>
        <b/>
        <sz val="11"/>
        <color theme="1"/>
        <rFont val="Calibri"/>
        <family val="2"/>
      </rPr>
      <t>³</t>
    </r>
  </si>
  <si>
    <t>Ha.</t>
  </si>
  <si>
    <t>Volumen/ Rodal</t>
  </si>
  <si>
    <t>No. De Parcela</t>
  </si>
  <si>
    <t>Volumen Total</t>
  </si>
  <si>
    <t>Especie y Clase Diametrica</t>
  </si>
  <si>
    <t>ANALISIS ESTADISTICO</t>
  </si>
  <si>
    <t>AREA (Ha.)</t>
  </si>
  <si>
    <t>VALOR DE T</t>
  </si>
  <si>
    <t>No. PARCELAS</t>
  </si>
  <si>
    <t>PARCELA</t>
  </si>
  <si>
    <t>VOLUMEN/ha</t>
  </si>
  <si>
    <t>(VOLUMEN)²</t>
  </si>
  <si>
    <t>PARAMETRO</t>
  </si>
  <si>
    <t>RESULTADO</t>
  </si>
  <si>
    <t>MEDIA ARITMETICA</t>
  </si>
  <si>
    <t xml:space="preserve">VARIANZA </t>
  </si>
  <si>
    <t>DESVIACION ESTANDAR</t>
  </si>
  <si>
    <t>ERROR ESTANDAR</t>
  </si>
  <si>
    <t>ERROR DE MUESTREO</t>
  </si>
  <si>
    <t xml:space="preserve">LIMITE SUPERIOR </t>
  </si>
  <si>
    <t>LIMITE INFERIOR</t>
  </si>
  <si>
    <t>TOTAL</t>
  </si>
  <si>
    <t>10 - 19.9</t>
  </si>
  <si>
    <t>20 - 29.9</t>
  </si>
  <si>
    <t>Alnus sp.</t>
  </si>
  <si>
    <t>area</t>
  </si>
  <si>
    <t>ha.</t>
  </si>
  <si>
    <t>mts.</t>
  </si>
  <si>
    <t>Ciprés</t>
  </si>
  <si>
    <t>Cupresus lusitanica</t>
  </si>
  <si>
    <t>Chulube</t>
  </si>
  <si>
    <t>Pino triste</t>
  </si>
  <si>
    <t xml:space="preserve">Aliso </t>
  </si>
  <si>
    <t>30 - 39.9</t>
  </si>
  <si>
    <t>40 - 49.9</t>
  </si>
  <si>
    <t>de la parcela 1a la 3</t>
  </si>
  <si>
    <t>de la parcela 4 a la 8</t>
  </si>
  <si>
    <t>1.034 has</t>
  </si>
  <si>
    <t>0.779 has</t>
  </si>
  <si>
    <t>de la parcela 9 a la 10</t>
  </si>
  <si>
    <t>1.12 has</t>
  </si>
  <si>
    <t>Rótulos de fila</t>
  </si>
  <si>
    <t>Arbutus xalapensis</t>
  </si>
  <si>
    <t>Pinus pseudostrobus</t>
  </si>
  <si>
    <t>11 - 19.9</t>
  </si>
  <si>
    <t>Cupressus lusitanica</t>
  </si>
  <si>
    <t>Propietaria</t>
  </si>
  <si>
    <t>Francisca Carrillo Garcia 1</t>
  </si>
  <si>
    <t>Fecha</t>
  </si>
  <si>
    <t>500*3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</si>
</sst>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\ &quot;m³&quot;"/>
  </numFmts>
  <fonts count="11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Arial"/>
      <family val="2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0" fillId="0" borderId="2" xfId="0" applyNumberFormat="1" applyBorder="1"/>
    <xf numFmtId="2" fontId="0" fillId="0" borderId="2" xfId="0" applyNumberForma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1" fontId="0" fillId="0" borderId="2" xfId="0" applyNumberFormat="1" applyBorder="1"/>
    <xf numFmtId="0" fontId="2" fillId="4" borderId="2" xfId="0" applyFont="1" applyFill="1" applyBorder="1" applyAlignment="1">
      <alignment horizontal="left"/>
    </xf>
    <xf numFmtId="1" fontId="2" fillId="4" borderId="2" xfId="0" applyNumberFormat="1" applyFont="1" applyFill="1" applyBorder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/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wrapText="1"/>
    </xf>
    <xf numFmtId="1" fontId="2" fillId="5" borderId="2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3" borderId="2" xfId="0" applyNumberForma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wrapText="1"/>
    </xf>
    <xf numFmtId="1" fontId="0" fillId="5" borderId="2" xfId="0" applyNumberFormat="1" applyFill="1" applyBorder="1" applyAlignment="1">
      <alignment horizontal="center" wrapText="1"/>
    </xf>
    <xf numFmtId="2" fontId="0" fillId="5" borderId="2" xfId="0" applyNumberFormat="1" applyFill="1" applyBorder="1" applyAlignment="1">
      <alignment horizont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/>
    </xf>
    <xf numFmtId="0" fontId="5" fillId="0" borderId="2" xfId="1" applyFont="1" applyBorder="1"/>
    <xf numFmtId="0" fontId="5" fillId="7" borderId="2" xfId="1" applyFont="1" applyFill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165" fontId="6" fillId="0" borderId="2" xfId="1" applyNumberFormat="1" applyFont="1" applyBorder="1" applyAlignment="1">
      <alignment horizontal="right"/>
    </xf>
    <xf numFmtId="164" fontId="6" fillId="0" borderId="2" xfId="1" applyNumberFormat="1" applyFont="1" applyBorder="1" applyAlignment="1">
      <alignment horizontal="right"/>
    </xf>
    <xf numFmtId="10" fontId="6" fillId="8" borderId="2" xfId="2" applyNumberFormat="1" applyFont="1" applyFill="1" applyBorder="1" applyAlignment="1">
      <alignment horizontal="right"/>
    </xf>
    <xf numFmtId="164" fontId="6" fillId="0" borderId="2" xfId="1" applyNumberFormat="1" applyFont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0" fillId="0" borderId="3" xfId="0" applyBorder="1" applyAlignment="1">
      <alignment horizontal="left"/>
    </xf>
    <xf numFmtId="2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2" fontId="0" fillId="5" borderId="3" xfId="0" applyNumberForma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3" xfId="0" applyFill="1" applyBorder="1" applyAlignment="1">
      <alignment horizontal="left"/>
    </xf>
    <xf numFmtId="0" fontId="0" fillId="3" borderId="0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7" fillId="9" borderId="2" xfId="0" applyFont="1" applyFill="1" applyBorder="1"/>
    <xf numFmtId="0" fontId="0" fillId="10" borderId="2" xfId="0" applyFill="1" applyBorder="1"/>
    <xf numFmtId="0" fontId="0" fillId="0" borderId="0" xfId="0" applyBorder="1"/>
    <xf numFmtId="0" fontId="2" fillId="5" borderId="2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0" fontId="5" fillId="0" borderId="2" xfId="1" applyFont="1" applyBorder="1" applyAlignment="1">
      <alignment horizontal="center"/>
    </xf>
    <xf numFmtId="0" fontId="2" fillId="0" borderId="0" xfId="0" applyFont="1" applyBorder="1"/>
    <xf numFmtId="0" fontId="0" fillId="11" borderId="0" xfId="0" applyFill="1" applyBorder="1"/>
    <xf numFmtId="0" fontId="0" fillId="11" borderId="0" xfId="0" applyFill="1" applyBorder="1" applyAlignment="1">
      <alignment horizontal="center"/>
    </xf>
    <xf numFmtId="2" fontId="0" fillId="11" borderId="0" xfId="0" applyNumberFormat="1" applyFill="1" applyBorder="1"/>
    <xf numFmtId="2" fontId="0" fillId="11" borderId="0" xfId="0" applyNumberFormat="1" applyFont="1" applyFill="1" applyBorder="1"/>
    <xf numFmtId="0" fontId="0" fillId="11" borderId="0" xfId="0" applyFill="1"/>
    <xf numFmtId="0" fontId="7" fillId="11" borderId="2" xfId="0" applyFont="1" applyFill="1" applyBorder="1"/>
    <xf numFmtId="0" fontId="0" fillId="11" borderId="2" xfId="0" applyFill="1" applyBorder="1"/>
    <xf numFmtId="0" fontId="2" fillId="11" borderId="0" xfId="0" applyFont="1" applyFill="1" applyBorder="1"/>
    <xf numFmtId="0" fontId="2" fillId="11" borderId="0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1" fontId="0" fillId="3" borderId="2" xfId="0" applyNumberFormat="1" applyFont="1" applyFill="1" applyBorder="1" applyAlignment="1">
      <alignment horizontal="center" wrapText="1"/>
    </xf>
    <xf numFmtId="0" fontId="0" fillId="0" borderId="2" xfId="0" applyNumberFormat="1" applyFont="1" applyBorder="1" applyAlignment="1">
      <alignment horizontal="center"/>
    </xf>
    <xf numFmtId="2" fontId="2" fillId="4" borderId="2" xfId="0" applyNumberFormat="1" applyFont="1" applyFill="1" applyBorder="1"/>
    <xf numFmtId="2" fontId="0" fillId="5" borderId="3" xfId="0" applyNumberForma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ont="1" applyFill="1" applyBorder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9" fillId="0" borderId="0" xfId="0" applyFont="1"/>
    <xf numFmtId="0" fontId="8" fillId="11" borderId="0" xfId="0" applyFont="1" applyFill="1" applyBorder="1"/>
    <xf numFmtId="0" fontId="8" fillId="0" borderId="0" xfId="0" applyFont="1" applyFill="1" applyBorder="1"/>
    <xf numFmtId="0" fontId="8" fillId="0" borderId="0" xfId="0" applyFont="1"/>
    <xf numFmtId="0" fontId="10" fillId="0" borderId="0" xfId="0" applyFont="1"/>
    <xf numFmtId="2" fontId="0" fillId="0" borderId="2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5" fillId="0" borderId="2" xfId="1" applyFont="1" applyBorder="1" applyAlignment="1">
      <alignment horizontal="center"/>
    </xf>
  </cellXfs>
  <cellStyles count="3">
    <cellStyle name="Normal" xfId="0" builtinId="0"/>
    <cellStyle name="Normal 2" xfId="1"/>
    <cellStyle name="Porcentaje 2" xfId="2"/>
  </cellStyles>
  <dxfs count="40">
    <dxf>
      <border>
        <bottom style="thin">
          <color indexed="64"/>
        </bottom>
        <horizontal style="thin">
          <color indexed="64"/>
        </horizontal>
      </border>
    </dxf>
    <dxf>
      <alignment horizontal="center" readingOrder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numFmt numFmtId="2" formatCode="0.00"/>
    </dxf>
    <dxf>
      <numFmt numFmtId="1" formatCode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final" refreshedDate="41765.460741550924" createdVersion="3" refreshedVersion="3" minRefreshableVersion="3" recordCount="24">
  <cacheSource type="worksheet">
    <worksheetSource ref="A1:L25" sheet="general"/>
  </cacheSource>
  <cacheFields count="12">
    <cacheField name="Parcela" numFmtId="0">
      <sharedItems containsSemiMixedTypes="0" containsString="0" containsNumber="1" containsInteger="1" minValue="1" maxValue="3" count="3">
        <n v="1"/>
        <n v="2"/>
        <n v="3"/>
      </sharedItems>
    </cacheField>
    <cacheField name="No. Arbol" numFmtId="0">
      <sharedItems containsSemiMixedTypes="0" containsString="0" containsNumber="1" containsInteger="1" minValue="1" maxValue="9"/>
    </cacheField>
    <cacheField name="Nombre común" numFmtId="0">
      <sharedItems count="4">
        <s v="Aliso "/>
        <s v="Ciprés"/>
        <s v="Pino triste"/>
        <s v="Chulube"/>
      </sharedItems>
    </cacheField>
    <cacheField name="Especie" numFmtId="0">
      <sharedItems count="4">
        <s v="Alnus sp."/>
        <s v="Cupresus lusitanica"/>
        <s v="Pinus pseudostrobus"/>
        <s v="Arbutus xalapensis"/>
      </sharedItems>
    </cacheField>
    <cacheField name="Clase diámetrica" numFmtId="0">
      <sharedItems count="5">
        <s v="20 - 29.9"/>
        <s v="10 - 19.9"/>
        <s v="30 - 39.9"/>
        <s v="40 - 49.9"/>
        <s v="11 - 19.9"/>
      </sharedItems>
    </cacheField>
    <cacheField name="DAP (cm)" numFmtId="0">
      <sharedItems containsSemiMixedTypes="0" containsString="0" containsNumber="1" minValue="13" maxValue="41"/>
    </cacheField>
    <cacheField name="Altura (m)" numFmtId="0">
      <sharedItems containsSemiMixedTypes="0" containsString="0" containsNumber="1" containsInteger="1" minValue="12" maxValue="21"/>
    </cacheField>
    <cacheField name="Area Basal (m2)" numFmtId="2">
      <sharedItems containsSemiMixedTypes="0" containsString="0" containsNumber="1" minValue="1.3273260000000002E-2" maxValue="0.13202573999999997"/>
    </cacheField>
    <cacheField name="AB/Ha." numFmtId="2">
      <sharedItems containsSemiMixedTypes="0" containsString="0" containsNumber="1" minValue="8.8488400000000023E-2" maxValue="0.88017159999999983"/>
    </cacheField>
    <cacheField name="Volumen (m3)" numFmtId="2">
      <sharedItems containsSemiMixedTypes="0" containsString="0" containsNumber="1" minValue="8.7136535400000006E-2" maxValue="1.014873342"/>
    </cacheField>
    <cacheField name="Volumen/Ha." numFmtId="2">
      <sharedItems containsSemiMixedTypes="0" containsString="0" containsNumber="1" minValue="0.58091023600000002" maxValue="6.7658222800000001"/>
    </cacheField>
    <cacheField name="Densidad/Ha." numFmtId="2">
      <sharedItems containsSemiMixedTypes="0" containsString="0" containsNumber="1" minValue="6.666666666666667" maxValue="6.66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n v="1"/>
    <x v="0"/>
    <x v="0"/>
    <x v="0"/>
    <n v="22.4"/>
    <n v="15"/>
    <n v="3.9408230399999994E-2"/>
    <n v="0.26272153599999998"/>
    <n v="0.45830733959999997"/>
    <n v="3.0553822639999999"/>
    <n v="6.666666666666667"/>
  </r>
  <r>
    <x v="0"/>
    <n v="2"/>
    <x v="0"/>
    <x v="0"/>
    <x v="0"/>
    <n v="23"/>
    <n v="15"/>
    <n v="4.154766E-2"/>
    <n v="0.27698440000000002"/>
    <n v="0.47730683099999999"/>
    <n v="3.1820455399999998"/>
    <n v="6.666666666666667"/>
  </r>
  <r>
    <x v="0"/>
    <n v="3"/>
    <x v="0"/>
    <x v="0"/>
    <x v="1"/>
    <n v="19"/>
    <n v="14"/>
    <n v="2.835294E-2"/>
    <n v="0.18901960000000001"/>
    <n v="0.34334321200000001"/>
    <n v="2.2889547466666667"/>
    <n v="6.666666666666667"/>
  </r>
  <r>
    <x v="0"/>
    <n v="4"/>
    <x v="0"/>
    <x v="0"/>
    <x v="0"/>
    <n v="24"/>
    <n v="17"/>
    <n v="4.5239040000000001E-2"/>
    <n v="0.30159360000000002"/>
    <n v="0.56365547400000005"/>
    <n v="3.7577031600000006"/>
    <n v="6.666666666666667"/>
  </r>
  <r>
    <x v="0"/>
    <n v="5"/>
    <x v="0"/>
    <x v="0"/>
    <x v="0"/>
    <n v="26"/>
    <n v="17"/>
    <n v="5.3093040000000008E-2"/>
    <n v="0.35395360000000009"/>
    <n v="0.64270377400000012"/>
    <n v="4.284691826666668"/>
    <n v="6.666666666666667"/>
  </r>
  <r>
    <x v="0"/>
    <n v="6"/>
    <x v="0"/>
    <x v="0"/>
    <x v="1"/>
    <n v="13"/>
    <n v="12"/>
    <n v="1.3273260000000002E-2"/>
    <n v="8.8488400000000023E-2"/>
    <n v="0.202637238"/>
    <n v="1.3509149200000001"/>
    <n v="6.666666666666667"/>
  </r>
  <r>
    <x v="0"/>
    <n v="7"/>
    <x v="1"/>
    <x v="1"/>
    <x v="1"/>
    <n v="14"/>
    <n v="13"/>
    <n v="1.5393840000000002E-2"/>
    <n v="0.10262560000000003"/>
    <n v="8.7136535400000006E-2"/>
    <n v="0.58091023600000002"/>
    <n v="6.666666666666667"/>
  </r>
  <r>
    <x v="0"/>
    <n v="8"/>
    <x v="1"/>
    <x v="1"/>
    <x v="1"/>
    <n v="19"/>
    <n v="14"/>
    <n v="2.835294E-2"/>
    <n v="0.18901960000000001"/>
    <n v="0.1595935158"/>
    <n v="1.0639567720000001"/>
    <n v="6.666666666666667"/>
  </r>
  <r>
    <x v="0"/>
    <n v="9"/>
    <x v="0"/>
    <x v="0"/>
    <x v="0"/>
    <n v="26"/>
    <n v="14"/>
    <n v="5.3093040000000008E-2"/>
    <n v="0.35395360000000009"/>
    <n v="0.54840380200000005"/>
    <n v="3.656025346666667"/>
    <n v="6.666666666666667"/>
  </r>
  <r>
    <x v="1"/>
    <n v="1"/>
    <x v="1"/>
    <x v="1"/>
    <x v="2"/>
    <n v="35"/>
    <n v="14"/>
    <n v="9.6211499999999991E-2"/>
    <n v="0.64140999999999992"/>
    <n v="0.50933000220000002"/>
    <n v="3.3955333480000003"/>
    <n v="6.666666666666667"/>
  </r>
  <r>
    <x v="1"/>
    <n v="2"/>
    <x v="2"/>
    <x v="2"/>
    <x v="1"/>
    <n v="17"/>
    <n v="14"/>
    <n v="2.2698060000000003E-2"/>
    <n v="0.15132040000000002"/>
    <n v="0.12081781599999999"/>
    <n v="0.80545210666666667"/>
    <n v="6.666666666666667"/>
  </r>
  <r>
    <x v="1"/>
    <n v="3"/>
    <x v="0"/>
    <x v="0"/>
    <x v="1"/>
    <n v="15"/>
    <n v="14"/>
    <n v="1.76715E-2"/>
    <n v="0.11781"/>
    <n v="0.254809116"/>
    <n v="1.6987274400000001"/>
    <n v="6.666666666666667"/>
  </r>
  <r>
    <x v="1"/>
    <n v="4"/>
    <x v="2"/>
    <x v="2"/>
    <x v="3"/>
    <n v="40"/>
    <n v="18"/>
    <n v="0.12566400000000003"/>
    <n v="0.83776000000000017"/>
    <n v="0.82891093679999994"/>
    <n v="5.5260729120000001"/>
    <n v="6.666666666666667"/>
  </r>
  <r>
    <x v="1"/>
    <n v="5"/>
    <x v="2"/>
    <x v="2"/>
    <x v="2"/>
    <n v="33"/>
    <n v="19"/>
    <n v="8.5530060000000005E-2"/>
    <n v="0.57020040000000005"/>
    <n v="0.59695136999999998"/>
    <n v="3.9796757999999999"/>
    <n v="6.666666666666667"/>
  </r>
  <r>
    <x v="1"/>
    <n v="6"/>
    <x v="2"/>
    <x v="2"/>
    <x v="3"/>
    <n v="41"/>
    <n v="21"/>
    <n v="0.13202573999999997"/>
    <n v="0.88017159999999983"/>
    <n v="1.014873342"/>
    <n v="6.7658222800000001"/>
    <n v="6.666666666666667"/>
  </r>
  <r>
    <x v="1"/>
    <n v="7"/>
    <x v="3"/>
    <x v="3"/>
    <x v="1"/>
    <n v="16"/>
    <n v="12"/>
    <n v="2.0106240000000001E-2"/>
    <n v="0.13404160000000001"/>
    <n v="0.25118219400000003"/>
    <n v="1.6745479600000002"/>
    <n v="6.666666666666667"/>
  </r>
  <r>
    <x v="2"/>
    <n v="1"/>
    <x v="3"/>
    <x v="3"/>
    <x v="1"/>
    <n v="18"/>
    <n v="17"/>
    <n v="2.5446959999999998E-2"/>
    <n v="0.1696464"/>
    <n v="0.36445375800000002"/>
    <n v="2.4296917200000001"/>
    <n v="6.666666666666667"/>
  </r>
  <r>
    <x v="2"/>
    <n v="2"/>
    <x v="3"/>
    <x v="3"/>
    <x v="1"/>
    <n v="19"/>
    <n v="15"/>
    <n v="2.835294E-2"/>
    <n v="0.18901960000000001"/>
    <n v="0.36012935099999999"/>
    <n v="2.4008623400000002"/>
    <n v="6.666666666666667"/>
  </r>
  <r>
    <x v="2"/>
    <n v="3"/>
    <x v="2"/>
    <x v="2"/>
    <x v="2"/>
    <n v="35"/>
    <n v="17"/>
    <n v="9.6211499999999991E-2"/>
    <n v="0.64140999999999992"/>
    <n v="0.60078446679999997"/>
    <n v="4.0052297786666671"/>
    <n v="6.666666666666667"/>
  </r>
  <r>
    <x v="2"/>
    <n v="4"/>
    <x v="3"/>
    <x v="3"/>
    <x v="1"/>
    <n v="19"/>
    <n v="16"/>
    <n v="2.835294E-2"/>
    <n v="0.18901960000000001"/>
    <n v="0.37691549000000002"/>
    <n v="2.5127699333333338"/>
    <n v="6.666666666666667"/>
  </r>
  <r>
    <x v="2"/>
    <n v="5"/>
    <x v="3"/>
    <x v="3"/>
    <x v="4"/>
    <n v="19"/>
    <n v="17"/>
    <n v="2.835294E-2"/>
    <n v="0.18901960000000001"/>
    <n v="0.393701629"/>
    <n v="2.6246775266666669"/>
    <n v="6.666666666666667"/>
  </r>
  <r>
    <x v="2"/>
    <n v="6"/>
    <x v="0"/>
    <x v="0"/>
    <x v="1"/>
    <n v="16"/>
    <n v="12"/>
    <n v="2.0106240000000001E-2"/>
    <n v="0.13404160000000001"/>
    <n v="9.2956351199999995E-2"/>
    <n v="0.61970900799999995"/>
    <n v="6.666666666666667"/>
  </r>
  <r>
    <x v="2"/>
    <n v="7"/>
    <x v="2"/>
    <x v="2"/>
    <x v="0"/>
    <n v="22"/>
    <n v="15"/>
    <n v="3.8013359999999996E-2"/>
    <n v="0.25342239999999999"/>
    <n v="0.21275492879999999"/>
    <n v="1.4183661919999999"/>
    <n v="6.666666666666667"/>
  </r>
  <r>
    <x v="2"/>
    <n v="8"/>
    <x v="2"/>
    <x v="2"/>
    <x v="2"/>
    <n v="33"/>
    <n v="17"/>
    <n v="8.5530060000000005E-2"/>
    <n v="0.57020040000000005"/>
    <n v="0.53464924439999995"/>
    <n v="3.5643282959999998"/>
    <n v="6.666666666666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12"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</pivotFields>
  <rowFields count="2">
    <field x="3"/>
    <field x="2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Items count="1">
    <i/>
  </colItems>
  <dataFields count="1">
    <dataField name="Cuenta de No. Arbol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3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F9" firstHeaderRow="1" firstDataRow="2" firstDataCol="1"/>
  <pivotFields count="12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"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3" cacheId="3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No. De Parcela">
  <location ref="A3:F8" firstHeaderRow="1" firstDataRow="2" firstDataCol="1"/>
  <pivotFields count="12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1">
    <format dxfId="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5">
      <pivotArea outline="0" collapsedLevelsAreSubtotals="1" fieldPosition="0"/>
    </format>
    <format dxfId="34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0">
      <pivotArea outline="0" collapsedLevelsAreSubtotals="1" fieldPosition="0"/>
    </format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0">
      <pivotArea field="0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4" cacheId="3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Especie y Clase Diametrica">
  <location ref="A3:F19" firstHeaderRow="1" firstDataRow="2" firstDataCol="1"/>
  <pivotFields count="12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2">
    <field x="3"/>
    <field x="4"/>
  </rowFields>
  <rowItems count="15">
    <i>
      <x/>
    </i>
    <i r="1">
      <x/>
    </i>
    <i r="1">
      <x v="1"/>
    </i>
    <i>
      <x v="1"/>
    </i>
    <i r="1">
      <x/>
    </i>
    <i r="1">
      <x v="2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17"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4">
      <pivotArea field="3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">
      <pivotArea field="3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outline="0" collapsedLevelsAreSubtotals="1" fieldPosition="0"/>
    </format>
    <format dxfId="0">
      <pivotArea field="3" grandRow="1" outline="0" collapsedLevelsAreSubtotals="1" axis="axisRow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zoomScale="78" zoomScaleNormal="78" workbookViewId="0">
      <selection activeCell="P5" sqref="P5"/>
    </sheetView>
  </sheetViews>
  <sheetFormatPr baseColWidth="10" defaultColWidth="11.42578125" defaultRowHeight="15" x14ac:dyDescent="0.25"/>
  <cols>
    <col min="1" max="1" width="9.140625" customWidth="1"/>
    <col min="2" max="2" width="9.5703125" customWidth="1"/>
    <col min="3" max="3" width="13" customWidth="1"/>
    <col min="4" max="4" width="24.140625" style="90" customWidth="1"/>
    <col min="14" max="14" width="24.140625" style="1" bestFit="1" customWidth="1"/>
  </cols>
  <sheetData>
    <row r="1" spans="1:17" ht="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4" t="s">
        <v>54</v>
      </c>
      <c r="N1" s="93" t="s">
        <v>75</v>
      </c>
    </row>
    <row r="2" spans="1:17" x14ac:dyDescent="0.25">
      <c r="A2" s="62">
        <v>1</v>
      </c>
      <c r="B2" s="62">
        <v>1</v>
      </c>
      <c r="C2" s="63" t="s">
        <v>61</v>
      </c>
      <c r="D2" s="88" t="s">
        <v>53</v>
      </c>
      <c r="E2" s="62" t="s">
        <v>52</v>
      </c>
      <c r="F2" s="63">
        <v>22.4</v>
      </c>
      <c r="G2" s="63">
        <v>15</v>
      </c>
      <c r="H2" s="64">
        <f>0.7854*(F2/100)^2</f>
        <v>3.9408230399999994E-2</v>
      </c>
      <c r="I2" s="65">
        <f>H2*1/$P$3</f>
        <v>0.78816460799999988</v>
      </c>
      <c r="J2" s="64">
        <f>(0.108337266+0.000046499*(F2^2*G2))</f>
        <v>0.45830733959999997</v>
      </c>
      <c r="K2" s="65">
        <f>J2/$P$3</f>
        <v>9.1661467919999993</v>
      </c>
      <c r="L2" s="65">
        <f>1*1/$P$3</f>
        <v>20</v>
      </c>
      <c r="M2" s="66"/>
      <c r="N2" s="66" t="s">
        <v>76</v>
      </c>
      <c r="O2" s="67" t="s">
        <v>56</v>
      </c>
      <c r="P2" s="55" t="s">
        <v>55</v>
      </c>
      <c r="Q2" t="s">
        <v>77</v>
      </c>
    </row>
    <row r="3" spans="1:17" x14ac:dyDescent="0.25">
      <c r="A3" s="62">
        <v>1</v>
      </c>
      <c r="B3" s="62">
        <v>2</v>
      </c>
      <c r="C3" s="63" t="s">
        <v>61</v>
      </c>
      <c r="D3" s="88" t="s">
        <v>53</v>
      </c>
      <c r="E3" s="62" t="s">
        <v>52</v>
      </c>
      <c r="F3" s="63">
        <v>23</v>
      </c>
      <c r="G3" s="63">
        <v>15</v>
      </c>
      <c r="H3" s="64">
        <f>0.7854*(F3/100)^2</f>
        <v>4.154766E-2</v>
      </c>
      <c r="I3" s="65">
        <f t="shared" ref="I3:I22" si="0">H3*1/$P$3</f>
        <v>0.83095319999999995</v>
      </c>
      <c r="J3" s="64">
        <f t="shared" ref="J3:J7" si="1">(0.108337266+0.000046499*(F3^2*G3))</f>
        <v>0.47730683099999999</v>
      </c>
      <c r="K3" s="65">
        <f t="shared" ref="K3:K25" si="2">J3/$P$3</f>
        <v>9.5461366199999986</v>
      </c>
      <c r="L3" s="65">
        <f t="shared" ref="L3:L25" si="3">1*1/$P$3</f>
        <v>20</v>
      </c>
      <c r="M3" s="66"/>
      <c r="N3" s="66" t="s">
        <v>76</v>
      </c>
      <c r="O3" s="68">
        <v>500</v>
      </c>
      <c r="P3" s="56">
        <f>O3/10000</f>
        <v>0.05</v>
      </c>
    </row>
    <row r="4" spans="1:17" x14ac:dyDescent="0.25">
      <c r="A4" s="62">
        <v>1</v>
      </c>
      <c r="B4" s="62">
        <v>3</v>
      </c>
      <c r="C4" s="63" t="s">
        <v>61</v>
      </c>
      <c r="D4" s="88" t="s">
        <v>53</v>
      </c>
      <c r="E4" s="62" t="s">
        <v>51</v>
      </c>
      <c r="F4" s="63">
        <v>19</v>
      </c>
      <c r="G4" s="63">
        <v>14</v>
      </c>
      <c r="H4" s="64">
        <f t="shared" ref="H4:H22" si="4">0.7854*(F4/100)^2</f>
        <v>2.835294E-2</v>
      </c>
      <c r="I4" s="65">
        <f t="shared" si="0"/>
        <v>0.56705879999999997</v>
      </c>
      <c r="J4" s="64">
        <f t="shared" si="1"/>
        <v>0.34334321200000001</v>
      </c>
      <c r="K4" s="65">
        <f t="shared" si="2"/>
        <v>6.86686424</v>
      </c>
      <c r="L4" s="65">
        <f t="shared" si="3"/>
        <v>20</v>
      </c>
      <c r="M4" s="66"/>
      <c r="N4" s="66" t="s">
        <v>76</v>
      </c>
      <c r="O4" s="66"/>
      <c r="P4" t="s">
        <v>78</v>
      </c>
    </row>
    <row r="5" spans="1:17" x14ac:dyDescent="0.25">
      <c r="A5" s="62">
        <v>1</v>
      </c>
      <c r="B5" s="62">
        <v>4</v>
      </c>
      <c r="C5" s="63" t="s">
        <v>61</v>
      </c>
      <c r="D5" s="88" t="s">
        <v>53</v>
      </c>
      <c r="E5" s="62" t="s">
        <v>52</v>
      </c>
      <c r="F5" s="63">
        <v>24</v>
      </c>
      <c r="G5" s="63">
        <v>17</v>
      </c>
      <c r="H5" s="64">
        <f t="shared" si="4"/>
        <v>4.5239040000000001E-2</v>
      </c>
      <c r="I5" s="65">
        <f t="shared" si="0"/>
        <v>0.90478079999999994</v>
      </c>
      <c r="J5" s="64">
        <f t="shared" si="1"/>
        <v>0.56365547400000005</v>
      </c>
      <c r="K5" s="65">
        <f t="shared" si="2"/>
        <v>11.27310948</v>
      </c>
      <c r="L5" s="65">
        <f t="shared" si="3"/>
        <v>20</v>
      </c>
      <c r="M5" s="62"/>
      <c r="N5" s="66" t="s">
        <v>76</v>
      </c>
      <c r="O5" s="62"/>
    </row>
    <row r="6" spans="1:17" x14ac:dyDescent="0.25">
      <c r="A6" s="62">
        <v>1</v>
      </c>
      <c r="B6" s="62">
        <v>5</v>
      </c>
      <c r="C6" s="63" t="s">
        <v>61</v>
      </c>
      <c r="D6" s="88" t="s">
        <v>53</v>
      </c>
      <c r="E6" s="62" t="s">
        <v>52</v>
      </c>
      <c r="F6" s="63">
        <v>26</v>
      </c>
      <c r="G6" s="63">
        <v>17</v>
      </c>
      <c r="H6" s="64">
        <f t="shared" si="4"/>
        <v>5.3093040000000008E-2</v>
      </c>
      <c r="I6" s="65">
        <f t="shared" si="0"/>
        <v>1.0618608</v>
      </c>
      <c r="J6" s="64">
        <f t="shared" si="1"/>
        <v>0.64270377400000012</v>
      </c>
      <c r="K6" s="65">
        <f t="shared" si="2"/>
        <v>12.854075480000002</v>
      </c>
      <c r="L6" s="65">
        <f t="shared" si="3"/>
        <v>20</v>
      </c>
      <c r="M6" s="62"/>
      <c r="N6" s="66" t="s">
        <v>76</v>
      </c>
      <c r="O6" s="62"/>
    </row>
    <row r="7" spans="1:17" x14ac:dyDescent="0.25">
      <c r="A7" s="62">
        <v>1</v>
      </c>
      <c r="B7" s="62">
        <v>6</v>
      </c>
      <c r="C7" s="63" t="s">
        <v>61</v>
      </c>
      <c r="D7" s="88" t="s">
        <v>53</v>
      </c>
      <c r="E7" s="62" t="s">
        <v>51</v>
      </c>
      <c r="F7" s="63">
        <v>13</v>
      </c>
      <c r="G7" s="63">
        <v>12</v>
      </c>
      <c r="H7" s="64">
        <f t="shared" si="4"/>
        <v>1.3273260000000002E-2</v>
      </c>
      <c r="I7" s="65">
        <f t="shared" si="0"/>
        <v>0.26546520000000001</v>
      </c>
      <c r="J7" s="64">
        <f t="shared" si="1"/>
        <v>0.202637238</v>
      </c>
      <c r="K7" s="65">
        <f t="shared" si="2"/>
        <v>4.0527447599999995</v>
      </c>
      <c r="L7" s="65">
        <f t="shared" si="3"/>
        <v>20</v>
      </c>
      <c r="M7" s="62"/>
      <c r="N7" s="66" t="s">
        <v>76</v>
      </c>
      <c r="O7" s="62"/>
    </row>
    <row r="8" spans="1:17" x14ac:dyDescent="0.25">
      <c r="A8" s="62">
        <v>1</v>
      </c>
      <c r="B8" s="62">
        <v>7</v>
      </c>
      <c r="C8" s="63" t="s">
        <v>57</v>
      </c>
      <c r="D8" s="88" t="s">
        <v>74</v>
      </c>
      <c r="E8" s="62" t="s">
        <v>51</v>
      </c>
      <c r="F8" s="63">
        <v>14</v>
      </c>
      <c r="G8" s="63">
        <v>13</v>
      </c>
      <c r="H8" s="64">
        <f t="shared" si="4"/>
        <v>1.5393840000000002E-2</v>
      </c>
      <c r="I8" s="65">
        <f t="shared" si="0"/>
        <v>0.30787680000000001</v>
      </c>
      <c r="J8" s="64">
        <f>(0.0134651922+0.0000289134*(F8^2*G8))</f>
        <v>8.7136535400000006E-2</v>
      </c>
      <c r="K8" s="65">
        <f t="shared" si="2"/>
        <v>1.7427307080000001</v>
      </c>
      <c r="L8" s="65">
        <f t="shared" si="3"/>
        <v>20</v>
      </c>
      <c r="M8" s="62"/>
      <c r="N8" s="66" t="s">
        <v>76</v>
      </c>
      <c r="O8" s="1" t="s">
        <v>64</v>
      </c>
      <c r="P8" s="1"/>
      <c r="Q8" s="1" t="s">
        <v>67</v>
      </c>
    </row>
    <row r="9" spans="1:17" x14ac:dyDescent="0.25">
      <c r="A9" s="62">
        <v>1</v>
      </c>
      <c r="B9" s="62">
        <v>8</v>
      </c>
      <c r="C9" s="63" t="s">
        <v>57</v>
      </c>
      <c r="D9" s="88" t="s">
        <v>74</v>
      </c>
      <c r="E9" s="62" t="s">
        <v>51</v>
      </c>
      <c r="F9" s="63">
        <v>19</v>
      </c>
      <c r="G9" s="63">
        <v>14</v>
      </c>
      <c r="H9" s="64">
        <f t="shared" si="4"/>
        <v>2.835294E-2</v>
      </c>
      <c r="I9" s="65">
        <f t="shared" si="0"/>
        <v>0.56705879999999997</v>
      </c>
      <c r="J9" s="64">
        <f>(0.0134651922+0.0000289134*(F9^2*G9))</f>
        <v>0.1595935158</v>
      </c>
      <c r="K9" s="65">
        <f t="shared" si="2"/>
        <v>3.1918703159999997</v>
      </c>
      <c r="L9" s="65">
        <f t="shared" si="3"/>
        <v>20</v>
      </c>
      <c r="M9" s="62"/>
      <c r="N9" s="66" t="s">
        <v>76</v>
      </c>
      <c r="O9" s="1" t="s">
        <v>65</v>
      </c>
      <c r="Q9" s="1" t="s">
        <v>66</v>
      </c>
    </row>
    <row r="10" spans="1:17" x14ac:dyDescent="0.25">
      <c r="A10" s="62">
        <v>1</v>
      </c>
      <c r="B10" s="62">
        <v>9</v>
      </c>
      <c r="C10" s="63" t="s">
        <v>61</v>
      </c>
      <c r="D10" s="88" t="s">
        <v>53</v>
      </c>
      <c r="E10" s="62" t="s">
        <v>52</v>
      </c>
      <c r="F10" s="63">
        <v>26</v>
      </c>
      <c r="G10" s="63">
        <v>14</v>
      </c>
      <c r="H10" s="64">
        <f t="shared" si="4"/>
        <v>5.3093040000000008E-2</v>
      </c>
      <c r="I10" s="65">
        <f t="shared" si="0"/>
        <v>1.0618608</v>
      </c>
      <c r="J10" s="64">
        <f>(0.108337266+0.000046499*(F10^2*G10))</f>
        <v>0.54840380200000005</v>
      </c>
      <c r="K10" s="65">
        <f t="shared" si="2"/>
        <v>10.96807604</v>
      </c>
      <c r="L10" s="65">
        <f t="shared" si="3"/>
        <v>20</v>
      </c>
      <c r="M10" s="66"/>
      <c r="N10" s="66" t="s">
        <v>76</v>
      </c>
      <c r="O10" s="1" t="s">
        <v>68</v>
      </c>
      <c r="Q10" s="1" t="s">
        <v>69</v>
      </c>
    </row>
    <row r="11" spans="1:17" x14ac:dyDescent="0.25">
      <c r="A11" s="62">
        <v>2</v>
      </c>
      <c r="B11" s="62">
        <v>1</v>
      </c>
      <c r="C11" s="63" t="s">
        <v>57</v>
      </c>
      <c r="D11" s="88" t="s">
        <v>74</v>
      </c>
      <c r="E11" s="62" t="s">
        <v>62</v>
      </c>
      <c r="F11" s="63">
        <v>35</v>
      </c>
      <c r="G11" s="63">
        <v>14</v>
      </c>
      <c r="H11" s="64">
        <f t="shared" si="4"/>
        <v>9.6211499999999991E-2</v>
      </c>
      <c r="I11" s="65">
        <f t="shared" si="0"/>
        <v>1.9242299999999997</v>
      </c>
      <c r="J11" s="64">
        <f>(0.0134651922+0.0000289134*(F11^2*G11))</f>
        <v>0.50933000220000002</v>
      </c>
      <c r="K11" s="65">
        <f t="shared" si="2"/>
        <v>10.186600044</v>
      </c>
      <c r="L11" s="65">
        <f t="shared" si="3"/>
        <v>20</v>
      </c>
      <c r="M11" s="66"/>
      <c r="N11" s="66" t="s">
        <v>76</v>
      </c>
      <c r="O11" s="66"/>
    </row>
    <row r="12" spans="1:17" x14ac:dyDescent="0.25">
      <c r="A12" s="62">
        <v>2</v>
      </c>
      <c r="B12" s="62">
        <v>2</v>
      </c>
      <c r="C12" s="62" t="s">
        <v>60</v>
      </c>
      <c r="D12" s="88" t="s">
        <v>72</v>
      </c>
      <c r="E12" s="62" t="s">
        <v>51</v>
      </c>
      <c r="F12" s="63">
        <v>17</v>
      </c>
      <c r="G12" s="63">
        <v>14</v>
      </c>
      <c r="H12" s="64">
        <f t="shared" si="4"/>
        <v>2.2698060000000003E-2</v>
      </c>
      <c r="I12" s="65">
        <f t="shared" si="0"/>
        <v>0.45396120000000001</v>
      </c>
      <c r="J12" s="64">
        <f t="shared" ref="J12:J25" si="5">(0.0050811768+0.0000286052*(F12^2*G12))</f>
        <v>0.12081781599999999</v>
      </c>
      <c r="K12" s="65">
        <f t="shared" si="2"/>
        <v>2.4163563199999998</v>
      </c>
      <c r="L12" s="65">
        <f t="shared" si="3"/>
        <v>20</v>
      </c>
      <c r="M12" s="69"/>
      <c r="N12" s="66" t="s">
        <v>76</v>
      </c>
      <c r="O12" s="69"/>
      <c r="P12" s="61"/>
    </row>
    <row r="13" spans="1:17" x14ac:dyDescent="0.25">
      <c r="A13" s="62">
        <v>2</v>
      </c>
      <c r="B13" s="62">
        <v>3</v>
      </c>
      <c r="C13" s="63" t="s">
        <v>61</v>
      </c>
      <c r="D13" s="88" t="s">
        <v>53</v>
      </c>
      <c r="E13" s="62" t="s">
        <v>51</v>
      </c>
      <c r="F13" s="63">
        <v>15</v>
      </c>
      <c r="G13" s="63">
        <v>14</v>
      </c>
      <c r="H13" s="64">
        <f t="shared" si="4"/>
        <v>1.76715E-2</v>
      </c>
      <c r="I13" s="65">
        <f t="shared" si="0"/>
        <v>0.35342999999999997</v>
      </c>
      <c r="J13" s="64">
        <f>(0.108337266+0.000046499*(F13^2*G13))</f>
        <v>0.254809116</v>
      </c>
      <c r="K13" s="65">
        <f t="shared" si="2"/>
        <v>5.0961823199999996</v>
      </c>
      <c r="L13" s="65">
        <f t="shared" si="3"/>
        <v>20</v>
      </c>
      <c r="M13" s="69"/>
      <c r="N13" s="66" t="s">
        <v>76</v>
      </c>
      <c r="O13" s="69"/>
      <c r="P13" s="61"/>
    </row>
    <row r="14" spans="1:17" x14ac:dyDescent="0.25">
      <c r="A14" s="62">
        <v>2</v>
      </c>
      <c r="B14" s="62">
        <v>4</v>
      </c>
      <c r="C14" s="62" t="s">
        <v>60</v>
      </c>
      <c r="D14" s="88" t="s">
        <v>72</v>
      </c>
      <c r="E14" s="62" t="s">
        <v>63</v>
      </c>
      <c r="F14" s="63">
        <v>40</v>
      </c>
      <c r="G14" s="63">
        <v>18</v>
      </c>
      <c r="H14" s="64">
        <f t="shared" ref="H14:H16" si="6">0.7854*(F14/100)^2</f>
        <v>0.12566400000000003</v>
      </c>
      <c r="I14" s="65">
        <f t="shared" ref="I14:I16" si="7">H14*1/$P$3</f>
        <v>2.5132800000000004</v>
      </c>
      <c r="J14" s="64">
        <f t="shared" si="5"/>
        <v>0.82891093679999994</v>
      </c>
      <c r="K14" s="65">
        <f t="shared" si="2"/>
        <v>16.578218735999997</v>
      </c>
      <c r="L14" s="65">
        <f t="shared" si="3"/>
        <v>20</v>
      </c>
      <c r="M14" s="69"/>
      <c r="N14" s="66" t="s">
        <v>76</v>
      </c>
      <c r="O14" s="70"/>
      <c r="P14" s="61"/>
    </row>
    <row r="15" spans="1:17" x14ac:dyDescent="0.25">
      <c r="A15" s="62">
        <v>2</v>
      </c>
      <c r="B15" s="62">
        <v>5</v>
      </c>
      <c r="C15" s="62" t="s">
        <v>60</v>
      </c>
      <c r="D15" s="88" t="s">
        <v>72</v>
      </c>
      <c r="E15" s="62" t="s">
        <v>62</v>
      </c>
      <c r="F15" s="63">
        <v>33</v>
      </c>
      <c r="G15" s="63">
        <v>19</v>
      </c>
      <c r="H15" s="64">
        <f t="shared" si="6"/>
        <v>8.5530060000000005E-2</v>
      </c>
      <c r="I15" s="65">
        <f t="shared" si="7"/>
        <v>1.7106011999999999</v>
      </c>
      <c r="J15" s="64">
        <f t="shared" si="5"/>
        <v>0.59695136999999998</v>
      </c>
      <c r="K15" s="65">
        <f t="shared" si="2"/>
        <v>11.939027399999999</v>
      </c>
      <c r="L15" s="65">
        <f t="shared" si="3"/>
        <v>20</v>
      </c>
      <c r="M15" s="62"/>
      <c r="N15" s="66" t="s">
        <v>76</v>
      </c>
      <c r="O15" s="69"/>
      <c r="P15" s="61"/>
    </row>
    <row r="16" spans="1:17" x14ac:dyDescent="0.25">
      <c r="A16" s="62">
        <v>2</v>
      </c>
      <c r="B16" s="62">
        <v>6</v>
      </c>
      <c r="C16" s="62" t="s">
        <v>60</v>
      </c>
      <c r="D16" s="88" t="s">
        <v>72</v>
      </c>
      <c r="E16" s="62" t="s">
        <v>63</v>
      </c>
      <c r="F16" s="63">
        <v>41</v>
      </c>
      <c r="G16" s="63">
        <v>21</v>
      </c>
      <c r="H16" s="64">
        <f t="shared" si="6"/>
        <v>0.13202573999999997</v>
      </c>
      <c r="I16" s="65">
        <f t="shared" si="7"/>
        <v>2.6405147999999992</v>
      </c>
      <c r="J16" s="64">
        <f t="shared" si="5"/>
        <v>1.014873342</v>
      </c>
      <c r="K16" s="65">
        <f t="shared" si="2"/>
        <v>20.297466839999998</v>
      </c>
      <c r="L16" s="65">
        <f t="shared" si="3"/>
        <v>20</v>
      </c>
      <c r="M16" s="62"/>
      <c r="N16" s="66" t="s">
        <v>76</v>
      </c>
      <c r="O16" s="70"/>
      <c r="P16" s="61"/>
    </row>
    <row r="17" spans="1:16" x14ac:dyDescent="0.25">
      <c r="A17" s="62">
        <v>2</v>
      </c>
      <c r="B17" s="62">
        <v>7</v>
      </c>
      <c r="C17" s="63" t="s">
        <v>59</v>
      </c>
      <c r="D17" s="87" t="s">
        <v>71</v>
      </c>
      <c r="E17" s="62" t="s">
        <v>51</v>
      </c>
      <c r="F17" s="63">
        <v>16</v>
      </c>
      <c r="G17" s="63">
        <v>12</v>
      </c>
      <c r="H17" s="64">
        <f t="shared" si="4"/>
        <v>2.0106240000000001E-2</v>
      </c>
      <c r="I17" s="65">
        <f t="shared" si="0"/>
        <v>0.4021248</v>
      </c>
      <c r="J17" s="64">
        <f>(0.108337266+0.000046499*(F17^2*G17))</f>
        <v>0.25118219400000003</v>
      </c>
      <c r="K17" s="65">
        <f t="shared" si="2"/>
        <v>5.0236438799999998</v>
      </c>
      <c r="L17" s="65">
        <f t="shared" si="3"/>
        <v>20</v>
      </c>
      <c r="M17" s="62"/>
      <c r="N17" s="66" t="s">
        <v>76</v>
      </c>
      <c r="O17" s="70"/>
      <c r="P17" s="61"/>
    </row>
    <row r="18" spans="1:16" x14ac:dyDescent="0.25">
      <c r="A18" s="62">
        <v>3</v>
      </c>
      <c r="B18" s="62">
        <v>1</v>
      </c>
      <c r="C18" s="63" t="s">
        <v>59</v>
      </c>
      <c r="D18" s="87" t="s">
        <v>71</v>
      </c>
      <c r="E18" s="62" t="s">
        <v>51</v>
      </c>
      <c r="F18" s="63">
        <v>18</v>
      </c>
      <c r="G18" s="63">
        <v>17</v>
      </c>
      <c r="H18" s="64">
        <f t="shared" si="4"/>
        <v>2.5446959999999998E-2</v>
      </c>
      <c r="I18" s="65">
        <f t="shared" si="0"/>
        <v>0.50893919999999992</v>
      </c>
      <c r="J18" s="64">
        <f t="shared" ref="J18:J19" si="8">(0.108337266+0.000046499*(F18^2*G18))</f>
        <v>0.36445375800000002</v>
      </c>
      <c r="K18" s="65">
        <f t="shared" si="2"/>
        <v>7.2890751600000003</v>
      </c>
      <c r="L18" s="65">
        <f t="shared" si="3"/>
        <v>20</v>
      </c>
      <c r="M18" s="62"/>
      <c r="N18" s="66" t="s">
        <v>76</v>
      </c>
      <c r="O18" s="70"/>
      <c r="P18" s="61"/>
    </row>
    <row r="19" spans="1:16" x14ac:dyDescent="0.25">
      <c r="A19" s="62">
        <v>3</v>
      </c>
      <c r="B19" s="62">
        <v>2</v>
      </c>
      <c r="C19" s="63" t="s">
        <v>59</v>
      </c>
      <c r="D19" s="87" t="s">
        <v>71</v>
      </c>
      <c r="E19" s="62" t="s">
        <v>51</v>
      </c>
      <c r="F19" s="63">
        <v>19</v>
      </c>
      <c r="G19" s="63">
        <v>15</v>
      </c>
      <c r="H19" s="64">
        <f t="shared" si="4"/>
        <v>2.835294E-2</v>
      </c>
      <c r="I19" s="65">
        <f t="shared" si="0"/>
        <v>0.56705879999999997</v>
      </c>
      <c r="J19" s="64">
        <f t="shared" si="8"/>
        <v>0.36012935099999999</v>
      </c>
      <c r="K19" s="65">
        <f t="shared" si="2"/>
        <v>7.2025870199999993</v>
      </c>
      <c r="L19" s="65">
        <f t="shared" si="3"/>
        <v>20</v>
      </c>
      <c r="M19" s="62"/>
      <c r="N19" s="66" t="s">
        <v>76</v>
      </c>
      <c r="O19" s="62"/>
      <c r="P19" s="57"/>
    </row>
    <row r="20" spans="1:16" x14ac:dyDescent="0.25">
      <c r="A20" s="62">
        <v>3</v>
      </c>
      <c r="B20" s="62">
        <v>3</v>
      </c>
      <c r="C20" s="62" t="s">
        <v>60</v>
      </c>
      <c r="D20" s="88" t="s">
        <v>72</v>
      </c>
      <c r="E20" s="62" t="s">
        <v>62</v>
      </c>
      <c r="F20" s="63">
        <v>35</v>
      </c>
      <c r="G20" s="63">
        <v>17</v>
      </c>
      <c r="H20" s="64">
        <f t="shared" ref="H20" si="9">0.7854*(F20/100)^2</f>
        <v>9.6211499999999991E-2</v>
      </c>
      <c r="I20" s="65">
        <f t="shared" ref="I20" si="10">H20*1/$P$3</f>
        <v>1.9242299999999997</v>
      </c>
      <c r="J20" s="64">
        <f t="shared" si="5"/>
        <v>0.60078446679999997</v>
      </c>
      <c r="K20" s="65">
        <f t="shared" si="2"/>
        <v>12.015689335999999</v>
      </c>
      <c r="L20" s="65">
        <f t="shared" si="3"/>
        <v>20</v>
      </c>
      <c r="M20" s="62"/>
      <c r="N20" s="66" t="s">
        <v>76</v>
      </c>
      <c r="O20" s="62"/>
      <c r="P20" s="57"/>
    </row>
    <row r="21" spans="1:16" x14ac:dyDescent="0.25">
      <c r="A21" s="62">
        <v>3</v>
      </c>
      <c r="B21" s="62">
        <v>4</v>
      </c>
      <c r="C21" s="63" t="s">
        <v>59</v>
      </c>
      <c r="D21" s="87" t="s">
        <v>71</v>
      </c>
      <c r="E21" s="62" t="s">
        <v>51</v>
      </c>
      <c r="F21" s="63">
        <v>19</v>
      </c>
      <c r="G21" s="63">
        <v>16</v>
      </c>
      <c r="H21" s="64">
        <f t="shared" si="4"/>
        <v>2.835294E-2</v>
      </c>
      <c r="I21" s="65">
        <f t="shared" si="0"/>
        <v>0.56705879999999997</v>
      </c>
      <c r="J21" s="64">
        <f>(0.108337266+0.000046499*(F21^2*G21))</f>
        <v>0.37691549000000002</v>
      </c>
      <c r="K21" s="65">
        <f t="shared" si="2"/>
        <v>7.5383098000000004</v>
      </c>
      <c r="L21" s="65">
        <f t="shared" si="3"/>
        <v>20</v>
      </c>
      <c r="M21" s="62"/>
      <c r="N21" s="66" t="s">
        <v>76</v>
      </c>
      <c r="O21" s="62"/>
      <c r="P21" s="57"/>
    </row>
    <row r="22" spans="1:16" s="1" customFormat="1" x14ac:dyDescent="0.25">
      <c r="A22" s="62">
        <v>3</v>
      </c>
      <c r="B22" s="62">
        <v>5</v>
      </c>
      <c r="C22" s="63" t="s">
        <v>59</v>
      </c>
      <c r="D22" s="87" t="s">
        <v>71</v>
      </c>
      <c r="E22" s="62" t="s">
        <v>73</v>
      </c>
      <c r="F22" s="63">
        <v>19</v>
      </c>
      <c r="G22" s="63">
        <v>17</v>
      </c>
      <c r="H22" s="64">
        <f t="shared" si="4"/>
        <v>2.835294E-2</v>
      </c>
      <c r="I22" s="65">
        <f t="shared" si="0"/>
        <v>0.56705879999999997</v>
      </c>
      <c r="J22" s="64">
        <f>(0.108337266+0.000046499*(F22^2*G22))</f>
        <v>0.393701629</v>
      </c>
      <c r="K22" s="65">
        <f t="shared" si="2"/>
        <v>7.8740325799999997</v>
      </c>
      <c r="L22" s="65">
        <f t="shared" si="3"/>
        <v>20</v>
      </c>
      <c r="M22" s="62"/>
      <c r="N22" s="66" t="s">
        <v>76</v>
      </c>
      <c r="O22" s="62"/>
      <c r="P22" s="57"/>
    </row>
    <row r="23" spans="1:16" x14ac:dyDescent="0.25">
      <c r="A23" s="62">
        <v>3</v>
      </c>
      <c r="B23" s="62">
        <v>6</v>
      </c>
      <c r="C23" s="63" t="s">
        <v>61</v>
      </c>
      <c r="D23" s="88" t="s">
        <v>53</v>
      </c>
      <c r="E23" s="62" t="s">
        <v>51</v>
      </c>
      <c r="F23" s="63">
        <v>16</v>
      </c>
      <c r="G23" s="63">
        <v>12</v>
      </c>
      <c r="H23" s="64">
        <f t="shared" ref="H23:H25" si="11">0.7854*(F23/100)^2</f>
        <v>2.0106240000000001E-2</v>
      </c>
      <c r="I23" s="65">
        <f t="shared" ref="I23:I25" si="12">H23*1/$P$3</f>
        <v>0.4021248</v>
      </c>
      <c r="J23" s="64">
        <f t="shared" ref="J23" si="13">(0.0050811768+0.0000286052*(F23^2*G23))</f>
        <v>9.2956351199999995E-2</v>
      </c>
      <c r="K23" s="65">
        <f t="shared" ref="K23" si="14">J23/$P$3</f>
        <v>1.8591270239999997</v>
      </c>
      <c r="L23" s="65">
        <f t="shared" si="3"/>
        <v>20</v>
      </c>
      <c r="M23" s="66"/>
      <c r="N23" s="66" t="s">
        <v>76</v>
      </c>
      <c r="O23" s="66"/>
    </row>
    <row r="24" spans="1:16" x14ac:dyDescent="0.25">
      <c r="A24" s="62">
        <v>3</v>
      </c>
      <c r="B24" s="62">
        <v>7</v>
      </c>
      <c r="C24" s="62" t="s">
        <v>60</v>
      </c>
      <c r="D24" s="88" t="s">
        <v>72</v>
      </c>
      <c r="E24" s="62" t="s">
        <v>52</v>
      </c>
      <c r="F24" s="63">
        <v>22</v>
      </c>
      <c r="G24" s="63">
        <v>15</v>
      </c>
      <c r="H24" s="64">
        <f t="shared" si="11"/>
        <v>3.8013359999999996E-2</v>
      </c>
      <c r="I24" s="65">
        <f t="shared" si="12"/>
        <v>0.76026719999999992</v>
      </c>
      <c r="J24" s="64">
        <f t="shared" si="5"/>
        <v>0.21275492879999999</v>
      </c>
      <c r="K24" s="65">
        <f t="shared" si="2"/>
        <v>4.255098576</v>
      </c>
      <c r="L24" s="65">
        <f t="shared" si="3"/>
        <v>20</v>
      </c>
      <c r="M24" s="66"/>
      <c r="N24" s="66" t="s">
        <v>76</v>
      </c>
      <c r="O24" s="66"/>
    </row>
    <row r="25" spans="1:16" x14ac:dyDescent="0.25">
      <c r="A25" s="62">
        <v>3</v>
      </c>
      <c r="B25" s="62">
        <v>8</v>
      </c>
      <c r="C25" s="62" t="s">
        <v>60</v>
      </c>
      <c r="D25" s="88" t="s">
        <v>72</v>
      </c>
      <c r="E25" s="62" t="s">
        <v>62</v>
      </c>
      <c r="F25" s="63">
        <v>33</v>
      </c>
      <c r="G25" s="63">
        <v>17</v>
      </c>
      <c r="H25" s="64">
        <f t="shared" si="11"/>
        <v>8.5530060000000005E-2</v>
      </c>
      <c r="I25" s="65">
        <f t="shared" si="12"/>
        <v>1.7106011999999999</v>
      </c>
      <c r="J25" s="64">
        <f t="shared" si="5"/>
        <v>0.53464924439999995</v>
      </c>
      <c r="K25" s="65">
        <f t="shared" si="2"/>
        <v>10.692984887999998</v>
      </c>
      <c r="L25" s="65">
        <f t="shared" si="3"/>
        <v>20</v>
      </c>
      <c r="M25" s="66"/>
      <c r="N25" s="66" t="s">
        <v>76</v>
      </c>
      <c r="O25" s="66"/>
    </row>
    <row r="26" spans="1:16" s="83" customFormat="1" x14ac:dyDescent="0.25">
      <c r="A26" s="79"/>
      <c r="B26" s="79"/>
      <c r="C26" s="80"/>
      <c r="D26" s="89"/>
      <c r="E26" s="79"/>
      <c r="F26" s="80"/>
      <c r="G26" s="84"/>
      <c r="H26" s="81"/>
      <c r="I26" s="82"/>
      <c r="J26" s="81"/>
      <c r="K26" s="82"/>
      <c r="L26" s="82"/>
    </row>
    <row r="27" spans="1:16" s="83" customFormat="1" x14ac:dyDescent="0.25">
      <c r="A27" s="79"/>
      <c r="B27" s="79"/>
      <c r="C27" s="80"/>
      <c r="D27" s="89"/>
      <c r="E27" s="79"/>
      <c r="F27" s="80"/>
      <c r="G27" s="80"/>
      <c r="H27" s="81"/>
      <c r="I27" s="82"/>
      <c r="J27" s="81"/>
      <c r="K27" s="82"/>
      <c r="L27" s="82"/>
    </row>
    <row r="28" spans="1:16" s="83" customFormat="1" x14ac:dyDescent="0.25">
      <c r="A28" s="79"/>
      <c r="B28" s="79"/>
      <c r="C28" s="80"/>
      <c r="D28" s="89"/>
      <c r="E28" s="79"/>
      <c r="F28" s="80"/>
      <c r="G28" s="80"/>
      <c r="H28" s="81"/>
      <c r="I28" s="82"/>
      <c r="J28" s="81"/>
      <c r="K28" s="82"/>
      <c r="L28" s="82"/>
    </row>
    <row r="29" spans="1:16" s="83" customFormat="1" x14ac:dyDescent="0.25">
      <c r="A29" s="79"/>
      <c r="B29" s="79"/>
      <c r="C29" s="80"/>
      <c r="D29" s="89"/>
      <c r="E29" s="79"/>
      <c r="F29" s="80"/>
      <c r="G29" s="80"/>
      <c r="H29" s="81"/>
      <c r="I29" s="82"/>
      <c r="J29" s="81"/>
      <c r="K29" s="82"/>
      <c r="L29" s="82"/>
    </row>
    <row r="30" spans="1:16" s="83" customFormat="1" x14ac:dyDescent="0.25">
      <c r="A30" s="79"/>
      <c r="B30" s="79"/>
      <c r="C30" s="80"/>
      <c r="D30" s="89"/>
      <c r="E30" s="79"/>
      <c r="F30" s="80"/>
      <c r="G30" s="80"/>
      <c r="H30" s="81"/>
      <c r="I30" s="82"/>
      <c r="J30" s="81"/>
      <c r="K30" s="82"/>
      <c r="L30" s="82"/>
    </row>
    <row r="31" spans="1:16" s="83" customFormat="1" x14ac:dyDescent="0.25">
      <c r="A31" s="79"/>
      <c r="B31" s="79"/>
      <c r="C31" s="80"/>
      <c r="D31" s="89"/>
      <c r="E31" s="79"/>
      <c r="F31" s="80"/>
      <c r="G31" s="80"/>
      <c r="H31" s="81"/>
      <c r="I31" s="82"/>
      <c r="J31" s="81"/>
      <c r="K31" s="82"/>
      <c r="L31" s="82"/>
    </row>
    <row r="32" spans="1:16" s="83" customFormat="1" x14ac:dyDescent="0.25">
      <c r="A32" s="79"/>
      <c r="B32" s="79"/>
      <c r="C32" s="80"/>
      <c r="D32" s="89"/>
      <c r="E32" s="79"/>
      <c r="F32" s="80"/>
      <c r="G32" s="80"/>
      <c r="H32" s="81"/>
      <c r="I32" s="82"/>
      <c r="J32" s="81"/>
      <c r="K32" s="82"/>
      <c r="L32" s="82"/>
    </row>
    <row r="33" spans="1:12" s="83" customFormat="1" x14ac:dyDescent="0.25">
      <c r="A33" s="79"/>
      <c r="B33" s="79"/>
      <c r="C33" s="80"/>
      <c r="D33" s="89"/>
      <c r="E33" s="79"/>
      <c r="F33" s="80"/>
      <c r="G33" s="80"/>
      <c r="H33" s="81"/>
      <c r="I33" s="82"/>
      <c r="J33" s="81"/>
      <c r="K33" s="82"/>
      <c r="L33" s="82"/>
    </row>
    <row r="34" spans="1:12" s="83" customFormat="1" x14ac:dyDescent="0.25">
      <c r="A34" s="79"/>
      <c r="B34" s="79"/>
      <c r="C34" s="80"/>
      <c r="D34" s="89"/>
      <c r="E34" s="79"/>
      <c r="F34" s="80"/>
      <c r="G34" s="80"/>
      <c r="H34" s="81"/>
      <c r="I34" s="82"/>
      <c r="J34" s="81"/>
      <c r="K34" s="82"/>
      <c r="L34" s="82"/>
    </row>
    <row r="35" spans="1:12" s="83" customFormat="1" x14ac:dyDescent="0.25">
      <c r="A35" s="79"/>
      <c r="B35" s="79"/>
      <c r="C35" s="80"/>
      <c r="D35" s="89"/>
      <c r="E35" s="79"/>
      <c r="F35" s="80"/>
      <c r="G35" s="80"/>
      <c r="H35" s="81"/>
      <c r="I35" s="82"/>
      <c r="J35" s="81"/>
      <c r="K35" s="82"/>
      <c r="L35" s="82"/>
    </row>
    <row r="36" spans="1:12" s="83" customFormat="1" x14ac:dyDescent="0.25">
      <c r="A36" s="79"/>
      <c r="B36" s="79"/>
      <c r="C36" s="80"/>
      <c r="D36" s="89"/>
      <c r="E36" s="79"/>
      <c r="F36" s="80"/>
      <c r="G36" s="80"/>
      <c r="H36" s="81"/>
      <c r="I36" s="82"/>
      <c r="J36" s="81"/>
      <c r="K36" s="82"/>
      <c r="L36" s="82"/>
    </row>
    <row r="37" spans="1:12" s="83" customFormat="1" x14ac:dyDescent="0.25">
      <c r="A37" s="79"/>
      <c r="B37" s="79"/>
      <c r="C37" s="80"/>
      <c r="D37" s="89"/>
      <c r="E37" s="79"/>
      <c r="F37" s="80"/>
      <c r="G37" s="80"/>
      <c r="H37" s="81"/>
      <c r="I37" s="82"/>
      <c r="J37" s="81"/>
      <c r="K37" s="82"/>
      <c r="L37" s="82"/>
    </row>
    <row r="38" spans="1:12" s="83" customFormat="1" x14ac:dyDescent="0.25">
      <c r="A38" s="79"/>
      <c r="B38" s="79"/>
      <c r="C38" s="80"/>
      <c r="D38" s="89"/>
      <c r="E38" s="79"/>
      <c r="F38" s="80"/>
      <c r="G38" s="80"/>
      <c r="H38" s="81"/>
      <c r="I38" s="82"/>
      <c r="J38" s="81"/>
      <c r="K38" s="82"/>
      <c r="L38" s="82"/>
    </row>
    <row r="39" spans="1:12" s="83" customFormat="1" x14ac:dyDescent="0.25">
      <c r="A39" s="79"/>
      <c r="B39" s="79"/>
      <c r="C39" s="80"/>
      <c r="D39" s="89"/>
      <c r="E39" s="79"/>
      <c r="F39" s="80"/>
      <c r="G39" s="80"/>
      <c r="H39" s="81"/>
      <c r="I39" s="82"/>
      <c r="J39" s="81"/>
      <c r="K39" s="82"/>
      <c r="L39" s="82"/>
    </row>
    <row r="40" spans="1:12" s="83" customFormat="1" x14ac:dyDescent="0.25">
      <c r="A40" s="79"/>
      <c r="B40" s="79"/>
      <c r="C40" s="80"/>
      <c r="D40" s="89"/>
      <c r="E40" s="79"/>
      <c r="F40" s="80"/>
      <c r="G40" s="80"/>
      <c r="H40" s="81"/>
      <c r="I40" s="82"/>
      <c r="J40" s="81"/>
      <c r="K40" s="82"/>
      <c r="L40" s="82"/>
    </row>
    <row r="41" spans="1:12" s="83" customFormat="1" x14ac:dyDescent="0.25">
      <c r="A41" s="79"/>
      <c r="B41" s="79"/>
      <c r="C41" s="80"/>
      <c r="D41" s="89"/>
      <c r="E41" s="79"/>
      <c r="F41" s="80"/>
      <c r="G41" s="80"/>
      <c r="H41" s="81"/>
      <c r="I41" s="82"/>
      <c r="J41" s="81"/>
      <c r="K41" s="82"/>
      <c r="L41" s="82"/>
    </row>
    <row r="42" spans="1:12" s="83" customFormat="1" x14ac:dyDescent="0.25">
      <c r="A42" s="79"/>
      <c r="B42" s="79"/>
      <c r="C42" s="80"/>
      <c r="D42" s="89"/>
      <c r="E42" s="79"/>
      <c r="F42" s="80"/>
      <c r="G42" s="80"/>
      <c r="H42" s="81"/>
      <c r="I42" s="82"/>
      <c r="J42" s="81"/>
      <c r="K42" s="82"/>
      <c r="L42" s="82"/>
    </row>
    <row r="43" spans="1:12" s="83" customFormat="1" x14ac:dyDescent="0.25">
      <c r="A43" s="79"/>
      <c r="B43" s="79"/>
      <c r="C43" s="80"/>
      <c r="D43" s="89"/>
      <c r="E43" s="79"/>
      <c r="F43" s="80"/>
      <c r="G43" s="80"/>
      <c r="H43" s="81"/>
      <c r="I43" s="82"/>
      <c r="J43" s="81"/>
      <c r="K43" s="82"/>
      <c r="L43" s="82"/>
    </row>
    <row r="44" spans="1:12" s="83" customFormat="1" x14ac:dyDescent="0.25">
      <c r="A44" s="79"/>
      <c r="B44" s="79"/>
      <c r="C44" s="80"/>
      <c r="D44" s="89"/>
      <c r="E44" s="79"/>
      <c r="F44" s="80"/>
      <c r="G44" s="80"/>
      <c r="H44" s="81"/>
      <c r="I44" s="82"/>
      <c r="J44" s="81"/>
      <c r="K44" s="82"/>
      <c r="L44" s="82"/>
    </row>
    <row r="45" spans="1:12" s="83" customFormat="1" x14ac:dyDescent="0.25">
      <c r="A45" s="79"/>
      <c r="B45" s="79"/>
      <c r="C45" s="79"/>
      <c r="D45" s="89"/>
      <c r="E45" s="79"/>
      <c r="F45" s="80"/>
      <c r="G45" s="80"/>
      <c r="H45" s="81"/>
      <c r="I45" s="82"/>
      <c r="J45" s="81"/>
      <c r="K45" s="82"/>
      <c r="L45" s="82"/>
    </row>
    <row r="46" spans="1:12" s="83" customFormat="1" x14ac:dyDescent="0.25">
      <c r="A46" s="79"/>
      <c r="B46" s="79"/>
      <c r="C46" s="79"/>
      <c r="D46" s="89"/>
      <c r="E46" s="79"/>
      <c r="F46" s="80"/>
      <c r="G46" s="80"/>
      <c r="H46" s="81"/>
      <c r="I46" s="82"/>
      <c r="J46" s="81"/>
      <c r="K46" s="82"/>
      <c r="L46" s="82"/>
    </row>
    <row r="47" spans="1:12" s="83" customFormat="1" x14ac:dyDescent="0.25">
      <c r="A47" s="79"/>
      <c r="B47" s="79"/>
      <c r="C47" s="80"/>
      <c r="D47" s="89"/>
      <c r="E47" s="79"/>
      <c r="F47" s="80"/>
      <c r="G47" s="80"/>
      <c r="H47" s="81"/>
      <c r="I47" s="82"/>
      <c r="J47" s="81"/>
      <c r="K47" s="82"/>
      <c r="L47" s="82"/>
    </row>
    <row r="48" spans="1:12" s="83" customFormat="1" x14ac:dyDescent="0.25">
      <c r="A48" s="79"/>
      <c r="B48" s="79"/>
      <c r="C48" s="80"/>
      <c r="D48" s="89"/>
      <c r="E48" s="79"/>
      <c r="F48" s="80"/>
      <c r="G48" s="80"/>
      <c r="H48" s="81"/>
      <c r="I48" s="82"/>
      <c r="J48" s="81"/>
      <c r="K48" s="82"/>
      <c r="L48" s="82"/>
    </row>
    <row r="49" spans="1:12" s="83" customFormat="1" x14ac:dyDescent="0.25">
      <c r="A49" s="79"/>
      <c r="B49" s="79"/>
      <c r="C49" s="80"/>
      <c r="D49" s="89"/>
      <c r="E49" s="79"/>
      <c r="F49" s="80"/>
      <c r="G49" s="80"/>
      <c r="H49" s="81"/>
      <c r="I49" s="82"/>
      <c r="J49" s="81"/>
      <c r="K49" s="82"/>
      <c r="L49" s="82"/>
    </row>
    <row r="50" spans="1:12" s="83" customFormat="1" x14ac:dyDescent="0.25">
      <c r="A50" s="79"/>
      <c r="B50" s="79"/>
      <c r="C50" s="80"/>
      <c r="D50" s="89"/>
      <c r="E50" s="79"/>
      <c r="F50" s="80"/>
      <c r="G50" s="80"/>
      <c r="H50" s="81"/>
      <c r="I50" s="82"/>
      <c r="J50" s="81"/>
      <c r="K50" s="82"/>
      <c r="L50" s="82"/>
    </row>
    <row r="51" spans="1:12" s="83" customFormat="1" x14ac:dyDescent="0.25">
      <c r="A51" s="79"/>
      <c r="B51" s="79"/>
      <c r="C51" s="80"/>
      <c r="D51" s="89"/>
      <c r="E51" s="79"/>
      <c r="F51" s="80"/>
      <c r="G51" s="80"/>
      <c r="H51" s="81"/>
      <c r="I51" s="82"/>
      <c r="J51" s="81"/>
      <c r="K51" s="82"/>
      <c r="L51" s="82"/>
    </row>
    <row r="52" spans="1:12" s="83" customFormat="1" x14ac:dyDescent="0.25">
      <c r="A52" s="79"/>
      <c r="B52" s="79"/>
      <c r="C52" s="80"/>
      <c r="D52" s="89"/>
      <c r="E52" s="79"/>
      <c r="F52" s="80"/>
      <c r="G52" s="80"/>
      <c r="H52" s="81"/>
      <c r="I52" s="82"/>
      <c r="J52" s="81"/>
      <c r="K52" s="82"/>
      <c r="L52" s="82"/>
    </row>
    <row r="53" spans="1:12" s="83" customFormat="1" x14ac:dyDescent="0.25">
      <c r="A53" s="79"/>
      <c r="B53" s="79"/>
      <c r="C53" s="80"/>
      <c r="D53" s="89"/>
      <c r="E53" s="79"/>
      <c r="F53" s="80"/>
      <c r="G53" s="80"/>
      <c r="H53" s="81"/>
      <c r="I53" s="82"/>
      <c r="J53" s="81"/>
      <c r="K53" s="82"/>
      <c r="L53" s="82"/>
    </row>
    <row r="54" spans="1:12" s="83" customFormat="1" x14ac:dyDescent="0.25">
      <c r="A54" s="79"/>
      <c r="B54" s="79"/>
      <c r="C54" s="79"/>
      <c r="D54" s="89"/>
      <c r="E54" s="79"/>
      <c r="F54" s="80"/>
      <c r="G54" s="80"/>
      <c r="H54" s="81"/>
      <c r="I54" s="82"/>
      <c r="J54" s="81"/>
      <c r="K54" s="82"/>
      <c r="L54" s="82"/>
    </row>
    <row r="55" spans="1:12" s="83" customFormat="1" x14ac:dyDescent="0.25">
      <c r="A55" s="79"/>
      <c r="B55" s="79"/>
      <c r="C55" s="80"/>
      <c r="D55" s="89"/>
      <c r="E55" s="79"/>
      <c r="F55" s="80"/>
      <c r="G55" s="80"/>
      <c r="H55" s="81"/>
      <c r="I55" s="82"/>
      <c r="J55" s="81"/>
      <c r="K55" s="82"/>
      <c r="L55" s="82"/>
    </row>
    <row r="56" spans="1:12" s="83" customFormat="1" x14ac:dyDescent="0.25">
      <c r="A56" s="79"/>
      <c r="B56" s="79"/>
      <c r="C56" s="80"/>
      <c r="D56" s="89"/>
      <c r="E56" s="79"/>
      <c r="F56" s="80"/>
      <c r="G56" s="80"/>
      <c r="H56" s="81"/>
      <c r="I56" s="82"/>
      <c r="J56" s="81"/>
      <c r="K56" s="82"/>
      <c r="L56" s="82"/>
    </row>
    <row r="57" spans="1:12" s="83" customFormat="1" x14ac:dyDescent="0.25">
      <c r="A57" s="79"/>
      <c r="B57" s="79"/>
      <c r="C57" s="79"/>
      <c r="D57" s="89"/>
      <c r="E57" s="79"/>
      <c r="F57" s="80"/>
      <c r="G57" s="80"/>
      <c r="H57" s="81"/>
      <c r="I57" s="82"/>
      <c r="J57" s="81"/>
      <c r="K57" s="82"/>
      <c r="L57" s="82"/>
    </row>
    <row r="58" spans="1:12" s="83" customFormat="1" x14ac:dyDescent="0.25">
      <c r="A58" s="79"/>
      <c r="B58" s="79"/>
      <c r="C58" s="80"/>
      <c r="D58" s="89"/>
      <c r="E58" s="79"/>
      <c r="F58" s="80"/>
      <c r="G58" s="80"/>
      <c r="H58" s="81"/>
      <c r="I58" s="82"/>
      <c r="J58" s="81"/>
      <c r="K58" s="82"/>
      <c r="L58" s="82"/>
    </row>
    <row r="59" spans="1:12" s="83" customFormat="1" x14ac:dyDescent="0.25">
      <c r="A59" s="79"/>
      <c r="B59" s="79"/>
      <c r="C59" s="79"/>
      <c r="D59" s="89"/>
      <c r="E59" s="79"/>
      <c r="F59" s="80"/>
      <c r="G59" s="80"/>
      <c r="H59" s="81"/>
      <c r="I59" s="82"/>
      <c r="J59" s="81"/>
      <c r="K59" s="82"/>
      <c r="L59" s="82"/>
    </row>
    <row r="60" spans="1:12" s="83" customFormat="1" x14ac:dyDescent="0.25">
      <c r="A60" s="79"/>
      <c r="B60" s="79"/>
      <c r="C60" s="80"/>
      <c r="D60" s="89"/>
      <c r="E60" s="79"/>
      <c r="F60" s="80"/>
      <c r="G60" s="80"/>
      <c r="H60" s="81"/>
      <c r="I60" s="82"/>
      <c r="J60" s="81"/>
      <c r="K60" s="82"/>
      <c r="L60" s="82"/>
    </row>
    <row r="61" spans="1:12" s="83" customFormat="1" x14ac:dyDescent="0.25">
      <c r="A61" s="79"/>
      <c r="B61" s="79"/>
      <c r="C61" s="80"/>
      <c r="D61" s="89"/>
      <c r="E61" s="79"/>
      <c r="F61" s="80"/>
      <c r="G61" s="80"/>
      <c r="H61" s="81"/>
      <c r="I61" s="82"/>
      <c r="J61" s="81"/>
      <c r="K61" s="82"/>
      <c r="L61" s="82"/>
    </row>
    <row r="62" spans="1:12" s="83" customFormat="1" x14ac:dyDescent="0.25">
      <c r="A62" s="79"/>
      <c r="B62" s="79"/>
      <c r="C62" s="80"/>
      <c r="D62" s="89"/>
      <c r="E62" s="79"/>
      <c r="F62" s="80"/>
      <c r="G62" s="80"/>
      <c r="H62" s="81"/>
      <c r="I62" s="82"/>
      <c r="J62" s="81"/>
      <c r="K62" s="82"/>
      <c r="L62" s="82"/>
    </row>
    <row r="63" spans="1:12" s="83" customFormat="1" x14ac:dyDescent="0.25">
      <c r="A63" s="79"/>
      <c r="B63" s="79"/>
      <c r="C63" s="80"/>
      <c r="D63" s="89"/>
      <c r="E63" s="79"/>
      <c r="F63" s="80"/>
      <c r="G63" s="80"/>
      <c r="H63" s="81"/>
      <c r="I63" s="82"/>
      <c r="J63" s="81"/>
      <c r="K63" s="82"/>
      <c r="L63" s="82"/>
    </row>
    <row r="64" spans="1:12" s="83" customFormat="1" x14ac:dyDescent="0.25">
      <c r="A64" s="79"/>
      <c r="B64" s="79"/>
      <c r="C64" s="80"/>
      <c r="D64" s="89"/>
      <c r="E64" s="79"/>
      <c r="F64" s="80"/>
      <c r="G64" s="80"/>
      <c r="H64" s="81"/>
      <c r="I64" s="82"/>
      <c r="J64" s="81"/>
      <c r="K64" s="82"/>
      <c r="L64" s="82"/>
    </row>
    <row r="65" spans="1:12" s="83" customFormat="1" x14ac:dyDescent="0.25">
      <c r="A65" s="79"/>
      <c r="B65" s="79"/>
      <c r="C65" s="80"/>
      <c r="D65" s="89"/>
      <c r="E65" s="79"/>
      <c r="F65" s="80"/>
      <c r="G65" s="80"/>
      <c r="H65" s="81"/>
      <c r="I65" s="82"/>
      <c r="J65" s="81"/>
      <c r="K65" s="82"/>
      <c r="L65" s="82"/>
    </row>
    <row r="66" spans="1:12" s="83" customFormat="1" x14ac:dyDescent="0.25">
      <c r="A66" s="79"/>
      <c r="B66" s="79"/>
      <c r="C66" s="80"/>
      <c r="D66" s="89"/>
      <c r="E66" s="79"/>
      <c r="F66" s="80"/>
      <c r="G66" s="80"/>
      <c r="H66" s="81"/>
      <c r="I66" s="82"/>
      <c r="J66" s="81"/>
      <c r="K66" s="82"/>
      <c r="L66" s="82"/>
    </row>
    <row r="67" spans="1:12" s="83" customFormat="1" x14ac:dyDescent="0.25">
      <c r="A67" s="79"/>
      <c r="B67" s="79"/>
      <c r="C67" s="80"/>
      <c r="D67" s="89"/>
      <c r="E67" s="79"/>
      <c r="F67" s="80"/>
      <c r="G67" s="80"/>
      <c r="H67" s="81"/>
      <c r="I67" s="82"/>
      <c r="J67" s="81"/>
      <c r="K67" s="82"/>
      <c r="L67" s="82"/>
    </row>
    <row r="68" spans="1:12" s="83" customFormat="1" x14ac:dyDescent="0.25">
      <c r="A68" s="79"/>
      <c r="B68" s="79"/>
      <c r="C68" s="80"/>
      <c r="D68" s="89"/>
      <c r="E68" s="79"/>
      <c r="F68" s="80"/>
      <c r="G68" s="80"/>
      <c r="H68" s="81"/>
      <c r="I68" s="82"/>
      <c r="J68" s="81"/>
      <c r="K68" s="82"/>
      <c r="L68" s="82"/>
    </row>
    <row r="69" spans="1:12" s="83" customFormat="1" x14ac:dyDescent="0.25">
      <c r="A69" s="79"/>
      <c r="B69" s="79"/>
      <c r="C69" s="80"/>
      <c r="D69" s="89"/>
      <c r="E69" s="79"/>
      <c r="F69" s="80"/>
      <c r="G69" s="80"/>
      <c r="H69" s="81"/>
      <c r="I69" s="82"/>
      <c r="J69" s="81"/>
      <c r="K69" s="82"/>
      <c r="L69" s="82"/>
    </row>
    <row r="70" spans="1:12" s="83" customFormat="1" x14ac:dyDescent="0.25">
      <c r="A70" s="79"/>
      <c r="B70" s="79"/>
      <c r="C70" s="80"/>
      <c r="D70" s="89"/>
      <c r="E70" s="79"/>
      <c r="F70" s="80"/>
      <c r="G70" s="80"/>
      <c r="H70" s="81"/>
      <c r="I70" s="82"/>
      <c r="J70" s="81"/>
      <c r="K70" s="82"/>
      <c r="L70" s="82"/>
    </row>
    <row r="71" spans="1:12" s="83" customFormat="1" x14ac:dyDescent="0.25">
      <c r="A71" s="79"/>
      <c r="B71" s="79"/>
      <c r="C71" s="80"/>
      <c r="D71" s="89"/>
      <c r="E71" s="79"/>
      <c r="F71" s="80"/>
      <c r="G71" s="80"/>
      <c r="H71" s="81"/>
      <c r="I71" s="82"/>
      <c r="J71" s="81"/>
      <c r="K71" s="82"/>
      <c r="L71" s="82"/>
    </row>
    <row r="72" spans="1:12" s="83" customFormat="1" x14ac:dyDescent="0.25">
      <c r="A72" s="79"/>
      <c r="B72" s="79"/>
      <c r="C72" s="80"/>
      <c r="D72" s="89"/>
      <c r="E72" s="79"/>
      <c r="F72" s="80"/>
      <c r="G72" s="80"/>
      <c r="H72" s="81"/>
      <c r="I72" s="82"/>
      <c r="J72" s="81"/>
      <c r="K72" s="82"/>
      <c r="L72" s="82"/>
    </row>
    <row r="73" spans="1:12" s="83" customFormat="1" x14ac:dyDescent="0.25">
      <c r="A73" s="79"/>
      <c r="B73" s="79"/>
      <c r="C73" s="80"/>
      <c r="D73" s="89"/>
      <c r="E73" s="79"/>
      <c r="F73" s="80"/>
      <c r="G73" s="80"/>
      <c r="H73" s="81"/>
      <c r="I73" s="82"/>
      <c r="J73" s="81"/>
      <c r="K73" s="82"/>
      <c r="L73" s="82"/>
    </row>
    <row r="74" spans="1:12" s="83" customFormat="1" x14ac:dyDescent="0.25">
      <c r="A74" s="85"/>
      <c r="B74" s="85"/>
      <c r="C74" s="85"/>
      <c r="D74" s="89"/>
      <c r="E74" s="85"/>
      <c r="F74" s="85"/>
      <c r="G74" s="85"/>
      <c r="H74" s="81"/>
      <c r="I74" s="82"/>
      <c r="J74" s="81"/>
      <c r="K74" s="82"/>
      <c r="L74" s="82"/>
    </row>
    <row r="75" spans="1:12" s="83" customFormat="1" x14ac:dyDescent="0.25">
      <c r="A75" s="85"/>
      <c r="B75" s="85"/>
      <c r="C75" s="85"/>
      <c r="D75" s="89"/>
      <c r="E75" s="85"/>
      <c r="F75" s="85"/>
      <c r="G75" s="85"/>
      <c r="H75" s="81"/>
      <c r="I75" s="82"/>
      <c r="J75" s="81"/>
      <c r="K75" s="82"/>
      <c r="L75" s="82"/>
    </row>
    <row r="76" spans="1:12" s="83" customFormat="1" x14ac:dyDescent="0.25">
      <c r="A76" s="85"/>
      <c r="B76" s="85"/>
      <c r="C76" s="85"/>
      <c r="D76" s="89"/>
      <c r="E76" s="85"/>
      <c r="F76" s="85"/>
      <c r="G76" s="85"/>
      <c r="H76" s="81"/>
      <c r="I76" s="82"/>
      <c r="J76" s="81"/>
      <c r="K76" s="82"/>
      <c r="L76" s="82"/>
    </row>
    <row r="77" spans="1:12" s="83" customFormat="1" x14ac:dyDescent="0.25">
      <c r="A77" s="85"/>
      <c r="B77" s="85"/>
      <c r="C77" s="85"/>
      <c r="D77" s="89"/>
      <c r="E77" s="85"/>
      <c r="F77" s="85"/>
      <c r="G77" s="85"/>
      <c r="H77" s="81"/>
      <c r="I77" s="82"/>
      <c r="J77" s="81"/>
      <c r="K77" s="82"/>
      <c r="L77" s="82"/>
    </row>
    <row r="78" spans="1:12" s="83" customFormat="1" x14ac:dyDescent="0.25">
      <c r="A78" s="85"/>
      <c r="B78" s="85"/>
      <c r="C78" s="85"/>
      <c r="D78" s="89"/>
      <c r="E78" s="85"/>
      <c r="F78" s="85"/>
      <c r="G78" s="85"/>
      <c r="H78" s="81"/>
      <c r="I78" s="82"/>
      <c r="J78" s="81"/>
      <c r="K78" s="82"/>
      <c r="L78" s="82"/>
    </row>
    <row r="79" spans="1:12" s="83" customFormat="1" x14ac:dyDescent="0.25">
      <c r="A79" s="85"/>
      <c r="B79" s="85"/>
      <c r="C79" s="85"/>
      <c r="D79" s="89"/>
      <c r="E79" s="85"/>
      <c r="F79" s="85"/>
      <c r="G79" s="85"/>
      <c r="H79" s="81"/>
      <c r="I79" s="82"/>
      <c r="J79" s="81"/>
      <c r="K79" s="82"/>
      <c r="L79" s="82"/>
    </row>
    <row r="80" spans="1:12" s="83" customFormat="1" x14ac:dyDescent="0.25">
      <c r="A80" s="85"/>
      <c r="B80" s="85"/>
      <c r="C80" s="85"/>
      <c r="D80" s="89"/>
      <c r="E80" s="85"/>
      <c r="F80" s="85"/>
      <c r="G80" s="85"/>
      <c r="H80" s="81"/>
      <c r="I80" s="82"/>
      <c r="J80" s="81"/>
      <c r="K80" s="82"/>
      <c r="L80" s="82"/>
    </row>
    <row r="81" spans="1:12" s="83" customFormat="1" x14ac:dyDescent="0.25">
      <c r="A81" s="85"/>
      <c r="B81" s="85"/>
      <c r="C81" s="85"/>
      <c r="D81" s="89"/>
      <c r="E81" s="85"/>
      <c r="F81" s="85"/>
      <c r="G81" s="85"/>
      <c r="H81" s="81"/>
      <c r="I81" s="82"/>
      <c r="J81" s="81"/>
      <c r="K81" s="82"/>
      <c r="L81" s="82"/>
    </row>
    <row r="82" spans="1:12" s="83" customFormat="1" x14ac:dyDescent="0.25">
      <c r="A82" s="85"/>
      <c r="B82" s="85"/>
      <c r="C82" s="85"/>
      <c r="D82" s="89"/>
      <c r="E82" s="85"/>
      <c r="F82" s="85"/>
      <c r="G82" s="85"/>
      <c r="H82" s="81"/>
      <c r="I82" s="82"/>
      <c r="J82" s="81"/>
      <c r="K82" s="82"/>
      <c r="L82" s="82"/>
    </row>
    <row r="83" spans="1:12" s="83" customFormat="1" x14ac:dyDescent="0.25">
      <c r="A83" s="85"/>
      <c r="B83" s="85"/>
      <c r="C83" s="85"/>
      <c r="D83" s="89"/>
      <c r="E83" s="85"/>
      <c r="F83" s="85"/>
      <c r="G83" s="85"/>
      <c r="H83" s="81"/>
      <c r="I83" s="82"/>
      <c r="J83" s="81"/>
      <c r="K83" s="82"/>
      <c r="L83" s="82"/>
    </row>
    <row r="84" spans="1:12" s="83" customFormat="1" x14ac:dyDescent="0.25">
      <c r="A84" s="85"/>
      <c r="B84" s="85"/>
      <c r="C84" s="85"/>
      <c r="D84" s="89"/>
      <c r="E84" s="85"/>
      <c r="F84" s="85"/>
      <c r="G84" s="85"/>
      <c r="H84" s="81"/>
      <c r="I84" s="82"/>
      <c r="J84" s="81"/>
      <c r="K84" s="82"/>
      <c r="L84" s="82"/>
    </row>
    <row r="85" spans="1:12" s="83" customFormat="1" x14ac:dyDescent="0.25">
      <c r="A85" s="85"/>
      <c r="B85" s="85"/>
      <c r="C85" s="85"/>
      <c r="D85" s="89"/>
      <c r="E85" s="85"/>
      <c r="F85" s="85"/>
      <c r="G85" s="85"/>
      <c r="H85" s="81"/>
      <c r="I85" s="82"/>
      <c r="J85" s="81"/>
      <c r="K85" s="82"/>
      <c r="L85" s="82"/>
    </row>
    <row r="86" spans="1:12" s="83" customFormat="1" x14ac:dyDescent="0.25">
      <c r="A86" s="85"/>
      <c r="B86" s="85"/>
      <c r="C86" s="85"/>
      <c r="D86" s="89"/>
      <c r="E86" s="85"/>
      <c r="F86" s="85"/>
      <c r="G86" s="85"/>
      <c r="H86" s="81"/>
      <c r="I86" s="82"/>
      <c r="J86" s="81"/>
      <c r="K86" s="82"/>
      <c r="L86" s="82"/>
    </row>
    <row r="87" spans="1:12" s="83" customFormat="1" x14ac:dyDescent="0.25">
      <c r="A87" s="85"/>
      <c r="B87" s="85"/>
      <c r="C87" s="85"/>
      <c r="D87" s="89"/>
      <c r="E87" s="85"/>
      <c r="F87" s="85"/>
      <c r="G87" s="85"/>
      <c r="H87" s="81"/>
      <c r="I87" s="82"/>
      <c r="J87" s="81"/>
      <c r="K87" s="82"/>
      <c r="L87" s="82"/>
    </row>
    <row r="88" spans="1:12" s="83" customFormat="1" x14ac:dyDescent="0.25">
      <c r="A88" s="85"/>
      <c r="B88" s="85"/>
      <c r="C88" s="85"/>
      <c r="D88" s="89"/>
      <c r="E88" s="85"/>
      <c r="F88" s="85"/>
      <c r="G88" s="85"/>
      <c r="H88" s="81"/>
      <c r="I88" s="82"/>
      <c r="J88" s="81"/>
      <c r="K88" s="82"/>
      <c r="L88" s="82"/>
    </row>
    <row r="89" spans="1:12" s="83" customFormat="1" x14ac:dyDescent="0.25">
      <c r="A89" s="85"/>
      <c r="B89" s="85"/>
      <c r="C89" s="85"/>
      <c r="D89" s="89"/>
      <c r="E89" s="85"/>
      <c r="F89" s="85"/>
      <c r="G89" s="85"/>
      <c r="H89" s="81"/>
      <c r="I89" s="82"/>
      <c r="J89" s="81"/>
      <c r="K89" s="82"/>
      <c r="L89" s="82"/>
    </row>
    <row r="90" spans="1:12" s="83" customFormat="1" x14ac:dyDescent="0.25">
      <c r="A90" s="85"/>
      <c r="B90" s="85"/>
      <c r="C90" s="85"/>
      <c r="D90" s="89"/>
      <c r="E90" s="85"/>
      <c r="F90" s="85"/>
      <c r="G90" s="85"/>
      <c r="H90" s="81"/>
      <c r="I90" s="82"/>
      <c r="J90" s="81"/>
      <c r="K90" s="82"/>
      <c r="L90" s="82"/>
    </row>
    <row r="91" spans="1:12" s="83" customFormat="1" x14ac:dyDescent="0.25">
      <c r="A91" s="85"/>
      <c r="B91" s="85"/>
      <c r="C91" s="85"/>
      <c r="D91" s="89"/>
      <c r="E91" s="85"/>
      <c r="F91" s="85"/>
      <c r="G91" s="85"/>
      <c r="H91" s="81"/>
      <c r="I91" s="82"/>
      <c r="J91" s="81"/>
      <c r="K91" s="82"/>
      <c r="L91" s="82"/>
    </row>
    <row r="92" spans="1:12" s="83" customFormat="1" x14ac:dyDescent="0.25">
      <c r="A92" s="85"/>
      <c r="B92" s="85"/>
      <c r="C92" s="85"/>
      <c r="D92" s="89"/>
      <c r="E92" s="85"/>
      <c r="F92" s="85"/>
      <c r="G92" s="85"/>
      <c r="H92" s="81"/>
      <c r="I92" s="82"/>
      <c r="J92" s="81"/>
      <c r="K92" s="82"/>
      <c r="L92" s="82"/>
    </row>
    <row r="93" spans="1:12" s="83" customFormat="1" x14ac:dyDescent="0.25">
      <c r="A93" s="85"/>
      <c r="B93" s="85"/>
      <c r="C93" s="85"/>
      <c r="D93" s="89"/>
      <c r="E93" s="85"/>
      <c r="F93" s="85"/>
      <c r="G93" s="85"/>
      <c r="H93" s="81"/>
      <c r="I93" s="82"/>
      <c r="J93" s="81"/>
      <c r="K93" s="82"/>
      <c r="L93" s="82"/>
    </row>
    <row r="94" spans="1:12" s="83" customFormat="1" x14ac:dyDescent="0.25">
      <c r="A94" s="85"/>
      <c r="B94" s="85"/>
      <c r="C94" s="86"/>
      <c r="D94" s="89"/>
      <c r="E94" s="85"/>
      <c r="F94" s="85"/>
      <c r="G94" s="85"/>
      <c r="H94" s="81"/>
      <c r="I94" s="82"/>
      <c r="J94" s="81"/>
      <c r="K94" s="82"/>
      <c r="L94" s="82"/>
    </row>
    <row r="95" spans="1:12" s="83" customFormat="1" x14ac:dyDescent="0.25">
      <c r="A95" s="85"/>
      <c r="B95" s="85"/>
      <c r="C95" s="85"/>
      <c r="D95" s="89"/>
      <c r="E95" s="85"/>
      <c r="F95" s="85"/>
      <c r="G95" s="85"/>
      <c r="H95" s="81"/>
      <c r="I95" s="82"/>
      <c r="J95" s="81"/>
      <c r="K95" s="82"/>
      <c r="L95" s="82"/>
    </row>
    <row r="96" spans="1:12" s="83" customFormat="1" x14ac:dyDescent="0.25">
      <c r="A96" s="85"/>
      <c r="B96" s="85"/>
      <c r="C96" s="85"/>
      <c r="D96" s="89"/>
      <c r="E96" s="85"/>
      <c r="F96" s="85"/>
      <c r="G96" s="85"/>
      <c r="H96" s="81"/>
      <c r="I96" s="82"/>
      <c r="J96" s="81"/>
      <c r="K96" s="82"/>
      <c r="L96" s="82"/>
    </row>
    <row r="97" spans="1:12" s="83" customFormat="1" x14ac:dyDescent="0.25">
      <c r="A97" s="85"/>
      <c r="B97" s="85"/>
      <c r="C97" s="85"/>
      <c r="D97" s="89"/>
      <c r="E97" s="85"/>
      <c r="F97" s="85"/>
      <c r="G97" s="85"/>
      <c r="H97" s="81"/>
      <c r="I97" s="82"/>
      <c r="J97" s="81"/>
      <c r="K97" s="82"/>
      <c r="L97" s="82"/>
    </row>
    <row r="98" spans="1:12" s="83" customFormat="1" x14ac:dyDescent="0.25">
      <c r="A98" s="85"/>
      <c r="B98" s="85"/>
      <c r="C98" s="85"/>
      <c r="D98" s="89"/>
      <c r="E98" s="85"/>
      <c r="F98" s="85"/>
      <c r="G98" s="85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workbookViewId="0">
      <selection activeCell="A19" sqref="A19"/>
    </sheetView>
  </sheetViews>
  <sheetFormatPr baseColWidth="10" defaultColWidth="11.42578125" defaultRowHeight="15" x14ac:dyDescent="0.25"/>
  <cols>
    <col min="1" max="1" width="21.42578125" customWidth="1"/>
    <col min="2" max="2" width="19" bestFit="1" customWidth="1"/>
    <col min="3" max="3" width="4.140625" bestFit="1" customWidth="1"/>
    <col min="4" max="4" width="21.7109375" customWidth="1"/>
    <col min="5" max="5" width="31.85546875" customWidth="1"/>
    <col min="7" max="7" width="14" customWidth="1"/>
  </cols>
  <sheetData>
    <row r="3" spans="1:11" x14ac:dyDescent="0.25">
      <c r="A3" s="4" t="s">
        <v>70</v>
      </c>
      <c r="B3" t="s">
        <v>13</v>
      </c>
    </row>
    <row r="4" spans="1:11" x14ac:dyDescent="0.25">
      <c r="A4" s="5" t="s">
        <v>53</v>
      </c>
      <c r="B4" s="7">
        <v>9</v>
      </c>
    </row>
    <row r="5" spans="1:11" x14ac:dyDescent="0.25">
      <c r="A5" s="6" t="s">
        <v>61</v>
      </c>
      <c r="B5" s="7">
        <v>9</v>
      </c>
    </row>
    <row r="6" spans="1:11" x14ac:dyDescent="0.25">
      <c r="A6" s="5" t="s">
        <v>58</v>
      </c>
      <c r="B6" s="7">
        <v>3</v>
      </c>
    </row>
    <row r="7" spans="1:11" x14ac:dyDescent="0.25">
      <c r="A7" s="6" t="s">
        <v>57</v>
      </c>
      <c r="B7" s="7">
        <v>3</v>
      </c>
    </row>
    <row r="8" spans="1:11" x14ac:dyDescent="0.25">
      <c r="A8" s="5" t="s">
        <v>72</v>
      </c>
      <c r="B8" s="7">
        <v>7</v>
      </c>
    </row>
    <row r="9" spans="1:11" x14ac:dyDescent="0.25">
      <c r="A9" s="6" t="s">
        <v>60</v>
      </c>
      <c r="B9" s="7">
        <v>7</v>
      </c>
    </row>
    <row r="10" spans="1:11" x14ac:dyDescent="0.25">
      <c r="A10" s="5" t="s">
        <v>71</v>
      </c>
      <c r="B10" s="7">
        <v>5</v>
      </c>
      <c r="K10">
        <f>0.15*100/1.34</f>
        <v>11.194029850746269</v>
      </c>
    </row>
    <row r="11" spans="1:11" x14ac:dyDescent="0.25">
      <c r="A11" s="6" t="s">
        <v>59</v>
      </c>
      <c r="B11" s="7">
        <v>5</v>
      </c>
    </row>
    <row r="12" spans="1:11" x14ac:dyDescent="0.25">
      <c r="A12" s="5" t="s">
        <v>12</v>
      </c>
      <c r="B12" s="7">
        <v>24</v>
      </c>
    </row>
    <row r="13" spans="1:11" ht="30" customHeight="1" x14ac:dyDescent="0.25">
      <c r="C13" s="20" t="s">
        <v>20</v>
      </c>
      <c r="D13" s="21" t="s">
        <v>21</v>
      </c>
      <c r="E13" s="21" t="s">
        <v>22</v>
      </c>
      <c r="F13" s="21" t="s">
        <v>23</v>
      </c>
      <c r="G13" s="22" t="s">
        <v>24</v>
      </c>
    </row>
    <row r="14" spans="1:11" s="1" customFormat="1" ht="15" customHeight="1" x14ac:dyDescent="0.25">
      <c r="A14"/>
      <c r="B14"/>
      <c r="C14" s="71">
        <v>1</v>
      </c>
      <c r="D14" s="73" t="str">
        <f>A5</f>
        <v xml:space="preserve">Aliso </v>
      </c>
      <c r="E14" s="73" t="str">
        <f>A4</f>
        <v>Alnus sp.</v>
      </c>
      <c r="F14" s="72">
        <f>GETPIVOTDATA("No. Arbol",$A$3,"Especie","Alnus sp.")</f>
        <v>9</v>
      </c>
      <c r="G14" s="74">
        <f>F14/F18*100</f>
        <v>37.5</v>
      </c>
    </row>
    <row r="15" spans="1:11" s="1" customFormat="1" ht="15" customHeight="1" x14ac:dyDescent="0.25">
      <c r="C15" s="71">
        <v>2</v>
      </c>
      <c r="D15" s="73" t="str">
        <f>A7</f>
        <v>Ciprés</v>
      </c>
      <c r="E15" s="73" t="str">
        <f>A6</f>
        <v>Cupresus lusitanica</v>
      </c>
      <c r="F15" s="72">
        <f>GETPIVOTDATA("No. Arbol",$A$3,"Especie","Cupresus lusitanica")</f>
        <v>3</v>
      </c>
      <c r="G15" s="74">
        <f>F15/F18*100</f>
        <v>12.5</v>
      </c>
    </row>
    <row r="16" spans="1:11" x14ac:dyDescent="0.25">
      <c r="C16" s="9">
        <v>3</v>
      </c>
      <c r="D16" s="73" t="str">
        <f>A9</f>
        <v>Pino triste</v>
      </c>
      <c r="E16" s="10" t="str">
        <f>A8</f>
        <v>Pinus pseudostrobus</v>
      </c>
      <c r="F16" s="75">
        <f>GETPIVOTDATA("No. Arbol",$A$3,"Especie","Pinus pseudostrobus")</f>
        <v>7</v>
      </c>
      <c r="G16" s="74">
        <f>F16/F18*100</f>
        <v>29.166666666666668</v>
      </c>
    </row>
    <row r="17" spans="3:7" x14ac:dyDescent="0.25">
      <c r="C17" s="9">
        <v>4</v>
      </c>
      <c r="D17" s="91" t="str">
        <f>A11</f>
        <v>Chulube</v>
      </c>
      <c r="E17" s="10" t="str">
        <f>A10</f>
        <v>Arbutus xalapensis</v>
      </c>
      <c r="F17" s="75">
        <f>GETPIVOTDATA("No. Arbol",$A$3,"Especie","Arbutus xalapensis")</f>
        <v>5</v>
      </c>
      <c r="G17" s="11">
        <f>F17/F18*100</f>
        <v>20.833333333333336</v>
      </c>
    </row>
    <row r="18" spans="3:7" x14ac:dyDescent="0.25">
      <c r="C18" s="94" t="s">
        <v>25</v>
      </c>
      <c r="D18" s="94"/>
      <c r="E18" s="94"/>
      <c r="F18" s="58">
        <f>SUM(F14:F17)</f>
        <v>24</v>
      </c>
      <c r="G18" s="23">
        <f>F18/F18*100</f>
        <v>100</v>
      </c>
    </row>
  </sheetData>
  <mergeCells count="1">
    <mergeCell ref="C18:E18"/>
  </mergeCell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workbookViewId="0">
      <selection activeCell="D16" sqref="D16"/>
    </sheetView>
  </sheetViews>
  <sheetFormatPr baseColWidth="10" defaultColWidth="11.42578125" defaultRowHeight="15" x14ac:dyDescent="0.25"/>
  <cols>
    <col min="1" max="1" width="19.5703125" customWidth="1"/>
    <col min="2" max="3" width="21.28515625" customWidth="1"/>
    <col min="4" max="4" width="22.140625" customWidth="1"/>
    <col min="5" max="5" width="15.140625" customWidth="1"/>
    <col min="6" max="6" width="21" customWidth="1"/>
    <col min="7" max="7" width="10.42578125" customWidth="1"/>
    <col min="8" max="8" width="10.28515625" customWidth="1"/>
    <col min="9" max="9" width="7.85546875" customWidth="1"/>
    <col min="10" max="10" width="8.85546875" customWidth="1"/>
  </cols>
  <sheetData>
    <row r="3" spans="1:12" x14ac:dyDescent="0.25">
      <c r="B3" s="4" t="s">
        <v>15</v>
      </c>
    </row>
    <row r="4" spans="1:12" x14ac:dyDescent="0.25">
      <c r="A4" s="4" t="s">
        <v>70</v>
      </c>
      <c r="B4" s="1" t="s">
        <v>14</v>
      </c>
      <c r="C4" s="1" t="s">
        <v>16</v>
      </c>
      <c r="D4" s="1" t="s">
        <v>17</v>
      </c>
      <c r="E4" s="1" t="s">
        <v>18</v>
      </c>
      <c r="F4" s="1" t="s">
        <v>19</v>
      </c>
    </row>
    <row r="5" spans="1:12" x14ac:dyDescent="0.25">
      <c r="A5" s="5" t="s">
        <v>53</v>
      </c>
      <c r="B5" s="8">
        <v>59.999999999999993</v>
      </c>
      <c r="C5" s="3">
        <v>20.488888888888891</v>
      </c>
      <c r="D5" s="3">
        <v>14.444444444444445</v>
      </c>
      <c r="E5" s="3">
        <v>2.0785663360000006</v>
      </c>
      <c r="F5" s="3">
        <v>23.894154252</v>
      </c>
    </row>
    <row r="6" spans="1:12" x14ac:dyDescent="0.25">
      <c r="A6" s="5" t="s">
        <v>58</v>
      </c>
      <c r="B6" s="8">
        <v>20</v>
      </c>
      <c r="C6" s="3">
        <v>22.666666666666668</v>
      </c>
      <c r="D6" s="3">
        <v>13.666666666666666</v>
      </c>
      <c r="E6" s="3">
        <v>0.93305519999999997</v>
      </c>
      <c r="F6" s="3">
        <v>5.0404003560000001</v>
      </c>
    </row>
    <row r="7" spans="1:12" x14ac:dyDescent="0.25">
      <c r="A7" s="5" t="s">
        <v>72</v>
      </c>
      <c r="B7" s="8">
        <v>46.666666666666664</v>
      </c>
      <c r="C7" s="3">
        <v>31.571428571428573</v>
      </c>
      <c r="D7" s="3">
        <v>17.285714285714285</v>
      </c>
      <c r="E7" s="3">
        <v>3.9044851999999999</v>
      </c>
      <c r="F7" s="3">
        <v>26.064947365333332</v>
      </c>
      <c r="L7">
        <f>2013-1977</f>
        <v>36</v>
      </c>
    </row>
    <row r="8" spans="1:12" x14ac:dyDescent="0.25">
      <c r="A8" s="5" t="s">
        <v>71</v>
      </c>
      <c r="B8" s="8">
        <v>33.333333333333336</v>
      </c>
      <c r="C8" s="3">
        <v>18.2</v>
      </c>
      <c r="D8" s="3">
        <v>15.4</v>
      </c>
      <c r="E8" s="3">
        <v>0.87074680000000004</v>
      </c>
      <c r="F8" s="3">
        <v>11.64254948</v>
      </c>
    </row>
    <row r="9" spans="1:12" x14ac:dyDescent="0.25">
      <c r="A9" s="5" t="s">
        <v>12</v>
      </c>
      <c r="B9" s="8">
        <v>160</v>
      </c>
      <c r="C9" s="3">
        <v>23.516666666666666</v>
      </c>
      <c r="D9" s="3">
        <v>15.375</v>
      </c>
      <c r="E9" s="3">
        <v>7.7868535359999997</v>
      </c>
      <c r="F9" s="3">
        <v>66.642051453333352</v>
      </c>
    </row>
    <row r="12" spans="1:12" x14ac:dyDescent="0.25">
      <c r="B12" s="99" t="s">
        <v>26</v>
      </c>
      <c r="C12" s="99" t="s">
        <v>27</v>
      </c>
      <c r="D12" s="96" t="s">
        <v>3</v>
      </c>
      <c r="E12" s="95" t="s">
        <v>14</v>
      </c>
      <c r="F12" s="95" t="s">
        <v>16</v>
      </c>
      <c r="G12" s="95" t="s">
        <v>17</v>
      </c>
      <c r="H12" s="95" t="s">
        <v>18</v>
      </c>
      <c r="I12" s="96" t="s">
        <v>28</v>
      </c>
      <c r="J12" s="96"/>
    </row>
    <row r="13" spans="1:12" x14ac:dyDescent="0.25">
      <c r="B13" s="99"/>
      <c r="C13" s="99"/>
      <c r="D13" s="96"/>
      <c r="E13" s="95"/>
      <c r="F13" s="95"/>
      <c r="G13" s="95"/>
      <c r="H13" s="95"/>
      <c r="I13" s="19" t="s">
        <v>29</v>
      </c>
      <c r="J13" s="19" t="s">
        <v>26</v>
      </c>
    </row>
    <row r="14" spans="1:12" x14ac:dyDescent="0.25">
      <c r="B14" s="97">
        <v>1</v>
      </c>
      <c r="C14" s="98">
        <v>1.1200000000000001</v>
      </c>
      <c r="D14" s="12" t="str">
        <f>A5</f>
        <v>Alnus sp.</v>
      </c>
      <c r="E14" s="16">
        <f>GETPIVOTDATA("Suma de Densidad/Ha.",$A$3,"Especie","Alnus sp.")</f>
        <v>59.999999999999993</v>
      </c>
      <c r="F14" s="13">
        <f>GETPIVOTDATA("Promedio de DAP (cm)",$A$3,"Especie","Alnus sp.")</f>
        <v>20.488888888888891</v>
      </c>
      <c r="G14" s="13">
        <f>GETPIVOTDATA("Promedio de Altura (m)",$A$3,"Especie","Alnus sp.")</f>
        <v>14.444444444444445</v>
      </c>
      <c r="H14" s="13">
        <f>GETPIVOTDATA("Suma de AB/Ha.",$A$3,"Especie","Alnus sp.")</f>
        <v>2.0785663360000006</v>
      </c>
      <c r="I14" s="13">
        <f>GETPIVOTDATA("Suma de Volumen/Ha.",$A$3,"Especie","Alnus sp.")</f>
        <v>23.894154252</v>
      </c>
      <c r="J14" s="14">
        <f>I14*C14</f>
        <v>26.761452762240001</v>
      </c>
    </row>
    <row r="15" spans="1:12" s="1" customFormat="1" x14ac:dyDescent="0.25">
      <c r="B15" s="97"/>
      <c r="C15" s="98"/>
      <c r="D15" s="12" t="str">
        <f>A6</f>
        <v>Cupresus lusitanica</v>
      </c>
      <c r="E15" s="16">
        <f>GETPIVOTDATA("Suma de Densidad/Ha.",$A$3,"Especie","Cupresus lusitanica")</f>
        <v>20</v>
      </c>
      <c r="F15" s="13">
        <f>GETPIVOTDATA("Promedio de DAP (cm)",$A$3,"Especie","Cupresus lusitanica")</f>
        <v>22.666666666666668</v>
      </c>
      <c r="G15" s="13">
        <f>GETPIVOTDATA("Promedio de Altura (m)",$A$3,"Especie","Cupresus lusitanica")</f>
        <v>13.666666666666666</v>
      </c>
      <c r="H15" s="13">
        <f>GETPIVOTDATA("Suma de AB/Ha.",$A$3,"Especie","Cupresus lusitanica")</f>
        <v>0.93305519999999997</v>
      </c>
      <c r="I15" s="13">
        <f>GETPIVOTDATA("Suma de Volumen/Ha.",$A$3,"Especie","Cupresus lusitanica")</f>
        <v>5.0404003560000001</v>
      </c>
      <c r="J15" s="59">
        <f>I15*C14</f>
        <v>5.6452483987200006</v>
      </c>
    </row>
    <row r="16" spans="1:12" s="1" customFormat="1" x14ac:dyDescent="0.25">
      <c r="B16" s="97"/>
      <c r="C16" s="98"/>
      <c r="D16" s="12" t="str">
        <f>A7</f>
        <v>Pinus pseudostrobus</v>
      </c>
      <c r="E16" s="16">
        <f>GETPIVOTDATA("Suma de Densidad/Ha.",$A$3,"Especie","Pinus pseudostrobus")</f>
        <v>46.666666666666664</v>
      </c>
      <c r="F16" s="13">
        <f>GETPIVOTDATA("Promedio de DAP (cm)",$A$3,"Especie","Pinus pseudostrobus")</f>
        <v>31.571428571428573</v>
      </c>
      <c r="G16" s="13">
        <f>GETPIVOTDATA("Promedio de Altura (m)",$A$3,"Especie","Pinus pseudostrobus")</f>
        <v>17.285714285714285</v>
      </c>
      <c r="H16" s="13">
        <f>GETPIVOTDATA("Suma de AB/Ha.",$A$3,"Especie","Pinus pseudostrobus")</f>
        <v>3.9044851999999999</v>
      </c>
      <c r="I16" s="13">
        <f>GETPIVOTDATA("Suma de Volumen/Ha.",$A$3,"Especie","Pinus pseudostrobus")</f>
        <v>26.064947365333332</v>
      </c>
      <c r="J16" s="59">
        <f>I16*C14</f>
        <v>29.192741049173335</v>
      </c>
    </row>
    <row r="17" spans="2:10" x14ac:dyDescent="0.25">
      <c r="B17" s="97"/>
      <c r="C17" s="98"/>
      <c r="D17" s="12" t="str">
        <f>A8</f>
        <v>Arbutus xalapensis</v>
      </c>
      <c r="E17" s="16">
        <f>GETPIVOTDATA("Suma de Densidad/Ha.",$A$3,"Especie","Arbutus xalapensis")</f>
        <v>33.333333333333336</v>
      </c>
      <c r="F17" s="13">
        <f>GETPIVOTDATA("Promedio de DAP (cm)",$A$3,"Especie","Arbutus xalapensis")</f>
        <v>18.2</v>
      </c>
      <c r="G17" s="13">
        <f>GETPIVOTDATA("Promedio de Altura (m)",$A$3,"Especie","Arbutus xalapensis")</f>
        <v>15.4</v>
      </c>
      <c r="H17" s="13">
        <f>GETPIVOTDATA("Suma de AB/Ha.",$A$3,"Especie","Arbutus xalapensis")</f>
        <v>0.87074680000000004</v>
      </c>
      <c r="I17" s="13">
        <f>GETPIVOTDATA("Suma de Volumen/Ha.",$A$3,"Especie","Arbutus xalapensis")</f>
        <v>11.64254948</v>
      </c>
      <c r="J17" s="14">
        <f>I17*C14</f>
        <v>13.039655417600001</v>
      </c>
    </row>
    <row r="18" spans="2:10" x14ac:dyDescent="0.25">
      <c r="B18" s="97"/>
      <c r="C18" s="98"/>
      <c r="D18" s="17" t="s">
        <v>12</v>
      </c>
      <c r="E18" s="18">
        <f>SUM(E14:E17)</f>
        <v>160</v>
      </c>
      <c r="F18" s="76">
        <f>GETPIVOTDATA("Promedio de DAP (cm)",$A$3)</f>
        <v>23.516666666666666</v>
      </c>
      <c r="G18" s="76">
        <f>GETPIVOTDATA("Promedio de Altura (m)",$A$3)</f>
        <v>15.375</v>
      </c>
      <c r="H18" s="76">
        <f>GETPIVOTDATA("Suma de AB/Ha.",$A$3)</f>
        <v>7.7868535359999997</v>
      </c>
      <c r="I18" s="76">
        <f>GETPIVOTDATA("Suma de Volumen/Ha.",$A$3)</f>
        <v>66.642051453333352</v>
      </c>
      <c r="J18" s="76">
        <f>I18*C14</f>
        <v>74.639097627733364</v>
      </c>
    </row>
  </sheetData>
  <mergeCells count="10">
    <mergeCell ref="H12:H13"/>
    <mergeCell ref="I12:J12"/>
    <mergeCell ref="B14:B18"/>
    <mergeCell ref="C14:C18"/>
    <mergeCell ref="B12:B13"/>
    <mergeCell ref="C12:C13"/>
    <mergeCell ref="D12:D13"/>
    <mergeCell ref="E12:E13"/>
    <mergeCell ref="F12:F13"/>
    <mergeCell ref="G12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18.42578125" bestFit="1" customWidth="1"/>
    <col min="2" max="2" width="13" bestFit="1" customWidth="1"/>
    <col min="3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7" x14ac:dyDescent="0.25">
      <c r="B3" s="4" t="s">
        <v>15</v>
      </c>
    </row>
    <row r="4" spans="1:7" ht="30" x14ac:dyDescent="0.25">
      <c r="A4" s="49" t="s">
        <v>31</v>
      </c>
      <c r="B4" s="29" t="s">
        <v>14</v>
      </c>
      <c r="C4" s="29" t="s">
        <v>16</v>
      </c>
      <c r="D4" s="29" t="s">
        <v>17</v>
      </c>
      <c r="E4" s="29" t="s">
        <v>18</v>
      </c>
      <c r="F4" s="49" t="s">
        <v>19</v>
      </c>
      <c r="G4" s="22" t="s">
        <v>30</v>
      </c>
    </row>
    <row r="5" spans="1:7" x14ac:dyDescent="0.25">
      <c r="A5" s="48">
        <v>1</v>
      </c>
      <c r="B5" s="26">
        <v>59.999999999999993</v>
      </c>
      <c r="C5" s="27">
        <v>20.711111111111112</v>
      </c>
      <c r="D5" s="27">
        <v>14.555555555555555</v>
      </c>
      <c r="E5" s="27">
        <v>2.1183599360000005</v>
      </c>
      <c r="F5" s="47">
        <v>23.220584812000002</v>
      </c>
      <c r="G5" s="28">
        <f>F5*1.12</f>
        <v>26.007054989440004</v>
      </c>
    </row>
    <row r="6" spans="1:7" x14ac:dyDescent="0.25">
      <c r="A6" s="48">
        <v>2</v>
      </c>
      <c r="B6" s="26">
        <v>46.666666666666664</v>
      </c>
      <c r="C6" s="27">
        <v>28.142857142857142</v>
      </c>
      <c r="D6" s="27">
        <v>16</v>
      </c>
      <c r="E6" s="27">
        <v>3.3327140000000002</v>
      </c>
      <c r="F6" s="47">
        <v>23.845831846666666</v>
      </c>
      <c r="G6" s="28">
        <f>F6*1.12</f>
        <v>26.707331668266669</v>
      </c>
    </row>
    <row r="7" spans="1:7" x14ac:dyDescent="0.25">
      <c r="A7" s="48">
        <v>3</v>
      </c>
      <c r="B7" s="26">
        <v>53.333333333333329</v>
      </c>
      <c r="C7" s="27">
        <v>22.625</v>
      </c>
      <c r="D7" s="27">
        <v>15.75</v>
      </c>
      <c r="E7" s="27">
        <v>2.3357796</v>
      </c>
      <c r="F7" s="47">
        <v>19.575634794666666</v>
      </c>
      <c r="G7" s="28">
        <f>F7*1.12</f>
        <v>21.924710970026666</v>
      </c>
    </row>
    <row r="8" spans="1:7" x14ac:dyDescent="0.25">
      <c r="A8" s="51" t="s">
        <v>12</v>
      </c>
      <c r="B8" s="30">
        <v>160</v>
      </c>
      <c r="C8" s="31">
        <v>23.516666666666666</v>
      </c>
      <c r="D8" s="31">
        <v>15.375</v>
      </c>
      <c r="E8" s="31">
        <v>7.7868535359999997</v>
      </c>
      <c r="F8" s="50">
        <v>66.642051453333337</v>
      </c>
      <c r="G8" s="32">
        <f>F8*1.12</f>
        <v>74.639097627733349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topLeftCell="K1" workbookViewId="0">
      <selection activeCell="H9" sqref="H9"/>
    </sheetView>
  </sheetViews>
  <sheetFormatPr baseColWidth="10" defaultColWidth="11.42578125" defaultRowHeight="15" x14ac:dyDescent="0.25"/>
  <cols>
    <col min="1" max="1" width="21.42578125" bestFit="1" customWidth="1"/>
    <col min="2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8" x14ac:dyDescent="0.25">
      <c r="B3" s="4" t="s">
        <v>15</v>
      </c>
    </row>
    <row r="4" spans="1:8" ht="45" x14ac:dyDescent="0.25">
      <c r="A4" s="49" t="s">
        <v>33</v>
      </c>
      <c r="B4" s="29" t="s">
        <v>14</v>
      </c>
      <c r="C4" s="29" t="s">
        <v>16</v>
      </c>
      <c r="D4" s="29" t="s">
        <v>17</v>
      </c>
      <c r="E4" s="29" t="s">
        <v>18</v>
      </c>
      <c r="F4" s="49" t="s">
        <v>19</v>
      </c>
      <c r="G4" s="34" t="s">
        <v>32</v>
      </c>
    </row>
    <row r="5" spans="1:8" x14ac:dyDescent="0.25">
      <c r="A5" s="45" t="s">
        <v>53</v>
      </c>
      <c r="B5" s="24">
        <v>59.999999999999993</v>
      </c>
      <c r="C5" s="25">
        <v>20.488888888888891</v>
      </c>
      <c r="D5" s="25">
        <v>14.444444444444445</v>
      </c>
      <c r="E5" s="25">
        <v>2.0785663360000002</v>
      </c>
      <c r="F5" s="46">
        <v>23.894154252</v>
      </c>
      <c r="G5" s="15">
        <f>F5*1.12</f>
        <v>26.761452762240001</v>
      </c>
    </row>
    <row r="6" spans="1:8" x14ac:dyDescent="0.25">
      <c r="A6" s="6" t="s">
        <v>51</v>
      </c>
      <c r="B6" s="24">
        <v>26.666666666666668</v>
      </c>
      <c r="C6" s="25">
        <v>15.75</v>
      </c>
      <c r="D6" s="25">
        <v>13</v>
      </c>
      <c r="E6" s="25">
        <v>0.52935960000000004</v>
      </c>
      <c r="F6" s="46">
        <v>5.9583061146666667</v>
      </c>
      <c r="G6" s="78">
        <f t="shared" ref="G6:G19" si="0">F6*1.12</f>
        <v>6.6733028484266672</v>
      </c>
    </row>
    <row r="7" spans="1:8" x14ac:dyDescent="0.25">
      <c r="A7" s="6" t="s">
        <v>52</v>
      </c>
      <c r="B7" s="24">
        <v>33.333333333333336</v>
      </c>
      <c r="C7" s="25">
        <v>24.28</v>
      </c>
      <c r="D7" s="25">
        <v>15.6</v>
      </c>
      <c r="E7" s="25">
        <v>1.5492067360000004</v>
      </c>
      <c r="F7" s="46">
        <v>17.935848137333334</v>
      </c>
      <c r="G7" s="78">
        <f t="shared" si="0"/>
        <v>20.088149913813336</v>
      </c>
    </row>
    <row r="8" spans="1:8" x14ac:dyDescent="0.25">
      <c r="A8" s="45" t="s">
        <v>58</v>
      </c>
      <c r="B8" s="24">
        <v>20</v>
      </c>
      <c r="C8" s="25">
        <v>22.666666666666668</v>
      </c>
      <c r="D8" s="25">
        <v>13.666666666666666</v>
      </c>
      <c r="E8" s="25">
        <v>0.93305519999999997</v>
      </c>
      <c r="F8" s="46">
        <v>5.0404003560000001</v>
      </c>
      <c r="G8" s="15">
        <f t="shared" si="0"/>
        <v>5.6452483987200006</v>
      </c>
    </row>
    <row r="9" spans="1:8" x14ac:dyDescent="0.25">
      <c r="A9" s="6" t="s">
        <v>51</v>
      </c>
      <c r="B9" s="24">
        <v>13.333333333333334</v>
      </c>
      <c r="C9" s="25">
        <v>16.5</v>
      </c>
      <c r="D9" s="25">
        <v>13.5</v>
      </c>
      <c r="E9" s="25">
        <v>0.29164520000000005</v>
      </c>
      <c r="F9" s="46">
        <v>1.6448670080000001</v>
      </c>
      <c r="G9" s="78">
        <f t="shared" si="0"/>
        <v>1.8422510489600004</v>
      </c>
    </row>
    <row r="10" spans="1:8" x14ac:dyDescent="0.25">
      <c r="A10" s="6" t="s">
        <v>62</v>
      </c>
      <c r="B10" s="24">
        <v>6.666666666666667</v>
      </c>
      <c r="C10" s="25">
        <v>35</v>
      </c>
      <c r="D10" s="25">
        <v>14</v>
      </c>
      <c r="E10" s="25">
        <v>0.64140999999999992</v>
      </c>
      <c r="F10" s="46">
        <v>3.3955333480000003</v>
      </c>
      <c r="G10" s="78">
        <f t="shared" si="0"/>
        <v>3.8029973497600005</v>
      </c>
    </row>
    <row r="11" spans="1:8" x14ac:dyDescent="0.25">
      <c r="A11" s="45" t="s">
        <v>72</v>
      </c>
      <c r="B11" s="24">
        <v>46.666666666666664</v>
      </c>
      <c r="C11" s="25">
        <v>31.571428571428573</v>
      </c>
      <c r="D11" s="25">
        <v>17.285714285714285</v>
      </c>
      <c r="E11" s="25">
        <v>3.9044851999999999</v>
      </c>
      <c r="F11" s="46">
        <v>26.064947365333332</v>
      </c>
      <c r="G11" s="15">
        <f t="shared" si="0"/>
        <v>29.192741049173335</v>
      </c>
      <c r="H11" s="53"/>
    </row>
    <row r="12" spans="1:8" x14ac:dyDescent="0.25">
      <c r="A12" s="6" t="s">
        <v>51</v>
      </c>
      <c r="B12" s="24">
        <v>6.666666666666667</v>
      </c>
      <c r="C12" s="25">
        <v>17</v>
      </c>
      <c r="D12" s="25">
        <v>14</v>
      </c>
      <c r="E12" s="25">
        <v>0.15132040000000002</v>
      </c>
      <c r="F12" s="46">
        <v>0.80545210666666667</v>
      </c>
      <c r="G12" s="78">
        <f t="shared" si="0"/>
        <v>0.90210635946666673</v>
      </c>
      <c r="H12" s="53"/>
    </row>
    <row r="13" spans="1:8" x14ac:dyDescent="0.25">
      <c r="A13" s="6" t="s">
        <v>52</v>
      </c>
      <c r="B13" s="24">
        <v>6.666666666666667</v>
      </c>
      <c r="C13" s="25">
        <v>22</v>
      </c>
      <c r="D13" s="25">
        <v>15</v>
      </c>
      <c r="E13" s="25">
        <v>0.25342239999999999</v>
      </c>
      <c r="F13" s="46">
        <v>1.4183661919999999</v>
      </c>
      <c r="G13" s="78">
        <f t="shared" si="0"/>
        <v>1.5885701350400001</v>
      </c>
      <c r="H13" s="53"/>
    </row>
    <row r="14" spans="1:8" x14ac:dyDescent="0.25">
      <c r="A14" s="6" t="s">
        <v>62</v>
      </c>
      <c r="B14" s="24">
        <v>20</v>
      </c>
      <c r="C14" s="25">
        <v>33.666666666666664</v>
      </c>
      <c r="D14" s="25">
        <v>17.666666666666668</v>
      </c>
      <c r="E14" s="25">
        <v>1.7818108000000001</v>
      </c>
      <c r="F14" s="46">
        <v>11.549233874666667</v>
      </c>
      <c r="G14" s="78">
        <f t="shared" si="0"/>
        <v>12.935141939626668</v>
      </c>
      <c r="H14" s="53"/>
    </row>
    <row r="15" spans="1:8" x14ac:dyDescent="0.25">
      <c r="A15" s="6" t="s">
        <v>63</v>
      </c>
      <c r="B15" s="24">
        <v>13.333333333333334</v>
      </c>
      <c r="C15" s="25">
        <v>40.5</v>
      </c>
      <c r="D15" s="25">
        <v>19.5</v>
      </c>
      <c r="E15" s="25">
        <v>1.7179316</v>
      </c>
      <c r="F15" s="46">
        <v>12.291895192</v>
      </c>
      <c r="G15" s="78">
        <f t="shared" si="0"/>
        <v>13.766922615040002</v>
      </c>
      <c r="H15" s="53"/>
    </row>
    <row r="16" spans="1:8" x14ac:dyDescent="0.25">
      <c r="A16" s="45" t="s">
        <v>71</v>
      </c>
      <c r="B16" s="24">
        <v>33.333333333333336</v>
      </c>
      <c r="C16" s="25">
        <v>18.2</v>
      </c>
      <c r="D16" s="25">
        <v>15.4</v>
      </c>
      <c r="E16" s="25">
        <v>0.87074680000000004</v>
      </c>
      <c r="F16" s="46">
        <v>11.64254948</v>
      </c>
      <c r="G16" s="15">
        <f t="shared" si="0"/>
        <v>13.039655417600001</v>
      </c>
    </row>
    <row r="17" spans="1:7" x14ac:dyDescent="0.25">
      <c r="A17" s="6" t="s">
        <v>51</v>
      </c>
      <c r="B17" s="24">
        <v>26.666666666666668</v>
      </c>
      <c r="C17" s="25">
        <v>18</v>
      </c>
      <c r="D17" s="25">
        <v>15</v>
      </c>
      <c r="E17" s="25">
        <v>0.68172720000000009</v>
      </c>
      <c r="F17" s="46">
        <v>9.0178719533333336</v>
      </c>
      <c r="G17" s="78">
        <f t="shared" si="0"/>
        <v>10.100016587733334</v>
      </c>
    </row>
    <row r="18" spans="1:7" x14ac:dyDescent="0.25">
      <c r="A18" s="6" t="s">
        <v>73</v>
      </c>
      <c r="B18" s="24">
        <v>6.666666666666667</v>
      </c>
      <c r="C18" s="25">
        <v>19</v>
      </c>
      <c r="D18" s="25">
        <v>17</v>
      </c>
      <c r="E18" s="25">
        <v>0.18901960000000001</v>
      </c>
      <c r="F18" s="46">
        <v>2.6246775266666669</v>
      </c>
      <c r="G18" s="92">
        <f t="shared" si="0"/>
        <v>2.9396388298666674</v>
      </c>
    </row>
    <row r="19" spans="1:7" x14ac:dyDescent="0.25">
      <c r="A19" s="52" t="s">
        <v>12</v>
      </c>
      <c r="B19" s="43">
        <v>160</v>
      </c>
      <c r="C19" s="44">
        <v>23.516666666666666</v>
      </c>
      <c r="D19" s="44">
        <v>15.375</v>
      </c>
      <c r="E19" s="44">
        <v>7.7868535359999997</v>
      </c>
      <c r="F19" s="77">
        <v>66.642051453333352</v>
      </c>
      <c r="G19" s="33">
        <f t="shared" si="0"/>
        <v>74.639097627733364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14" sqref="G14"/>
    </sheetView>
  </sheetViews>
  <sheetFormatPr baseColWidth="10" defaultColWidth="11.42578125" defaultRowHeight="15" x14ac:dyDescent="0.25"/>
  <cols>
    <col min="5" max="5" width="21.140625" customWidth="1"/>
    <col min="6" max="6" width="12.85546875" customWidth="1"/>
  </cols>
  <sheetData>
    <row r="3" spans="2:6" x14ac:dyDescent="0.25">
      <c r="B3" s="100" t="s">
        <v>34</v>
      </c>
      <c r="C3" s="100"/>
      <c r="D3" s="35" t="s">
        <v>35</v>
      </c>
      <c r="E3" s="35" t="s">
        <v>36</v>
      </c>
      <c r="F3" s="36" t="s">
        <v>37</v>
      </c>
    </row>
    <row r="4" spans="2:6" x14ac:dyDescent="0.25">
      <c r="B4" s="100"/>
      <c r="C4" s="100"/>
      <c r="D4" s="37">
        <v>1.1200000000000001</v>
      </c>
      <c r="E4" s="37">
        <v>2.92</v>
      </c>
      <c r="F4" s="37">
        <v>3</v>
      </c>
    </row>
    <row r="5" spans="2:6" x14ac:dyDescent="0.25">
      <c r="B5" s="35" t="s">
        <v>38</v>
      </c>
      <c r="C5" s="35" t="s">
        <v>39</v>
      </c>
      <c r="D5" s="35" t="s">
        <v>40</v>
      </c>
      <c r="E5" s="35" t="s">
        <v>41</v>
      </c>
      <c r="F5" s="35" t="s">
        <v>42</v>
      </c>
    </row>
    <row r="6" spans="2:6" x14ac:dyDescent="0.25">
      <c r="B6" s="35">
        <v>1</v>
      </c>
      <c r="C6" s="47">
        <f>GETPIVOTDATA("Suma de Volumen/Ha.",'anexo 2'!$A$3,"Parcela",1)</f>
        <v>23.220584812000002</v>
      </c>
      <c r="D6" s="38">
        <f>C6*C6</f>
        <v>539.19555901128513</v>
      </c>
      <c r="E6" s="35" t="s">
        <v>43</v>
      </c>
      <c r="F6" s="39">
        <f>C16/F4</f>
        <v>22.214017151111111</v>
      </c>
    </row>
    <row r="7" spans="2:6" x14ac:dyDescent="0.25">
      <c r="B7" s="35">
        <v>2</v>
      </c>
      <c r="C7" s="47">
        <f>GETPIVOTDATA("Suma de Volumen/Ha.",'anexo 2'!$A$3,"Parcela",2)</f>
        <v>23.845831846666666</v>
      </c>
      <c r="D7" s="38">
        <f>C7*C7</f>
        <v>568.62369645950218</v>
      </c>
      <c r="E7" s="35" t="s">
        <v>44</v>
      </c>
      <c r="F7" s="40">
        <f>(((D16)-((C16*C16)/F4))/(F4-1))</f>
        <v>5.3185295576877252</v>
      </c>
    </row>
    <row r="8" spans="2:6" x14ac:dyDescent="0.25">
      <c r="B8" s="35">
        <v>3</v>
      </c>
      <c r="C8" s="47">
        <f>GETPIVOTDATA("Suma de Volumen/Ha.",'anexo 2'!$A$3,"Parcela",3)</f>
        <v>19.575634794666666</v>
      </c>
      <c r="D8" s="38">
        <f>C8*C8</f>
        <v>383.20547761416424</v>
      </c>
      <c r="E8" s="35" t="s">
        <v>45</v>
      </c>
      <c r="F8" s="40">
        <f>SQRT(F7)</f>
        <v>2.306193738107821</v>
      </c>
    </row>
    <row r="9" spans="2:6" x14ac:dyDescent="0.25">
      <c r="B9" s="35">
        <v>4</v>
      </c>
      <c r="C9" s="47"/>
      <c r="D9" s="38">
        <f t="shared" ref="D9:D15" si="0">C9*C9</f>
        <v>0</v>
      </c>
      <c r="E9" s="35" t="s">
        <v>46</v>
      </c>
      <c r="F9" s="40">
        <f>SQRT(((F7)/F4)*(1-((F4)/(D4*10))))</f>
        <v>1.1392868275320644</v>
      </c>
    </row>
    <row r="10" spans="2:6" x14ac:dyDescent="0.25">
      <c r="B10" s="60">
        <v>5</v>
      </c>
      <c r="C10" s="47"/>
      <c r="D10" s="38">
        <f t="shared" si="0"/>
        <v>0</v>
      </c>
      <c r="E10" s="35" t="s">
        <v>47</v>
      </c>
      <c r="F10" s="40">
        <f>F9*E4</f>
        <v>3.3267175363936281</v>
      </c>
    </row>
    <row r="11" spans="2:6" x14ac:dyDescent="0.25">
      <c r="B11" s="60">
        <v>6</v>
      </c>
      <c r="C11" s="47"/>
      <c r="D11" s="38">
        <f t="shared" si="0"/>
        <v>0</v>
      </c>
      <c r="E11" s="35" t="s">
        <v>47</v>
      </c>
      <c r="F11" s="41">
        <f>((F10)/F6)</f>
        <v>0.14975758386083854</v>
      </c>
    </row>
    <row r="12" spans="2:6" x14ac:dyDescent="0.25">
      <c r="B12" s="60">
        <v>7</v>
      </c>
      <c r="C12" s="47"/>
      <c r="D12" s="38">
        <f t="shared" si="0"/>
        <v>0</v>
      </c>
      <c r="E12" s="35" t="s">
        <v>48</v>
      </c>
      <c r="F12" s="40">
        <f>F6+F10</f>
        <v>25.540734687504738</v>
      </c>
    </row>
    <row r="13" spans="2:6" x14ac:dyDescent="0.25">
      <c r="B13" s="60">
        <v>8</v>
      </c>
      <c r="C13" s="47"/>
      <c r="D13" s="38">
        <f t="shared" si="0"/>
        <v>0</v>
      </c>
      <c r="E13" s="35" t="s">
        <v>49</v>
      </c>
      <c r="F13" s="40">
        <f>F6-F10</f>
        <v>18.887299614717485</v>
      </c>
    </row>
    <row r="14" spans="2:6" x14ac:dyDescent="0.25">
      <c r="B14" s="60">
        <v>9</v>
      </c>
      <c r="C14" s="47"/>
      <c r="D14" s="38">
        <f t="shared" si="0"/>
        <v>0</v>
      </c>
      <c r="E14" s="35"/>
      <c r="F14" s="40"/>
    </row>
    <row r="15" spans="2:6" x14ac:dyDescent="0.25">
      <c r="B15" s="60">
        <v>10</v>
      </c>
      <c r="C15" s="47"/>
      <c r="D15" s="38">
        <f t="shared" si="0"/>
        <v>0</v>
      </c>
      <c r="E15" s="35"/>
      <c r="F15" s="40"/>
    </row>
    <row r="16" spans="2:6" x14ac:dyDescent="0.25">
      <c r="B16" s="35" t="s">
        <v>50</v>
      </c>
      <c r="C16" s="42">
        <f>SUM(C6:C15)</f>
        <v>66.642051453333337</v>
      </c>
      <c r="D16" s="42">
        <f>SUM(D6:D15)</f>
        <v>1491.0247330849515</v>
      </c>
      <c r="E16" s="35"/>
      <c r="F16" s="35"/>
    </row>
  </sheetData>
  <mergeCells count="1">
    <mergeCell ref="B3:C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</vt:lpstr>
      <vt:lpstr>% de abundancia</vt:lpstr>
      <vt:lpstr>cuadro 3</vt:lpstr>
      <vt:lpstr>anexo 2</vt:lpstr>
      <vt:lpstr>anexo 3</vt:lpstr>
      <vt:lpstr>analisis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DangerGo</cp:lastModifiedBy>
  <cp:lastPrinted>2013-10-30T04:25:04Z</cp:lastPrinted>
  <dcterms:created xsi:type="dcterms:W3CDTF">2013-02-20T15:36:32Z</dcterms:created>
  <dcterms:modified xsi:type="dcterms:W3CDTF">2017-03-26T23:57:28Z</dcterms:modified>
</cp:coreProperties>
</file>